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715713A-EE86-48DF-8079-6689CA888F19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793C60B0-280D-4A9E-ABB6-68CF27A8727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190" i="1"/>
  <c r="L203" i="1" s="1"/>
  <c r="L191" i="1"/>
  <c r="C103" i="2" s="1"/>
  <c r="L192" i="1"/>
  <c r="L207" i="1"/>
  <c r="C101" i="2" s="1"/>
  <c r="L208" i="1"/>
  <c r="L209" i="1"/>
  <c r="L210" i="1"/>
  <c r="L225" i="1"/>
  <c r="L239" i="1" s="1"/>
  <c r="L226" i="1"/>
  <c r="C11" i="10" s="1"/>
  <c r="L227" i="1"/>
  <c r="C12" i="10" s="1"/>
  <c r="L228" i="1"/>
  <c r="F6" i="13"/>
  <c r="G6" i="13"/>
  <c r="G33" i="13" s="1"/>
  <c r="L194" i="1"/>
  <c r="C110" i="2" s="1"/>
  <c r="L212" i="1"/>
  <c r="L230" i="1"/>
  <c r="F7" i="13"/>
  <c r="G7" i="13"/>
  <c r="L195" i="1"/>
  <c r="D7" i="13" s="1"/>
  <c r="C7" i="13" s="1"/>
  <c r="L213" i="1"/>
  <c r="L221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115" i="2" s="1"/>
  <c r="L235" i="1"/>
  <c r="F15" i="13"/>
  <c r="G15" i="13"/>
  <c r="L200" i="1"/>
  <c r="C21" i="10" s="1"/>
  <c r="L218" i="1"/>
  <c r="G640" i="1" s="1"/>
  <c r="L236" i="1"/>
  <c r="F17" i="13"/>
  <c r="G17" i="13"/>
  <c r="L243" i="1"/>
  <c r="C24" i="10" s="1"/>
  <c r="D17" i="13"/>
  <c r="C17" i="13" s="1"/>
  <c r="F18" i="13"/>
  <c r="G18" i="13"/>
  <c r="L244" i="1"/>
  <c r="D18" i="13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20" i="1"/>
  <c r="K282" i="1"/>
  <c r="K301" i="1"/>
  <c r="K320" i="1"/>
  <c r="G31" i="13"/>
  <c r="L268" i="1"/>
  <c r="E101" i="2" s="1"/>
  <c r="L269" i="1"/>
  <c r="L270" i="1"/>
  <c r="L271" i="1"/>
  <c r="L273" i="1"/>
  <c r="L274" i="1"/>
  <c r="L275" i="1"/>
  <c r="E112" i="2" s="1"/>
  <c r="L276" i="1"/>
  <c r="L277" i="1"/>
  <c r="L278" i="1"/>
  <c r="L279" i="1"/>
  <c r="E116" i="2" s="1"/>
  <c r="L280" i="1"/>
  <c r="E117" i="2" s="1"/>
  <c r="L282" i="1"/>
  <c r="L287" i="1"/>
  <c r="L288" i="1"/>
  <c r="L301" i="1" s="1"/>
  <c r="L289" i="1"/>
  <c r="E103" i="2" s="1"/>
  <c r="L290" i="1"/>
  <c r="L292" i="1"/>
  <c r="L293" i="1"/>
  <c r="L294" i="1"/>
  <c r="L295" i="1"/>
  <c r="L296" i="1"/>
  <c r="L297" i="1"/>
  <c r="E115" i="2" s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H652" i="1" s="1"/>
  <c r="L318" i="1"/>
  <c r="L325" i="1"/>
  <c r="E106" i="2" s="1"/>
  <c r="L326" i="1"/>
  <c r="L327" i="1"/>
  <c r="L252" i="1"/>
  <c r="H25" i="13" s="1"/>
  <c r="L253" i="1"/>
  <c r="C124" i="2" s="1"/>
  <c r="L333" i="1"/>
  <c r="E123" i="2" s="1"/>
  <c r="L334" i="1"/>
  <c r="L247" i="1"/>
  <c r="C29" i="10" s="1"/>
  <c r="L328" i="1"/>
  <c r="E122" i="2" s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/>
  <c r="G51" i="2"/>
  <c r="G54" i="2" s="1"/>
  <c r="G53" i="2"/>
  <c r="F2" i="11"/>
  <c r="L603" i="1"/>
  <c r="H653" i="1"/>
  <c r="L602" i="1"/>
  <c r="G653" i="1" s="1"/>
  <c r="I653" i="1" s="1"/>
  <c r="L601" i="1"/>
  <c r="F653" i="1"/>
  <c r="C40" i="10"/>
  <c r="F52" i="1"/>
  <c r="F104" i="1" s="1"/>
  <c r="G52" i="1"/>
  <c r="D48" i="2" s="1"/>
  <c r="H52" i="1"/>
  <c r="I52" i="1"/>
  <c r="F71" i="1"/>
  <c r="C49" i="2" s="1"/>
  <c r="F86" i="1"/>
  <c r="C50" i="2" s="1"/>
  <c r="F103" i="1"/>
  <c r="G103" i="1"/>
  <c r="G104" i="1"/>
  <c r="H71" i="1"/>
  <c r="H104" i="1" s="1"/>
  <c r="H86" i="1"/>
  <c r="E50" i="2" s="1"/>
  <c r="H103" i="1"/>
  <c r="I103" i="1"/>
  <c r="I104" i="1"/>
  <c r="J103" i="1"/>
  <c r="J104" i="1"/>
  <c r="J185" i="1" s="1"/>
  <c r="C37" i="10"/>
  <c r="F113" i="1"/>
  <c r="F128" i="1"/>
  <c r="F132" i="1"/>
  <c r="G113" i="1"/>
  <c r="G132" i="1" s="1"/>
  <c r="G185" i="1" s="1"/>
  <c r="G618" i="1" s="1"/>
  <c r="J618" i="1" s="1"/>
  <c r="G128" i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F77" i="2" s="1"/>
  <c r="F83" i="2" s="1"/>
  <c r="I154" i="1"/>
  <c r="I161" i="1" s="1"/>
  <c r="C13" i="10"/>
  <c r="C18" i="10"/>
  <c r="L242" i="1"/>
  <c r="L324" i="1"/>
  <c r="C23" i="10"/>
  <c r="L246" i="1"/>
  <c r="L260" i="1"/>
  <c r="L261" i="1"/>
  <c r="L341" i="1"/>
  <c r="E134" i="2" s="1"/>
  <c r="L342" i="1"/>
  <c r="E135" i="2" s="1"/>
  <c r="C26" i="10"/>
  <c r="I655" i="1"/>
  <c r="I660" i="1"/>
  <c r="I659" i="1"/>
  <c r="C5" i="10"/>
  <c r="C4" i="10"/>
  <c r="C4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K539" i="1" s="1"/>
  <c r="L512" i="1"/>
  <c r="L514" i="1" s="1"/>
  <c r="L535" i="1" s="1"/>
  <c r="L513" i="1"/>
  <c r="F541" i="1" s="1"/>
  <c r="K541" i="1" s="1"/>
  <c r="L516" i="1"/>
  <c r="G539" i="1"/>
  <c r="G542" i="1" s="1"/>
  <c r="L517" i="1"/>
  <c r="L519" i="1" s="1"/>
  <c r="G540" i="1"/>
  <c r="L518" i="1"/>
  <c r="G541" i="1"/>
  <c r="L521" i="1"/>
  <c r="H539" i="1" s="1"/>
  <c r="L522" i="1"/>
  <c r="H540" i="1" s="1"/>
  <c r="L523" i="1"/>
  <c r="H541" i="1"/>
  <c r="L526" i="1"/>
  <c r="I539" i="1"/>
  <c r="I542" i="1" s="1"/>
  <c r="L527" i="1"/>
  <c r="I540" i="1"/>
  <c r="L528" i="1"/>
  <c r="I541" i="1"/>
  <c r="L531" i="1"/>
  <c r="J539" i="1" s="1"/>
  <c r="J542" i="1" s="1"/>
  <c r="L532" i="1"/>
  <c r="J540" i="1"/>
  <c r="L533" i="1"/>
  <c r="L534" i="1" s="1"/>
  <c r="J541" i="1"/>
  <c r="E124" i="2"/>
  <c r="K262" i="1"/>
  <c r="J262" i="1"/>
  <c r="I262" i="1"/>
  <c r="H262" i="1"/>
  <c r="G262" i="1"/>
  <c r="F262" i="1"/>
  <c r="L262" i="1" s="1"/>
  <c r="A1" i="2"/>
  <c r="A2" i="2"/>
  <c r="C9" i="2"/>
  <c r="D9" i="2"/>
  <c r="D19" i="2" s="1"/>
  <c r="E9" i="2"/>
  <c r="F9" i="2"/>
  <c r="I431" i="1"/>
  <c r="J9" i="1"/>
  <c r="G9" i="2"/>
  <c r="C10" i="2"/>
  <c r="D10" i="2"/>
  <c r="E10" i="2"/>
  <c r="F10" i="2"/>
  <c r="I432" i="1"/>
  <c r="J10" i="1" s="1"/>
  <c r="G10" i="2" s="1"/>
  <c r="C11" i="2"/>
  <c r="C12" i="2"/>
  <c r="D12" i="2"/>
  <c r="E12" i="2"/>
  <c r="E19" i="2" s="1"/>
  <c r="F12" i="2"/>
  <c r="F19" i="2" s="1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E23" i="2"/>
  <c r="E32" i="2" s="1"/>
  <c r="F23" i="2"/>
  <c r="F32" i="2" s="1"/>
  <c r="I441" i="1"/>
  <c r="J24" i="1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D42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F42" i="2" s="1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E48" i="2"/>
  <c r="F48" i="2"/>
  <c r="E49" i="2"/>
  <c r="C51" i="2"/>
  <c r="D51" i="2"/>
  <c r="E51" i="2"/>
  <c r="F51" i="2"/>
  <c r="F54" i="2" s="1"/>
  <c r="F55" i="2" s="1"/>
  <c r="F96" i="2" s="1"/>
  <c r="D52" i="2"/>
  <c r="D54" i="2" s="1"/>
  <c r="C53" i="2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F62" i="2"/>
  <c r="G62" i="2"/>
  <c r="C64" i="2"/>
  <c r="F64" i="2"/>
  <c r="C65" i="2"/>
  <c r="F65" i="2"/>
  <c r="F70" i="2" s="1"/>
  <c r="F73" i="2" s="1"/>
  <c r="C66" i="2"/>
  <c r="C67" i="2"/>
  <c r="C68" i="2"/>
  <c r="E68" i="2"/>
  <c r="F68" i="2"/>
  <c r="C69" i="2"/>
  <c r="C70" i="2" s="1"/>
  <c r="D69" i="2"/>
  <c r="D70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F95" i="2" s="1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G95" i="2"/>
  <c r="E102" i="2"/>
  <c r="C104" i="2"/>
  <c r="E104" i="2"/>
  <c r="C105" i="2"/>
  <c r="E105" i="2"/>
  <c r="D107" i="2"/>
  <c r="F107" i="2"/>
  <c r="F137" i="2" s="1"/>
  <c r="G107" i="2"/>
  <c r="E110" i="2"/>
  <c r="E120" i="2" s="1"/>
  <c r="E111" i="2"/>
  <c r="C112" i="2"/>
  <c r="E113" i="2"/>
  <c r="E114" i="2"/>
  <c r="C117" i="2"/>
  <c r="F120" i="2"/>
  <c r="G120" i="2"/>
  <c r="C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 s="1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G156" i="2" s="1"/>
  <c r="G493" i="1"/>
  <c r="C156" i="2"/>
  <c r="H493" i="1"/>
  <c r="D156" i="2" s="1"/>
  <c r="I493" i="1"/>
  <c r="E156" i="2"/>
  <c r="J493" i="1"/>
  <c r="K493" i="1" s="1"/>
  <c r="F156" i="2"/>
  <c r="F19" i="1"/>
  <c r="G19" i="1"/>
  <c r="G608" i="1" s="1"/>
  <c r="H19" i="1"/>
  <c r="I19" i="1"/>
  <c r="G610" i="1" s="1"/>
  <c r="J610" i="1" s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I44" i="1" s="1"/>
  <c r="H610" i="1" s="1"/>
  <c r="G44" i="1"/>
  <c r="H608" i="1" s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F249" i="1" s="1"/>
  <c r="F263" i="1" s="1"/>
  <c r="G203" i="1"/>
  <c r="G249" i="1" s="1"/>
  <c r="G263" i="1" s="1"/>
  <c r="H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H249" i="1"/>
  <c r="H263" i="1" s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G400" i="1" s="1"/>
  <c r="H635" i="1" s="1"/>
  <c r="H399" i="1"/>
  <c r="I399" i="1"/>
  <c r="H400" i="1"/>
  <c r="L405" i="1"/>
  <c r="L406" i="1"/>
  <c r="L407" i="1"/>
  <c r="L411" i="1" s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F426" i="1" s="1"/>
  <c r="G425" i="1"/>
  <c r="H425" i="1"/>
  <c r="I425" i="1"/>
  <c r="J425" i="1"/>
  <c r="J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F450" i="1"/>
  <c r="G450" i="1"/>
  <c r="H450" i="1"/>
  <c r="F451" i="1"/>
  <c r="F460" i="1"/>
  <c r="F466" i="1" s="1"/>
  <c r="H612" i="1" s="1"/>
  <c r="G460" i="1"/>
  <c r="H460" i="1"/>
  <c r="I460" i="1"/>
  <c r="J460" i="1"/>
  <c r="F464" i="1"/>
  <c r="G464" i="1"/>
  <c r="G466" i="1" s="1"/>
  <c r="H613" i="1" s="1"/>
  <c r="H464" i="1"/>
  <c r="H466" i="1" s="1"/>
  <c r="H614" i="1" s="1"/>
  <c r="J614" i="1" s="1"/>
  <c r="I464" i="1"/>
  <c r="I466" i="1" s="1"/>
  <c r="H615" i="1" s="1"/>
  <c r="J464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H535" i="1" s="1"/>
  <c r="I514" i="1"/>
  <c r="I535" i="1" s="1"/>
  <c r="J514" i="1"/>
  <c r="J535" i="1" s="1"/>
  <c r="K514" i="1"/>
  <c r="F519" i="1"/>
  <c r="F535" i="1" s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F561" i="1" s="1"/>
  <c r="G550" i="1"/>
  <c r="G561" i="1" s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K592" i="1"/>
  <c r="K595" i="1" s="1"/>
  <c r="G638" i="1" s="1"/>
  <c r="J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9" i="1"/>
  <c r="G613" i="1"/>
  <c r="G614" i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G631" i="1"/>
  <c r="G633" i="1"/>
  <c r="G634" i="1"/>
  <c r="H634" i="1"/>
  <c r="J634" i="1"/>
  <c r="G635" i="1"/>
  <c r="J635" i="1" s="1"/>
  <c r="H637" i="1"/>
  <c r="G639" i="1"/>
  <c r="G641" i="1"/>
  <c r="J641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L561" i="1" l="1"/>
  <c r="G137" i="2"/>
  <c r="H185" i="1"/>
  <c r="G619" i="1" s="1"/>
  <c r="J619" i="1" s="1"/>
  <c r="D31" i="13"/>
  <c r="C31" i="13" s="1"/>
  <c r="E107" i="2"/>
  <c r="L249" i="1"/>
  <c r="L263" i="1" s="1"/>
  <c r="G622" i="1" s="1"/>
  <c r="J622" i="1" s="1"/>
  <c r="F650" i="1"/>
  <c r="J613" i="1"/>
  <c r="G42" i="2"/>
  <c r="E43" i="2"/>
  <c r="G23" i="2"/>
  <c r="G32" i="2" s="1"/>
  <c r="J33" i="1"/>
  <c r="J639" i="1"/>
  <c r="J609" i="1"/>
  <c r="E54" i="2"/>
  <c r="E55" i="2" s="1"/>
  <c r="J43" i="1"/>
  <c r="D43" i="2"/>
  <c r="H542" i="1"/>
  <c r="C38" i="10"/>
  <c r="J640" i="1"/>
  <c r="C39" i="10"/>
  <c r="L400" i="1"/>
  <c r="C130" i="2"/>
  <c r="C133" i="2" s="1"/>
  <c r="E136" i="2"/>
  <c r="C5" i="13"/>
  <c r="C54" i="2"/>
  <c r="C55" i="2" s="1"/>
  <c r="C96" i="2" s="1"/>
  <c r="G650" i="1"/>
  <c r="H650" i="1"/>
  <c r="E33" i="13"/>
  <c r="D35" i="13" s="1"/>
  <c r="C8" i="13"/>
  <c r="G636" i="1"/>
  <c r="G621" i="1"/>
  <c r="J621" i="1" s="1"/>
  <c r="L330" i="1"/>
  <c r="J608" i="1"/>
  <c r="G55" i="2"/>
  <c r="G96" i="2" s="1"/>
  <c r="J633" i="1"/>
  <c r="D73" i="2"/>
  <c r="G19" i="2"/>
  <c r="I185" i="1"/>
  <c r="G620" i="1" s="1"/>
  <c r="J620" i="1" s="1"/>
  <c r="D55" i="2"/>
  <c r="D96" i="2" s="1"/>
  <c r="H33" i="13"/>
  <c r="C25" i="13"/>
  <c r="J631" i="1"/>
  <c r="L426" i="1"/>
  <c r="G628" i="1" s="1"/>
  <c r="J628" i="1" s="1"/>
  <c r="G153" i="2"/>
  <c r="C73" i="2"/>
  <c r="F43" i="2"/>
  <c r="J19" i="1"/>
  <c r="G611" i="1" s="1"/>
  <c r="F185" i="1"/>
  <c r="G617" i="1" s="1"/>
  <c r="J617" i="1" s="1"/>
  <c r="C107" i="2"/>
  <c r="C20" i="10"/>
  <c r="I450" i="1"/>
  <c r="C102" i="2"/>
  <c r="C19" i="10"/>
  <c r="G652" i="1"/>
  <c r="C17" i="10"/>
  <c r="C35" i="10"/>
  <c r="C114" i="2"/>
  <c r="G612" i="1"/>
  <c r="J612" i="1" s="1"/>
  <c r="J263" i="1"/>
  <c r="C113" i="2"/>
  <c r="E77" i="2"/>
  <c r="E83" i="2" s="1"/>
  <c r="F542" i="1"/>
  <c r="L343" i="1"/>
  <c r="F652" i="1"/>
  <c r="C16" i="10"/>
  <c r="D15" i="13"/>
  <c r="C15" i="13" s="1"/>
  <c r="D6" i="13"/>
  <c r="C6" i="13" s="1"/>
  <c r="J607" i="1"/>
  <c r="I444" i="1"/>
  <c r="C106" i="2"/>
  <c r="C25" i="10"/>
  <c r="C15" i="10"/>
  <c r="F33" i="13"/>
  <c r="D119" i="2"/>
  <c r="D120" i="2" s="1"/>
  <c r="D137" i="2" s="1"/>
  <c r="H651" i="1"/>
  <c r="F22" i="13"/>
  <c r="C22" i="13" s="1"/>
  <c r="F540" i="1"/>
  <c r="K540" i="1" s="1"/>
  <c r="K542" i="1" s="1"/>
  <c r="C32" i="10"/>
  <c r="L604" i="1"/>
  <c r="C111" i="2"/>
  <c r="C120" i="2" s="1"/>
  <c r="F651" i="1"/>
  <c r="L354" i="1"/>
  <c r="I438" i="1"/>
  <c r="G632" i="1" s="1"/>
  <c r="C10" i="10"/>
  <c r="L374" i="1"/>
  <c r="G626" i="1" s="1"/>
  <c r="J626" i="1" s="1"/>
  <c r="C116" i="2"/>
  <c r="C123" i="2"/>
  <c r="C136" i="2" s="1"/>
  <c r="L344" i="1" l="1"/>
  <c r="G623" i="1" s="1"/>
  <c r="J623" i="1" s="1"/>
  <c r="G43" i="2"/>
  <c r="C36" i="10"/>
  <c r="C41" i="10" s="1"/>
  <c r="D33" i="13"/>
  <c r="D36" i="13" s="1"/>
  <c r="I652" i="1"/>
  <c r="J636" i="1"/>
  <c r="I650" i="1"/>
  <c r="F654" i="1"/>
  <c r="G616" i="1"/>
  <c r="J44" i="1"/>
  <c r="H611" i="1" s="1"/>
  <c r="J611" i="1" s="1"/>
  <c r="C137" i="2"/>
  <c r="E96" i="2"/>
  <c r="E137" i="2"/>
  <c r="G654" i="1"/>
  <c r="G627" i="1"/>
  <c r="J627" i="1" s="1"/>
  <c r="H636" i="1"/>
  <c r="C27" i="10"/>
  <c r="C28" i="10" s="1"/>
  <c r="G625" i="1"/>
  <c r="J625" i="1" s="1"/>
  <c r="H654" i="1"/>
  <c r="I651" i="1"/>
  <c r="I451" i="1"/>
  <c r="H632" i="1" s="1"/>
  <c r="J632" i="1" s="1"/>
  <c r="D37" i="10" l="1"/>
  <c r="D40" i="10"/>
  <c r="D38" i="10"/>
  <c r="D35" i="10"/>
  <c r="D39" i="10"/>
  <c r="C30" i="10"/>
  <c r="D13" i="10"/>
  <c r="D22" i="10"/>
  <c r="D18" i="10"/>
  <c r="D26" i="10"/>
  <c r="D21" i="10"/>
  <c r="D12" i="10"/>
  <c r="D23" i="10"/>
  <c r="D11" i="10"/>
  <c r="D24" i="10"/>
  <c r="D20" i="10"/>
  <c r="D16" i="10"/>
  <c r="D15" i="10"/>
  <c r="D17" i="10"/>
  <c r="D19" i="10"/>
  <c r="D10" i="10"/>
  <c r="D25" i="10"/>
  <c r="H662" i="1"/>
  <c r="C6" i="10" s="1"/>
  <c r="H657" i="1"/>
  <c r="D27" i="10"/>
  <c r="J616" i="1"/>
  <c r="H646" i="1"/>
  <c r="G657" i="1"/>
  <c r="G662" i="1"/>
  <c r="F657" i="1"/>
  <c r="F662" i="1"/>
  <c r="D36" i="10"/>
  <c r="I654" i="1"/>
  <c r="I662" i="1" l="1"/>
  <c r="C7" i="10" s="1"/>
  <c r="I657" i="1"/>
  <c r="D28" i="10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CF87DCE-B487-4E96-898D-543FDD8578F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06CC646-B635-4A40-BFDE-9897A1A6DC98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B8C5DED-0789-4384-99F9-AC382BD4A05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C06565E-54E9-401A-B910-294BA6765B4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621397F-DE2B-4E2E-B991-40F5B92212C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C5C10F2-1BED-4898-9AAE-636718D7743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A02B390-BD71-4A6E-94AC-CEF38F706698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A4842D0-468B-4EFE-935E-D9134569EDE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D1E67B5-D075-4F00-A1E7-C6054AAFE5F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360A7EC9-2735-4C0C-8D1F-2C62008BF79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1663E27-4AF4-4DF2-A7ED-FD8294B990B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6F7FD5D-B67F-4405-BE22-13B06D39985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<sst xmlns="http://schemas.openxmlformats.org/spreadsheetml/2006/main" count="3866" uniqueCount="902">
  <si>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</si>
  <si>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</si>
  <si>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</si>
  <si>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</si>
  <si>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</si>
  <si>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</si>
  <si>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</si>
  <si>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</si>
  <si>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</si>
  <si>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</si>
  <si>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</si>
  <si>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</si>
  <si>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</si>
  <si>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</si>
  <si>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</si>
  <si>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</si>
  <si>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</si>
  <si>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</si>
  <si>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</si>
  <si>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</si>
  <si>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</si>
  <si>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</si>
  <si>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</si>
  <si>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</si>
  <si>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</si>
  <si>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</si>
  <si>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</si>
  <si>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</si>
  <si>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</si>
  <si>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</si>
  <si>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</si>
  <si>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</si>
  <si>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</si>
  <si>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</si>
  <si>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</si>
  <si>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</si>
  <si>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</si>
  <si>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</si>
  <si>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</si>
  <si>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</si>
  <si>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</si>
  <si>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</si>
  <si>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</si>
  <si>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</si>
  <si>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</si>
  <si>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</si>
  <si>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</si>
  <si>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</si>
  <si>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</si>
  <si>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</si>
  <si>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</si>
  <si>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</si>
  <si>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</si>
  <si>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</si>
  <si>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</si>
  <si>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</si>
  <si>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</si>
  <si>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</si>
  <si>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</si>
  <si>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</si>
  <si>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</si>
  <si>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</si>
  <si>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</si>
  <si>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</si>
  <si>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</si>
  <si>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</si>
  <si>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</si>
  <si>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</si>
  <si>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</si>
  <si>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</si>
  <si>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</si>
  <si>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</si>
  <si>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</si>
  <si>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</si>
  <si>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</si>
  <si>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</si>
  <si>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</si>
  <si>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</si>
  <si>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</si>
  <si>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</si>
  <si>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</si>
  <si>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</si>
  <si>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</si>
  <si>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</si>
  <si>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</si>
  <si>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</si>
  <si>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</si>
  <si>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</si>
  <si>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</si>
  <si>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</si>
  <si>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</si>
  <si>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</si>
  <si>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</si>
  <si>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</si>
  <si>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</si>
  <si>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</si>
  <si>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</si>
  <si>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</si>
  <si>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</si>
  <si>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</si>
  <si>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</si>
  <si>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</si>
  <si>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</si>
  <si>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</si>
  <si>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</si>
  <si>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</si>
  <si>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</si>
  <si>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</si>
  <si>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</si>
  <si>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</si>
  <si>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</si>
  <si>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</si>
  <si>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</si>
  <si>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</si>
  <si>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</si>
  <si>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</si>
  <si>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</si>
  <si>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</si>
  <si>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</si>
  <si>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</si>
  <si>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</si>
  <si>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</si>
  <si>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</si>
  <si>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</si>
  <si>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</si>
  <si>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</si>
  <si>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</si>
  <si>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</si>
  <si>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</si>
  <si>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</si>
  <si>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</si>
  <si>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</si>
  <si>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</si>
  <si>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</si>
  <si>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</si>
  <si>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</si>
  <si>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</si>
  <si>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</si>
  <si>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</si>
  <si>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</si>
  <si>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</si>
  <si>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</si>
  <si>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</si>
  <si>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</si>
  <si>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</si>
  <si>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</si>
  <si>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</si>
  <si>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</si>
  <si>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</si>
  <si>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</si>
  <si>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</si>
  <si>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</si>
  <si>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</si>
  <si>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</si>
  <si>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</si>
  <si>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</si>
  <si>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</si>
  <si>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</si>
  <si>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</si>
  <si>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</si>
  <si>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</si>
  <si>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</si>
  <si>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</si>
  <si>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</si>
  <si>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</si>
  <si>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</si>
  <si>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</si>
  <si>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</si>
  <si>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</si>
  <si>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</si>
  <si>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</si>
  <si>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</si>
  <si>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</si>
  <si>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</si>
  <si>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</si>
  <si>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</si>
  <si>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</si>
  <si>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</si>
  <si>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</si>
  <si>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</si>
  <si>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</si>
  <si>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</si>
  <si>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</si>
  <si>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</si>
  <si>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</si>
  <si>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</si>
  <si>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</si>
  <si>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</si>
  <si>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</si>
  <si>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</si>
  <si>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</si>
  <si>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</si>
  <si>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</si>
  <si>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</si>
  <si>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</si>
  <si>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</si>
  <si>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</si>
  <si>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</si>
  <si>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</si>
  <si>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</si>
  <si>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</si>
  <si>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</si>
  <si>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</si>
  <si>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</si>
  <si>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</si>
  <si>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</si>
  <si>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</si>
  <si>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</si>
  <si>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</si>
  <si>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</si>
  <si>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</si>
  <si>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</si>
  <si>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</si>
  <si>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</si>
  <si>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</si>
  <si>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</si>
  <si>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</si>
  <si>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</si>
  <si>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</si>
  <si>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</si>
  <si>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</si>
  <si>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</si>
  <si>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</si>
  <si>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</si>
  <si>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</si>
  <si>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</si>
  <si>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</si>
  <si>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</si>
  <si>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</si>
  <si>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</si>
  <si>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</si>
  <si>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</si>
  <si>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</si>
  <si>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</si>
  <si>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</si>
  <si>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</si>
  <si>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</si>
  <si>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</si>
  <si>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</si>
  <si>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</si>
  <si>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</si>
  <si>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</si>
  <si>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</si>
  <si>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</si>
  <si>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</si>
  <si>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</si>
  <si>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</si>
  <si>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</si>
  <si>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</si>
  <si>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</si>
  <si>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</si>
  <si>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</si>
  <si>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</si>
  <si>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</si>
  <si>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</si>
  <si>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</si>
  <si>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</si>
  <si>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</si>
  <si>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</si>
  <si>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</si>
  <si>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</si>
  <si>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</si>
  <si>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</si>
  <si>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</si>
  <si>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</si>
  <si>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</si>
  <si>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</si>
  <si>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</si>
  <si>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</si>
  <si>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</si>
  <si>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</si>
  <si>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</si>
  <si>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</si>
  <si>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</si>
  <si>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</si>
  <si>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</si>
  <si>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</si>
  <si>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</si>
  <si>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</si>
  <si>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</si>
  <si>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</si>
  <si>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</si>
  <si>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</si>
  <si>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</si>
  <si>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</si>
  <si>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</si>
  <si>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</si>
  <si>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</si>
  <si>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</si>
  <si>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</si>
  <si>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</si>
  <si>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</si>
  <si>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</si>
  <si>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</si>
  <si>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</si>
  <si>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</si>
  <si>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</si>
  <si>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</si>
  <si>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</si>
  <si>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</si>
  <si>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</si>
  <si>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</si>
  <si>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</si>
  <si>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</si>
  <si>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</si>
  <si>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</si>
  <si>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</si>
  <si>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</si>
  <si>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</si>
  <si>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</si>
  <si>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</si>
  <si>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</si>
  <si>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</si>
  <si>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</si>
  <si>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</si>
  <si>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</si>
  <si>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</si>
  <si>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</si>
  <si>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</si>
  <si>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</si>
  <si>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</si>
  <si>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</si>
  <si>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</si>
  <si>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</si>
  <si>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</si>
  <si>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</si>
  <si>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</si>
  <si>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</si>
  <si>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</si>
  <si>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</si>
  <si>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</si>
  <si>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</si>
  <si>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</si>
  <si>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</si>
  <si>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</si>
  <si>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</si>
  <si>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</si>
  <si>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</si>
  <si>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</si>
  <si>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</si>
  <si>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</si>
  <si>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</si>
  <si>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</si>
  <si>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</si>
  <si>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</si>
  <si>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</si>
  <si>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</si>
  <si>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</si>
  <si>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</si>
  <si>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</si>
  <si>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</si>
  <si>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</si>
  <si>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</si>
  <si>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</si>
  <si>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</si>
  <si>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</si>
  <si>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</si>
  <si>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</si>
  <si>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</si>
  <si>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</si>
  <si>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</si>
  <si>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</si>
  <si>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</si>
  <si>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</si>
  <si>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</si>
  <si>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</si>
  <si>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</si>
  <si>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</si>
  <si>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</si>
  <si>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</si>
  <si>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</si>
  <si>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</si>
  <si>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</si>
  <si>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</si>
  <si>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</si>
  <si>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</si>
  <si>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</si>
  <si>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</si>
  <si>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</si>
  <si>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</si>
  <si>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</si>
  <si>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</si>
  <si>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</si>
  <si>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</si>
  <si>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</si>
  <si>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</si>
  <si>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</si>
  <si>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</si>
  <si>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</si>
  <si>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</si>
  <si>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</si>
  <si>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</si>
  <si>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</si>
  <si>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</si>
  <si>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</si>
  <si>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</si>
  <si>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</si>
  <si>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</si>
  <si>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</si>
  <si>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</si>
  <si>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</si>
  <si>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</si>
  <si>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</si>
  <si>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</si>
  <si>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</si>
  <si>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</si>
  <si>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</si>
  <si>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</si>
  <si>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</si>
  <si>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</si>
  <si>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</si>
  <si>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</si>
  <si>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</si>
  <si>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</si>
  <si>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</si>
  <si>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</si>
  <si>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</si>
  <si>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</si>
  <si>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</si>
  <si>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</si>
  <si>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</si>
  <si>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</si>
  <si>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</si>
  <si>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</si>
  <si>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</si>
  <si>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</si>
  <si>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</si>
  <si>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</si>
  <si>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</si>
  <si>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</si>
  <si>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</si>
  <si>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</si>
  <si>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</si>
  <si>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</si>
  <si>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</si>
  <si>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</si>
  <si>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</si>
  <si>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</si>
  <si>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</si>
  <si>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</si>
  <si>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</si>
  <si>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</si>
  <si>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</si>
  <si>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</si>
  <si>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</si>
  <si>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</si>
  <si>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</si>
  <si>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</si>
  <si>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</si>
  <si>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</si>
  <si>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</si>
  <si>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</si>
  <si>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</si>
  <si>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</si>
  <si>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</si>
  <si>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</si>
  <si>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</si>
  <si>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</si>
  <si>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</si>
  <si>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</si>
  <si>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</si>
  <si>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</si>
  <si>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</si>
  <si>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</si>
  <si>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</si>
  <si>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</si>
  <si>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</si>
  <si>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</si>
  <si>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</si>
  <si>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</si>
  <si>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</si>
  <si>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</si>
  <si>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</si>
  <si>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</si>
  <si>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</si>
  <si>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</si>
  <si>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</si>
  <si>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</si>
  <si>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</si>
  <si>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</si>
  <si>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</si>
  <si>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</si>
  <si>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</si>
  <si>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</si>
  <si>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</si>
  <si>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</si>
  <si>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</si>
  <si>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</si>
  <si>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</si>
  <si>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</si>
  <si>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</si>
  <si>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</si>
  <si>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</si>
  <si>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</si>
  <si>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</si>
  <si>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</si>
  <si>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</si>
  <si>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</si>
  <si>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</si>
  <si>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</si>
  <si>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</si>
  <si>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</si>
  <si>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</si>
  <si>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</si>
  <si>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</si>
  <si>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</si>
  <si>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</si>
  <si>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</si>
  <si>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</si>
  <si>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</si>
  <si>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</si>
  <si>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</si>
  <si>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</si>
  <si>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</si>
  <si>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</si>
  <si>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</si>
  <si>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</si>
  <si>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</si>
  <si>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</si>
  <si>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</si>
  <si>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</si>
  <si>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</si>
  <si>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</si>
  <si>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</si>
  <si>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</si>
  <si>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</si>
  <si>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</si>
  <si>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</si>
  <si>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</si>
  <si>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</si>
  <si>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</si>
  <si>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</si>
  <si>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</si>
  <si>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</si>
  <si>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</si>
  <si>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</si>
  <si>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</si>
  <si>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</si>
  <si>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</si>
  <si>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</si>
  <si>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</si>
  <si>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</si>
  <si>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</si>
  <si>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</si>
  <si>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</si>
  <si>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</si>
  <si>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</si>
  <si>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</si>
  <si>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</si>
  <si>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</si>
  <si>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</si>
  <si>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</si>
  <si>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</si>
  <si>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</si>
  <si>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</si>
  <si>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</si>
  <si>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</si>
  <si>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</si>
  <si>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</si>
  <si>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</si>
  <si>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</si>
  <si>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</si>
  <si>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</si>
  <si>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</si>
  <si>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</si>
  <si>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</si>
  <si>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</si>
  <si>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</si>
  <si>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</si>
  <si>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</si>
  <si>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</si>
  <si>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</si>
  <si>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</si>
  <si>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</si>
  <si>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</si>
  <si>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</si>
  <si>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</si>
  <si>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</si>
  <si>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</si>
  <si>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</si>
  <si>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</si>
  <si>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</si>
  <si>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</si>
  <si>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</si>
  <si>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</si>
  <si>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</si>
  <si>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</si>
  <si>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</si>
  <si>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</si>
  <si>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</si>
  <si>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</si>
  <si>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</si>
  <si>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</si>
  <si>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</si>
  <si>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</si>
  <si>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</si>
  <si>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</si>
  <si>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</si>
  <si>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</si>
  <si>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</si>
  <si>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</si>
  <si>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</si>
  <si>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</si>
  <si>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</si>
  <si>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</si>
  <si>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</si>
  <si>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</si>
  <si>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</si>
  <si>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</si>
  <si>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</si>
  <si>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</si>
  <si>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</si>
  <si>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</si>
  <si>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</si>
  <si>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</si>
  <si>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</si>
  <si>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</si>
  <si>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</si>
  <si>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</si>
  <si>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</si>
  <si>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</si>
  <si>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</si>
  <si>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</si>
  <si>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</si>
  <si>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</si>
  <si>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</si>
  <si>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</si>
  <si>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</si>
  <si>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</si>
  <si>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</si>
  <si>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</si>
  <si>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</si>
  <si>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</si>
  <si>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</si>
  <si>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</si>
  <si>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</si>
  <si>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</si>
  <si>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</si>
  <si>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</si>
  <si>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</si>
  <si>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</si>
  <si>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</si>
  <si>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</si>
  <si>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</si>
  <si>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</si>
  <si>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</si>
  <si>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</si>
  <si>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</si>
  <si>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</si>
  <si>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</si>
  <si>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</si>
  <si>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</si>
  <si>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</si>
  <si>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</si>
  <si>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</si>
  <si>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</si>
  <si>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</si>
  <si>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</si>
  <si>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</si>
  <si>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</si>
  <si>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</si>
  <si>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</si>
  <si>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</si>
  <si>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</si>
  <si>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</si>
  <si>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</si>
  <si>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</si>
  <si>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</si>
  <si>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</si>
  <si>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</si>
  <si>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</si>
  <si>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</si>
  <si>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</si>
  <si>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</si>
  <si>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</si>
  <si>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</si>
  <si>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</si>
  <si>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</si>
  <si>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</si>
  <si>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</si>
  <si>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</si>
  <si>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</si>
  <si>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</si>
  <si>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</si>
  <si>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</si>
  <si>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</si>
  <si>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</si>
  <si>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</si>
  <si>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</si>
  <si>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</si>
  <si>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</si>
  <si>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</si>
  <si>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</si>
  <si>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</si>
  <si>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</si>
  <si>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</si>
  <si>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</si>
  <si>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</si>
  <si>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</si>
  <si>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</si>
  <si>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</si>
  <si>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</si>
  <si>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</si>
  <si>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</si>
  <si>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</si>
  <si>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</si>
  <si>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</si>
  <si>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</si>
  <si>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</si>
  <si>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</si>
  <si>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</si>
  <si>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</si>
  <si>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</si>
  <si>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</si>
  <si>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</si>
  <si>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</si>
  <si>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</si>
  <si>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</si>
  <si>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</si>
  <si>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</si>
  <si>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</si>
  <si>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</si>
  <si>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</si>
  <si>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</si>
  <si>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</si>
  <si>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</si>
  <si>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</si>
  <si>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</si>
  <si>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</si>
  <si>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</si>
  <si>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</si>
  <si>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</si>
  <si>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</si>
  <si>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</si>
  <si>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</si>
  <si>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</si>
  <si>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</si>
  <si>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</si>
  <si>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</si>
  <si>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</si>
  <si>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</si>
  <si>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</si>
  <si>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</si>
  <si>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</si>
  <si>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</si>
  <si>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</si>
  <si>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</si>
  <si>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</si>
  <si>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</si>
  <si>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</si>
  <si>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</si>
  <si>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</si>
  <si>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</si>
  <si>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</si>
  <si>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</si>
  <si>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</si>
  <si>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</si>
  <si>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</si>
  <si>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</si>
  <si>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</si>
  <si>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</si>
  <si>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</si>
  <si>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</si>
  <si>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</si>
  <si>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</si>
  <si>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</si>
  <si>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</si>
  <si>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</si>
  <si>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</si>
  <si>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</si>
  <si>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</si>
  <si>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</si>
  <si>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</si>
  <si>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</si>
  <si>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</si>
  <si>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</si>
  <si>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</si>
  <si>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</si>
  <si>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</si>
  <si>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</si>
  <si>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</si>
  <si>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</si>
  <si>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</si>
  <si>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</si>
  <si>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</si>
  <si>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</si>
  <si>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</si>
  <si>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</si>
  <si>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</si>
  <si>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</si>
  <si>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</si>
  <si>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</si>
  <si>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</si>
  <si>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</si>
  <si>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</si>
  <si>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</si>
  <si>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</si>
  <si>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</si>
  <si>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</si>
  <si>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</si>
  <si>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</si>
  <si>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</si>
  <si>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</si>
  <si>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</si>
  <si>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</si>
  <si>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</si>
  <si>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</si>
  <si>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</si>
  <si>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</si>
  <si>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</si>
  <si>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</si>
  <si>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</si>
  <si>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</si>
  <si>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</si>
  <si>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</si>
  <si>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</si>
  <si>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</si>
  <si>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</si>
  <si>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</si>
  <si>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</si>
  <si>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</si>
  <si>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</si>
  <si>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</si>
  <si>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</si>
  <si>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</si>
  <si>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</si>
  <si>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</si>
  <si>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</si>
  <si>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</si>
  <si>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</si>
  <si>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</si>
  <si>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</si>
  <si>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</si>
  <si>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</si>
  <si>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</si>
  <si>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</si>
  <si>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</si>
  <si>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</si>
  <si>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</si>
  <si>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</si>
  <si>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</si>
  <si>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</si>
  <si>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</si>
  <si>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</si>
  <si>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</si>
  <si>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</si>
  <si>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</si>
  <si>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</si>
  <si>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</si>
  <si>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</si>
  <si>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</si>
  <si>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</si>
  <si>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</si>
  <si>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</si>
  <si>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</si>
  <si>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</si>
  <si>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</si>
  <si>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</si>
  <si>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</si>
  <si>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</si>
  <si>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</si>
  <si>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</si>
  <si>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</si>
  <si>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</si>
  <si>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</si>
  <si>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</si>
  <si>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</si>
  <si>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</si>
  <si>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</si>
  <si>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</si>
  <si>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</si>
  <si>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</si>
  <si>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</si>
  <si>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</si>
  <si>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</si>
  <si>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</si>
  <si>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</si>
  <si>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</si>
  <si>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</si>
  <si>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</si>
  <si>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</si>
  <si>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</si>
  <si>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</si>
  <si>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</si>
  <si>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</si>
  <si>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</si>
  <si>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</si>
  <si>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</si>
  <si>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</si>
  <si>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</si>
  <si>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</si>
  <si>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</si>
  <si>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</si>
  <si>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</si>
  <si>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AGENCY FUNDS</t>
  </si>
  <si>
    <t>10/91</t>
  </si>
  <si>
    <t>06/02</t>
  </si>
  <si>
    <t>10/11</t>
  </si>
  <si>
    <t>07/12</t>
  </si>
  <si>
    <t>Rounding</t>
  </si>
  <si>
    <t>Souhegan Cooperative SD</t>
  </si>
  <si>
    <t>Expendable trust was dissolved - funds moved to General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</si>
</sst>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547B-ED3F-480C-88D5-F480097CEB9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493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380592.09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132089.31</v>
      </c>
      <c r="G12" s="18">
        <v>998.49</v>
      </c>
      <c r="H12" s="18"/>
      <c r="I12" s="18"/>
      <c r="J12" s="67">
        <f>SUM(I433)</f>
        <v>6543.19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9683.0300000000007</v>
      </c>
      <c r="G13" s="18">
        <v>4355.3100000000004</v>
      </c>
      <c r="H13" s="18">
        <v>112205.26</v>
      </c>
      <c r="I13" s="18"/>
      <c r="J13" s="67">
        <f>SUM(I434)</f>
        <v>318110.05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2388.63</v>
      </c>
      <c r="G14" s="18">
        <v>236.48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524753.06000000006</v>
      </c>
      <c r="G19" s="41">
        <f>SUM(G9:G18)</f>
        <v>5590.28</v>
      </c>
      <c r="H19" s="41">
        <f>SUM(H9:H18)</f>
        <v>112205.26</v>
      </c>
      <c r="I19" s="41">
        <f>SUM(I9:I18)</f>
        <v>0</v>
      </c>
      <c r="J19" s="41">
        <f>SUM(J9:J18)</f>
        <v>324653.24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92629.5</v>
      </c>
      <c r="I23" s="18"/>
      <c r="J23" s="67">
        <f>SUM(I440)</f>
        <v>47001.49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5527.71</v>
      </c>
      <c r="G24" s="18">
        <v>5465.77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1141.0899999999999</v>
      </c>
      <c r="G25" s="18">
        <v>714.85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23739.93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5966.45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19575.759999999998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119.44</v>
      </c>
      <c r="G32" s="18"/>
      <c r="H32" s="18"/>
      <c r="I32" s="18"/>
      <c r="J32" s="67">
        <f>SUM(I443)</f>
        <v>2532.5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36494.620000000003</v>
      </c>
      <c r="G33" s="41">
        <f>SUM(G23:G32)</f>
        <v>6180.6200000000008</v>
      </c>
      <c r="H33" s="41">
        <f>SUM(H23:H32)</f>
        <v>112205.26</v>
      </c>
      <c r="I33" s="41">
        <f>SUM(I23:I32)</f>
        <v>0</v>
      </c>
      <c r="J33" s="41">
        <f>SUM(J23:J32)</f>
        <v>49533.99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220760.11</v>
      </c>
      <c r="G37" s="18">
        <v>266.79000000000002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4908.68</v>
      </c>
      <c r="G41" s="18">
        <v>-857.13</v>
      </c>
      <c r="H41" s="18"/>
      <c r="I41" s="18"/>
      <c r="J41" s="13">
        <f>SUM(I449)</f>
        <v>275119.25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262589.65000000002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488258.44</v>
      </c>
      <c r="G43" s="41">
        <f>SUM(G35:G42)</f>
        <v>-590.33999999999992</v>
      </c>
      <c r="H43" s="41">
        <f>SUM(H35:H42)</f>
        <v>0</v>
      </c>
      <c r="I43" s="41">
        <f>SUM(I35:I42)</f>
        <v>0</v>
      </c>
      <c r="J43" s="41">
        <f>SUM(J35:J42)</f>
        <v>275119.25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524753.06000000006</v>
      </c>
      <c r="G44" s="41">
        <f>G43+G33</f>
        <v>5590.2800000000007</v>
      </c>
      <c r="H44" s="41">
        <f>H43+H33</f>
        <v>112205.26</v>
      </c>
      <c r="I44" s="41">
        <f>I43+I33</f>
        <v>0</v>
      </c>
      <c r="J44" s="41">
        <f>J43+J33</f>
        <v>324653.24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11705040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11705040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10617.88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3660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16275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10501.41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41054.289999999994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9965.67</v>
      </c>
      <c r="G88" s="18"/>
      <c r="H88" s="18"/>
      <c r="I88" s="18"/>
      <c r="J88" s="18">
        <v>17080.09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374336.63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125411.81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6494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12575</v>
      </c>
      <c r="G94" s="18"/>
      <c r="H94" s="18">
        <v>10525.01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405.25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10130.24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3303.47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611</v>
      </c>
      <c r="G102" s="18">
        <v>4351.51</v>
      </c>
      <c r="H102" s="18"/>
      <c r="I102" s="18"/>
      <c r="J102" s="18">
        <v>19159.669999999998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168896.44</v>
      </c>
      <c r="G103" s="41">
        <f>SUM(G88:G102)</f>
        <v>378688.14</v>
      </c>
      <c r="H103" s="41">
        <f>SUM(H88:H102)</f>
        <v>10525.01</v>
      </c>
      <c r="I103" s="41">
        <f>SUM(I88:I102)</f>
        <v>0</v>
      </c>
      <c r="J103" s="41">
        <f>SUM(J88:J102)</f>
        <v>36239.759999999995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11914990.729999999</v>
      </c>
      <c r="G104" s="41">
        <f>G52+G103</f>
        <v>378688.14</v>
      </c>
      <c r="H104" s="41">
        <f>H52+H71+H86+H103</f>
        <v>10525.01</v>
      </c>
      <c r="I104" s="41">
        <f>I52+I103</f>
        <v>0</v>
      </c>
      <c r="J104" s="41">
        <f>J52+J103</f>
        <v>36239.759999999995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1510165.18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1613126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579403.81999999995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3702694.9999999995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319999.2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729258.2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1524.72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1140.6099999999999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13050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1063832.1199999999</v>
      </c>
      <c r="G128" s="41">
        <f>SUM(G115:G127)</f>
        <v>1140.6099999999999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4766527.1199999992</v>
      </c>
      <c r="G132" s="41">
        <f>G113+SUM(G128:G129)</f>
        <v>1140.6099999999999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5892.55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46313.73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26907.97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277381.71999999997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157967.67000000001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157967.67000000001</v>
      </c>
      <c r="G154" s="41">
        <f>SUM(G142:G153)</f>
        <v>26907.97</v>
      </c>
      <c r="H154" s="41">
        <f>SUM(H142:H153)</f>
        <v>329588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157967.67000000001</v>
      </c>
      <c r="G161" s="41">
        <f>G139+G154+SUM(G155:G160)</f>
        <v>26907.97</v>
      </c>
      <c r="H161" s="41">
        <f>H139+H154+SUM(H155:H160)</f>
        <v>329588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12000</v>
      </c>
      <c r="H171" s="18"/>
      <c r="I171" s="18"/>
      <c r="J171" s="18">
        <v>40000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12000</v>
      </c>
      <c r="H175" s="41">
        <f>SUM(H171:H174)</f>
        <v>0</v>
      </c>
      <c r="I175" s="41">
        <f>SUM(I171:I174)</f>
        <v>0</v>
      </c>
      <c r="J175" s="41">
        <f>SUM(J171:J174)</f>
        <v>40000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3584.69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3584.69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3584.69</v>
      </c>
      <c r="G184" s="41">
        <f>G175+SUM(G180:G183)</f>
        <v>12000</v>
      </c>
      <c r="H184" s="41">
        <f>+H175+SUM(H180:H183)</f>
        <v>0</v>
      </c>
      <c r="I184" s="41">
        <f>I169+I175+SUM(I180:I183)</f>
        <v>0</v>
      </c>
      <c r="J184" s="41">
        <f>J175</f>
        <v>40000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16843070.210000001</v>
      </c>
      <c r="G185" s="47">
        <f>G104+G132+G161+G184</f>
        <v>418736.72</v>
      </c>
      <c r="H185" s="47">
        <f>H104+H132+H161+H184</f>
        <v>340113.01</v>
      </c>
      <c r="I185" s="47">
        <f>I104+I132+I161+I184</f>
        <v>0</v>
      </c>
      <c r="J185" s="47">
        <f>J104+J132+J184</f>
        <v>76239.759999999995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5000241.97</v>
      </c>
      <c r="G225" s="18">
        <v>1425536.04</v>
      </c>
      <c r="H225" s="18">
        <v>20387.16</v>
      </c>
      <c r="I225" s="18">
        <v>184516.31</v>
      </c>
      <c r="J225" s="18">
        <v>141235.65</v>
      </c>
      <c r="K225" s="18">
        <v>1314.95</v>
      </c>
      <c r="L225" s="19">
        <f>SUM(F225:K225)</f>
        <v>6773232.0800000001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1675783.9</v>
      </c>
      <c r="G226" s="18">
        <v>590362.1</v>
      </c>
      <c r="H226" s="18">
        <v>1244742.3700000001</v>
      </c>
      <c r="I226" s="18">
        <v>10826.8</v>
      </c>
      <c r="J226" s="18">
        <v>11659.6</v>
      </c>
      <c r="K226" s="18">
        <v>0</v>
      </c>
      <c r="L226" s="19">
        <f>SUM(F226:K226)</f>
        <v>3533374.77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173093.86</v>
      </c>
      <c r="G228" s="18">
        <v>19514.05</v>
      </c>
      <c r="H228" s="18">
        <v>76423.87</v>
      </c>
      <c r="I228" s="18">
        <v>104711.1</v>
      </c>
      <c r="J228" s="18"/>
      <c r="K228" s="18">
        <v>13722</v>
      </c>
      <c r="L228" s="19">
        <f>SUM(F228:K228)</f>
        <v>387464.88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662584.09</v>
      </c>
      <c r="G230" s="18">
        <v>209809.24</v>
      </c>
      <c r="H230" s="18">
        <v>69044.97</v>
      </c>
      <c r="I230" s="18">
        <v>13402.5</v>
      </c>
      <c r="J230" s="18"/>
      <c r="K230" s="18"/>
      <c r="L230" s="19">
        <f t="shared" ref="L230:L236" si="4">SUM(F230:K230)</f>
        <v>954840.79999999993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212450.45</v>
      </c>
      <c r="G231" s="18">
        <v>184425.87</v>
      </c>
      <c r="H231" s="18">
        <v>3045.69</v>
      </c>
      <c r="I231" s="18">
        <v>47998.49</v>
      </c>
      <c r="J231" s="18">
        <v>5224.7700000000004</v>
      </c>
      <c r="K231" s="18">
        <v>882</v>
      </c>
      <c r="L231" s="19">
        <f t="shared" si="4"/>
        <v>454027.27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8288.5</v>
      </c>
      <c r="G232" s="18">
        <v>3512.43</v>
      </c>
      <c r="H232" s="18">
        <v>695905.09</v>
      </c>
      <c r="I232" s="18">
        <v>275.33999999999997</v>
      </c>
      <c r="J232" s="18"/>
      <c r="K232" s="18">
        <v>4490.88</v>
      </c>
      <c r="L232" s="19">
        <f t="shared" si="4"/>
        <v>712472.24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522523.2</v>
      </c>
      <c r="G233" s="18">
        <v>142462.20000000001</v>
      </c>
      <c r="H233" s="18">
        <v>40707.660000000003</v>
      </c>
      <c r="I233" s="18">
        <v>15322.93</v>
      </c>
      <c r="J233" s="18">
        <v>24428.15</v>
      </c>
      <c r="K233" s="18">
        <v>11358.32</v>
      </c>
      <c r="L233" s="19">
        <f t="shared" si="4"/>
        <v>756802.46000000008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3081.5</v>
      </c>
      <c r="I234" s="18"/>
      <c r="J234" s="18"/>
      <c r="K234" s="18"/>
      <c r="L234" s="19">
        <f t="shared" si="4"/>
        <v>3081.5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414153.88</v>
      </c>
      <c r="G235" s="18">
        <v>142815.20000000001</v>
      </c>
      <c r="H235" s="18">
        <v>239069.07</v>
      </c>
      <c r="I235" s="18">
        <v>371238.7</v>
      </c>
      <c r="J235" s="18">
        <v>4142</v>
      </c>
      <c r="K235" s="18"/>
      <c r="L235" s="19">
        <f t="shared" si="4"/>
        <v>1171418.8500000001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442541.04</v>
      </c>
      <c r="I236" s="18"/>
      <c r="J236" s="18"/>
      <c r="K236" s="18"/>
      <c r="L236" s="19">
        <f t="shared" si="4"/>
        <v>442541.04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157201</v>
      </c>
      <c r="G237" s="18">
        <v>33577.980000000003</v>
      </c>
      <c r="H237" s="18">
        <v>12541.32</v>
      </c>
      <c r="I237" s="18">
        <v>40246.99</v>
      </c>
      <c r="J237" s="18">
        <v>68488.28</v>
      </c>
      <c r="K237" s="18"/>
      <c r="L237" s="19">
        <f>SUM(F237:K237)</f>
        <v>312055.57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8826320.8499999996</v>
      </c>
      <c r="G239" s="41">
        <f t="shared" si="5"/>
        <v>2752015.1100000008</v>
      </c>
      <c r="H239" s="41">
        <f t="shared" si="5"/>
        <v>2847489.7399999998</v>
      </c>
      <c r="I239" s="41">
        <f t="shared" si="5"/>
        <v>788539.15999999992</v>
      </c>
      <c r="J239" s="41">
        <f t="shared" si="5"/>
        <v>255178.44999999998</v>
      </c>
      <c r="K239" s="41">
        <f t="shared" si="5"/>
        <v>31768.15</v>
      </c>
      <c r="L239" s="41">
        <f t="shared" si="5"/>
        <v>15501311.460000001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12750</v>
      </c>
      <c r="G243" s="18">
        <v>1120.3399999999999</v>
      </c>
      <c r="H243" s="18"/>
      <c r="I243" s="18"/>
      <c r="J243" s="18"/>
      <c r="K243" s="18"/>
      <c r="L243" s="19">
        <f t="shared" si="6"/>
        <v>13870.34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12750</v>
      </c>
      <c r="G248" s="41">
        <f t="shared" si="7"/>
        <v>1120.3399999999999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13870.34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8839070.8499999996</v>
      </c>
      <c r="G249" s="41">
        <f t="shared" si="8"/>
        <v>2753135.4500000007</v>
      </c>
      <c r="H249" s="41">
        <f t="shared" si="8"/>
        <v>2847489.7399999998</v>
      </c>
      <c r="I249" s="41">
        <f t="shared" si="8"/>
        <v>788539.15999999992</v>
      </c>
      <c r="J249" s="41">
        <f t="shared" si="8"/>
        <v>255178.44999999998</v>
      </c>
      <c r="K249" s="41">
        <f t="shared" si="8"/>
        <v>31768.15</v>
      </c>
      <c r="L249" s="41">
        <f t="shared" si="8"/>
        <v>15515181.800000001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713718</v>
      </c>
      <c r="L252" s="19">
        <f>SUM(F252:K252)</f>
        <v>713718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502266.82</v>
      </c>
      <c r="L253" s="19">
        <f>SUM(F253:K253)</f>
        <v>502266.82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12000</v>
      </c>
      <c r="L255" s="19">
        <f>SUM(F255:K255)</f>
        <v>12000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40000</v>
      </c>
      <c r="L258" s="19">
        <f t="shared" si="9"/>
        <v>40000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1267984.82</v>
      </c>
      <c r="L262" s="41">
        <f t="shared" si="9"/>
        <v>1267984.82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8839070.8499999996</v>
      </c>
      <c r="G263" s="42">
        <f t="shared" si="11"/>
        <v>2753135.4500000007</v>
      </c>
      <c r="H263" s="42">
        <f t="shared" si="11"/>
        <v>2847489.7399999998</v>
      </c>
      <c r="I263" s="42">
        <f t="shared" si="11"/>
        <v>788539.15999999992</v>
      </c>
      <c r="J263" s="42">
        <f t="shared" si="11"/>
        <v>255178.44999999998</v>
      </c>
      <c r="K263" s="42">
        <f t="shared" si="11"/>
        <v>1299752.97</v>
      </c>
      <c r="L263" s="42">
        <f t="shared" si="11"/>
        <v>16783166.620000001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13965</v>
      </c>
      <c r="G306" s="18">
        <v>1337.84</v>
      </c>
      <c r="H306" s="18">
        <v>9446.77</v>
      </c>
      <c r="I306" s="18">
        <v>1628.46</v>
      </c>
      <c r="J306" s="18">
        <v>799.09</v>
      </c>
      <c r="K306" s="18"/>
      <c r="L306" s="19">
        <f>SUM(F306:K306)</f>
        <v>27177.16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123023.32</v>
      </c>
      <c r="G307" s="18">
        <v>6259.86</v>
      </c>
      <c r="H307" s="18">
        <v>38807.81</v>
      </c>
      <c r="I307" s="18">
        <v>78049.039999999994</v>
      </c>
      <c r="J307" s="18">
        <v>579.63</v>
      </c>
      <c r="K307" s="18"/>
      <c r="L307" s="19">
        <f>SUM(F307:K307)</f>
        <v>246719.65999999997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2680.5</v>
      </c>
      <c r="G311" s="18">
        <v>316.25</v>
      </c>
      <c r="H311" s="18">
        <v>14277.07</v>
      </c>
      <c r="I311" s="18">
        <v>508.06</v>
      </c>
      <c r="J311" s="18"/>
      <c r="K311" s="18"/>
      <c r="L311" s="19">
        <f t="shared" ref="L311:L317" si="16">SUM(F311:K311)</f>
        <v>17781.88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7750</v>
      </c>
      <c r="G312" s="18">
        <v>1661.94</v>
      </c>
      <c r="H312" s="18">
        <v>29061.67</v>
      </c>
      <c r="I312" s="18"/>
      <c r="J312" s="18">
        <v>9960.7000000000007</v>
      </c>
      <c r="K312" s="18"/>
      <c r="L312" s="19">
        <f t="shared" si="16"/>
        <v>48434.31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147418.82</v>
      </c>
      <c r="G320" s="42">
        <f t="shared" si="17"/>
        <v>9575.89</v>
      </c>
      <c r="H320" s="42">
        <f t="shared" si="17"/>
        <v>91593.32</v>
      </c>
      <c r="I320" s="42">
        <f t="shared" si="17"/>
        <v>80185.56</v>
      </c>
      <c r="J320" s="42">
        <f t="shared" si="17"/>
        <v>11339.42</v>
      </c>
      <c r="K320" s="42">
        <f t="shared" si="17"/>
        <v>0</v>
      </c>
      <c r="L320" s="41">
        <f t="shared" si="17"/>
        <v>340113.00999999995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147418.82</v>
      </c>
      <c r="G330" s="41">
        <f t="shared" si="20"/>
        <v>9575.89</v>
      </c>
      <c r="H330" s="41">
        <f t="shared" si="20"/>
        <v>91593.32</v>
      </c>
      <c r="I330" s="41">
        <f t="shared" si="20"/>
        <v>80185.56</v>
      </c>
      <c r="J330" s="41">
        <f t="shared" si="20"/>
        <v>11339.42</v>
      </c>
      <c r="K330" s="41">
        <f t="shared" si="20"/>
        <v>0</v>
      </c>
      <c r="L330" s="41">
        <f t="shared" si="20"/>
        <v>340113.00999999995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147418.82</v>
      </c>
      <c r="G344" s="41">
        <f>G330</f>
        <v>9575.89</v>
      </c>
      <c r="H344" s="41">
        <f>H330</f>
        <v>91593.32</v>
      </c>
      <c r="I344" s="41">
        <f>I330</f>
        <v>80185.56</v>
      </c>
      <c r="J344" s="41">
        <f>J330</f>
        <v>11339.42</v>
      </c>
      <c r="K344" s="47">
        <f>K330+K343</f>
        <v>0</v>
      </c>
      <c r="L344" s="41">
        <f>L330+L343</f>
        <v>340113.00999999995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175179.41</v>
      </c>
      <c r="G352" s="18">
        <v>70448.83</v>
      </c>
      <c r="H352" s="18">
        <v>4310.8100000000004</v>
      </c>
      <c r="I352" s="18">
        <v>167283</v>
      </c>
      <c r="J352" s="18">
        <v>2105.0100000000002</v>
      </c>
      <c r="K352" s="18"/>
      <c r="L352" s="19">
        <f>SUM(F352:K352)</f>
        <v>419327.06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175179.41</v>
      </c>
      <c r="G354" s="47">
        <f t="shared" si="22"/>
        <v>70448.83</v>
      </c>
      <c r="H354" s="47">
        <f t="shared" si="22"/>
        <v>4310.8100000000004</v>
      </c>
      <c r="I354" s="47">
        <f t="shared" si="22"/>
        <v>167283</v>
      </c>
      <c r="J354" s="47">
        <f t="shared" si="22"/>
        <v>2105.0100000000002</v>
      </c>
      <c r="K354" s="47">
        <f t="shared" si="22"/>
        <v>0</v>
      </c>
      <c r="L354" s="47">
        <f t="shared" si="22"/>
        <v>419327.06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>
        <v>151954.6</v>
      </c>
      <c r="I359" s="56">
        <f>SUM(F359:H359)</f>
        <v>151954.6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>
        <v>15328.4</v>
      </c>
      <c r="I360" s="56">
        <f>SUM(F360:H360)</f>
        <v>15328.4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167283</v>
      </c>
      <c r="I361" s="47">
        <f>SUM(I359:I360)</f>
        <v>167283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40000</v>
      </c>
      <c r="H388" s="18">
        <v>101.01</v>
      </c>
      <c r="I388" s="18"/>
      <c r="J388" s="24" t="s">
        <v>312</v>
      </c>
      <c r="K388" s="24" t="s">
        <v>312</v>
      </c>
      <c r="L388" s="56">
        <f t="shared" si="26"/>
        <v>40101.01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16949.91</v>
      </c>
      <c r="I389" s="18"/>
      <c r="J389" s="24" t="s">
        <v>312</v>
      </c>
      <c r="K389" s="24" t="s">
        <v>312</v>
      </c>
      <c r="L389" s="56">
        <f t="shared" si="26"/>
        <v>16949.91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29.17</v>
      </c>
      <c r="I392" s="18"/>
      <c r="J392" s="24" t="s">
        <v>312</v>
      </c>
      <c r="K392" s="24" t="s">
        <v>312</v>
      </c>
      <c r="L392" s="56">
        <f t="shared" si="26"/>
        <v>29.17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40000</v>
      </c>
      <c r="H393" s="47">
        <f>SUM(H387:H392)</f>
        <v>17080.089999999997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57080.09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>
        <v>19159.669999999998</v>
      </c>
      <c r="J395" s="24" t="s">
        <v>312</v>
      </c>
      <c r="K395" s="24" t="s">
        <v>312</v>
      </c>
      <c r="L395" s="56">
        <f>SUM(F395:K395)</f>
        <v>19159.669999999998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19159.669999999998</v>
      </c>
      <c r="J399" s="49" t="s">
        <v>312</v>
      </c>
      <c r="K399" s="49" t="s">
        <v>312</v>
      </c>
      <c r="L399" s="47">
        <f>SUM(L395:L398)</f>
        <v>19159.669999999998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40000</v>
      </c>
      <c r="H400" s="47">
        <f>H385+H393+H399</f>
        <v>17080.089999999997</v>
      </c>
      <c r="I400" s="47">
        <f>I385+I393+I399</f>
        <v>19159.669999999998</v>
      </c>
      <c r="J400" s="24" t="s">
        <v>312</v>
      </c>
      <c r="K400" s="24" t="s">
        <v>312</v>
      </c>
      <c r="L400" s="47">
        <f>L385+L393+L399</f>
        <v>76239.759999999995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47001.49</v>
      </c>
      <c r="I414" s="18"/>
      <c r="J414" s="18"/>
      <c r="K414" s="18"/>
      <c r="L414" s="56">
        <f t="shared" si="29"/>
        <v>47001.49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3584.69</v>
      </c>
      <c r="L418" s="56">
        <f t="shared" si="29"/>
        <v>3584.69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47001.49</v>
      </c>
      <c r="I419" s="47">
        <f t="shared" si="30"/>
        <v>0</v>
      </c>
      <c r="J419" s="47">
        <f t="shared" si="30"/>
        <v>0</v>
      </c>
      <c r="K419" s="47">
        <f t="shared" si="30"/>
        <v>3584.69</v>
      </c>
      <c r="L419" s="47">
        <f t="shared" si="30"/>
        <v>50586.18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894</v>
      </c>
      <c r="B421" s="6">
        <v>17</v>
      </c>
      <c r="C421" s="6">
        <v>15</v>
      </c>
      <c r="D421" s="2" t="s">
        <v>456</v>
      </c>
      <c r="E421" s="6"/>
      <c r="F421" s="18">
        <v>16648.46</v>
      </c>
      <c r="G421" s="18">
        <v>1877.33</v>
      </c>
      <c r="H421" s="18">
        <v>103.65</v>
      </c>
      <c r="I421" s="18">
        <v>233.1</v>
      </c>
      <c r="J421" s="18"/>
      <c r="K421" s="18"/>
      <c r="L421" s="56">
        <f>SUM(F421:K421)</f>
        <v>18862.54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16648.46</v>
      </c>
      <c r="G425" s="47">
        <f t="shared" si="31"/>
        <v>1877.33</v>
      </c>
      <c r="H425" s="47">
        <f t="shared" si="31"/>
        <v>103.65</v>
      </c>
      <c r="I425" s="47">
        <f t="shared" si="31"/>
        <v>233.1</v>
      </c>
      <c r="J425" s="47">
        <f t="shared" si="31"/>
        <v>0</v>
      </c>
      <c r="K425" s="47">
        <f t="shared" si="31"/>
        <v>0</v>
      </c>
      <c r="L425" s="47">
        <f t="shared" si="31"/>
        <v>18862.54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16648.46</v>
      </c>
      <c r="G426" s="47">
        <f t="shared" si="32"/>
        <v>1877.33</v>
      </c>
      <c r="H426" s="47">
        <f t="shared" si="32"/>
        <v>47105.14</v>
      </c>
      <c r="I426" s="47">
        <f t="shared" si="32"/>
        <v>233.1</v>
      </c>
      <c r="J426" s="47">
        <f t="shared" si="32"/>
        <v>0</v>
      </c>
      <c r="K426" s="47">
        <f t="shared" si="32"/>
        <v>3584.69</v>
      </c>
      <c r="L426" s="47">
        <f t="shared" si="32"/>
        <v>69448.72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6543.19</v>
      </c>
      <c r="H433" s="18"/>
      <c r="I433" s="56">
        <f t="shared" si="33"/>
        <v>6543.19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318110.05</v>
      </c>
      <c r="H434" s="18"/>
      <c r="I434" s="56">
        <f t="shared" si="33"/>
        <v>318110.05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324653.24</v>
      </c>
      <c r="H438" s="13">
        <f>SUM(H431:H437)</f>
        <v>0</v>
      </c>
      <c r="I438" s="13">
        <f>SUM(I431:I437)</f>
        <v>324653.24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47001.49</v>
      </c>
      <c r="H440" s="18"/>
      <c r="I440" s="56">
        <f>SUM(F440:H440)</f>
        <v>47001.49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>
        <v>2532.5</v>
      </c>
      <c r="H443" s="18"/>
      <c r="I443" s="56">
        <f>SUM(F443:H443)</f>
        <v>2532.5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49533.99</v>
      </c>
      <c r="H444" s="72">
        <f>SUM(H440:H443)</f>
        <v>0</v>
      </c>
      <c r="I444" s="72">
        <f>SUM(I440:I443)</f>
        <v>49533.99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275119.25</v>
      </c>
      <c r="H449" s="18"/>
      <c r="I449" s="56">
        <f>SUM(F449:H449)</f>
        <v>275119.25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275119.25</v>
      </c>
      <c r="H450" s="83">
        <f>SUM(H446:H449)</f>
        <v>0</v>
      </c>
      <c r="I450" s="83">
        <f>SUM(I446:I449)</f>
        <v>275119.25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324653.24</v>
      </c>
      <c r="H451" s="42">
        <f>H444+H450</f>
        <v>0</v>
      </c>
      <c r="I451" s="42">
        <f>I444+I450</f>
        <v>324653.24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428353.85</v>
      </c>
      <c r="G455" s="18">
        <v>0</v>
      </c>
      <c r="H455" s="18">
        <v>0</v>
      </c>
      <c r="I455" s="18">
        <v>0</v>
      </c>
      <c r="J455" s="18">
        <v>268328.21000000002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16843070.210000001</v>
      </c>
      <c r="G458" s="18">
        <v>418736.72</v>
      </c>
      <c r="H458" s="18">
        <v>340113.01</v>
      </c>
      <c r="I458" s="18"/>
      <c r="J458" s="18">
        <v>76239.759999999995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1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16843071.210000001</v>
      </c>
      <c r="G460" s="53">
        <f>SUM(G458:G459)</f>
        <v>418736.72</v>
      </c>
      <c r="H460" s="53">
        <f>SUM(H458:H459)</f>
        <v>340113.01</v>
      </c>
      <c r="I460" s="53">
        <f>SUM(I458:I459)</f>
        <v>0</v>
      </c>
      <c r="J460" s="53">
        <f>SUM(J458:J459)</f>
        <v>76239.759999999995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16783166.620000001</v>
      </c>
      <c r="G462" s="18">
        <v>419327.06</v>
      </c>
      <c r="H462" s="18">
        <v>340113.01</v>
      </c>
      <c r="I462" s="18"/>
      <c r="J462" s="18">
        <v>69448.72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16783166.620000001</v>
      </c>
      <c r="G464" s="53">
        <f>SUM(G462:G463)</f>
        <v>419327.06</v>
      </c>
      <c r="H464" s="53">
        <f>SUM(H462:H463)</f>
        <v>340113.01</v>
      </c>
      <c r="I464" s="53">
        <f>SUM(I462:I463)</f>
        <v>0</v>
      </c>
      <c r="J464" s="53">
        <f>SUM(J462:J463)</f>
        <v>69448.72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488258.44000000134</v>
      </c>
      <c r="G466" s="53">
        <f>(G455+G460)- G464</f>
        <v>-590.34000000002561</v>
      </c>
      <c r="H466" s="53">
        <f>(H455+H460)- H464</f>
        <v>0</v>
      </c>
      <c r="I466" s="53">
        <f>(I455+I460)- I464</f>
        <v>0</v>
      </c>
      <c r="J466" s="53">
        <f>(J455+J460)- J464</f>
        <v>275119.25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899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12146508.15</v>
      </c>
      <c r="G483" s="18">
        <v>5800000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7.3499999999999996E-2</v>
      </c>
      <c r="G484" s="18">
        <v>0.05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339233.45</v>
      </c>
      <c r="G485" s="18">
        <v>2320000</v>
      </c>
      <c r="H485" s="18"/>
      <c r="I485" s="18"/>
      <c r="J485" s="18"/>
      <c r="K485" s="53">
        <f>SUM(F485:J485)</f>
        <v>2659233.4500000002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133718</v>
      </c>
      <c r="G487" s="18">
        <v>580000</v>
      </c>
      <c r="H487" s="18"/>
      <c r="I487" s="18"/>
      <c r="J487" s="18"/>
      <c r="K487" s="53">
        <f t="shared" si="34"/>
        <v>713718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205515.45</v>
      </c>
      <c r="G488" s="205">
        <v>1740000</v>
      </c>
      <c r="H488" s="205"/>
      <c r="I488" s="205"/>
      <c r="J488" s="205"/>
      <c r="K488" s="206">
        <f t="shared" si="34"/>
        <v>1945515.45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709484.05</v>
      </c>
      <c r="G489" s="18">
        <v>129195</v>
      </c>
      <c r="H489" s="18"/>
      <c r="I489" s="18"/>
      <c r="J489" s="18"/>
      <c r="K489" s="53">
        <f t="shared" si="34"/>
        <v>838679.05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914999.5</v>
      </c>
      <c r="G490" s="42">
        <f>SUM(G488:G489)</f>
        <v>1869195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2784194.5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112670</v>
      </c>
      <c r="G491" s="205">
        <v>580000</v>
      </c>
      <c r="H491" s="205"/>
      <c r="I491" s="205"/>
      <c r="J491" s="205"/>
      <c r="K491" s="206">
        <f t="shared" si="34"/>
        <v>692670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372329.65</v>
      </c>
      <c r="G492" s="18">
        <v>71775</v>
      </c>
      <c r="H492" s="18"/>
      <c r="I492" s="18"/>
      <c r="J492" s="18"/>
      <c r="K492" s="53">
        <f t="shared" si="34"/>
        <v>444104.65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484999.65</v>
      </c>
      <c r="G493" s="42">
        <f>SUM(G491:G492)</f>
        <v>651775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1136774.6499999999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1532972.24</v>
      </c>
      <c r="G513" s="18">
        <v>505061.15</v>
      </c>
      <c r="H513" s="18">
        <v>1034673.44</v>
      </c>
      <c r="I513" s="18">
        <v>86202.58</v>
      </c>
      <c r="J513" s="18">
        <v>579.63</v>
      </c>
      <c r="K513" s="18"/>
      <c r="L513" s="88">
        <f>SUM(F513:K513)</f>
        <v>3159489.04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1532972.24</v>
      </c>
      <c r="G514" s="108">
        <f t="shared" ref="G514:L514" si="35">SUM(G511:G513)</f>
        <v>505061.15</v>
      </c>
      <c r="H514" s="108">
        <f t="shared" si="35"/>
        <v>1034673.44</v>
      </c>
      <c r="I514" s="108">
        <f t="shared" si="35"/>
        <v>86202.58</v>
      </c>
      <c r="J514" s="108">
        <f t="shared" si="35"/>
        <v>579.63</v>
      </c>
      <c r="K514" s="108">
        <f t="shared" si="35"/>
        <v>0</v>
      </c>
      <c r="L514" s="89">
        <f t="shared" si="35"/>
        <v>3159489.04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92682.12</v>
      </c>
      <c r="G518" s="18">
        <v>29868.47</v>
      </c>
      <c r="H518" s="18">
        <v>230475.45</v>
      </c>
      <c r="I518" s="18"/>
      <c r="J518" s="18"/>
      <c r="K518" s="18"/>
      <c r="L518" s="88">
        <f>SUM(F518:K518)</f>
        <v>353026.04000000004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92682.12</v>
      </c>
      <c r="G519" s="89">
        <f t="shared" ref="G519:L519" si="36">SUM(G516:G518)</f>
        <v>29868.47</v>
      </c>
      <c r="H519" s="89">
        <f t="shared" si="36"/>
        <v>230475.45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353026.04000000004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173152.86</v>
      </c>
      <c r="G523" s="18">
        <v>61976.41</v>
      </c>
      <c r="H523" s="18">
        <v>18401.29</v>
      </c>
      <c r="I523" s="18">
        <v>2673.26</v>
      </c>
      <c r="J523" s="18">
        <v>11659.6</v>
      </c>
      <c r="K523" s="18"/>
      <c r="L523" s="88">
        <f>SUM(F523:K523)</f>
        <v>267863.42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173152.86</v>
      </c>
      <c r="G524" s="89">
        <f t="shared" ref="G524:L524" si="37">SUM(G521:G523)</f>
        <v>61976.41</v>
      </c>
      <c r="H524" s="89">
        <f t="shared" si="37"/>
        <v>18401.29</v>
      </c>
      <c r="I524" s="89">
        <f t="shared" si="37"/>
        <v>2673.26</v>
      </c>
      <c r="J524" s="89">
        <f t="shared" si="37"/>
        <v>11659.6</v>
      </c>
      <c r="K524" s="89">
        <f t="shared" si="37"/>
        <v>0</v>
      </c>
      <c r="L524" s="89">
        <f t="shared" si="37"/>
        <v>267863.42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150149.47</v>
      </c>
      <c r="I533" s="18"/>
      <c r="J533" s="18"/>
      <c r="K533" s="18"/>
      <c r="L533" s="88">
        <f>SUM(F533:K533)</f>
        <v>150149.47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150149.47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150149.47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1798807.2199999997</v>
      </c>
      <c r="G535" s="89">
        <f t="shared" ref="G535:L535" si="40">G514+G519+G524+G529+G534</f>
        <v>596906.03</v>
      </c>
      <c r="H535" s="89">
        <f t="shared" si="40"/>
        <v>1433699.65</v>
      </c>
      <c r="I535" s="89">
        <f t="shared" si="40"/>
        <v>88875.839999999997</v>
      </c>
      <c r="J535" s="89">
        <f t="shared" si="40"/>
        <v>12239.23</v>
      </c>
      <c r="K535" s="89">
        <f t="shared" si="40"/>
        <v>0</v>
      </c>
      <c r="L535" s="89">
        <f t="shared" si="40"/>
        <v>3930527.97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3159489.04</v>
      </c>
      <c r="G541" s="87">
        <f>L518</f>
        <v>353026.04000000004</v>
      </c>
      <c r="H541" s="87">
        <f>L523</f>
        <v>267863.42</v>
      </c>
      <c r="I541" s="87">
        <f>L528</f>
        <v>0</v>
      </c>
      <c r="J541" s="87">
        <f>L533</f>
        <v>150149.47</v>
      </c>
      <c r="K541" s="87">
        <f>SUM(F541:J541)</f>
        <v>3930527.97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3159489.04</v>
      </c>
      <c r="G542" s="89">
        <f t="shared" si="41"/>
        <v>353026.04000000004</v>
      </c>
      <c r="H542" s="89">
        <f t="shared" si="41"/>
        <v>267863.42</v>
      </c>
      <c r="I542" s="89">
        <f t="shared" si="41"/>
        <v>0</v>
      </c>
      <c r="J542" s="89">
        <f t="shared" si="41"/>
        <v>150149.47</v>
      </c>
      <c r="K542" s="89">
        <f t="shared" si="41"/>
        <v>3930527.97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586630.18999999994</v>
      </c>
      <c r="I571" s="87">
        <f t="shared" si="46"/>
        <v>586630.18999999994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8596.83</v>
      </c>
      <c r="I574" s="87">
        <f t="shared" si="46"/>
        <v>8596.83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/>
      <c r="J581" s="18">
        <v>185829.86</v>
      </c>
      <c r="K581" s="104">
        <f t="shared" ref="K581:K587" si="47">SUM(H581:J581)</f>
        <v>185829.86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v>150149.47</v>
      </c>
      <c r="K582" s="104">
        <f t="shared" si="47"/>
        <v>150149.47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15619.5</v>
      </c>
      <c r="K583" s="104">
        <f t="shared" si="47"/>
        <v>15619.5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84505.18</v>
      </c>
      <c r="K584" s="104">
        <f t="shared" si="47"/>
        <v>84505.18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>
        <v>6437.03</v>
      </c>
      <c r="K585" s="104">
        <f t="shared" si="47"/>
        <v>6437.03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0</v>
      </c>
      <c r="J588" s="108">
        <f>SUM(J581:J587)</f>
        <v>442541.04</v>
      </c>
      <c r="K588" s="108">
        <f>SUM(K581:K587)</f>
        <v>442541.04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>
        <v>266517.87</v>
      </c>
      <c r="K594" s="104">
        <f>SUM(H594:J594)</f>
        <v>266517.87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266517.87</v>
      </c>
      <c r="K595" s="108">
        <f>SUM(K592:K594)</f>
        <v>266517.87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6987.5</v>
      </c>
      <c r="G603" s="18">
        <v>889.19</v>
      </c>
      <c r="H603" s="18"/>
      <c r="I603" s="18"/>
      <c r="J603" s="18"/>
      <c r="K603" s="18"/>
      <c r="L603" s="88">
        <f>SUM(F603:K603)</f>
        <v>7876.6900000000005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6987.5</v>
      </c>
      <c r="G604" s="108">
        <f t="shared" si="48"/>
        <v>889.19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7876.6900000000005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524753.06000000006</v>
      </c>
      <c r="H607" s="109">
        <f>SUM(F44)</f>
        <v>524753.06000000006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5590.28</v>
      </c>
      <c r="H608" s="109">
        <f>SUM(G44)</f>
        <v>5590.2800000000007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112205.26</v>
      </c>
      <c r="H609" s="109">
        <f>SUM(H44)</f>
        <v>112205.26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324653.24</v>
      </c>
      <c r="H611" s="109">
        <f>SUM(J44)</f>
        <v>324653.24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488258.44</v>
      </c>
      <c r="H612" s="109">
        <f>F466</f>
        <v>488258.44000000134</v>
      </c>
      <c r="I612" s="121" t="s">
        <v>106</v>
      </c>
      <c r="J612" s="109">
        <f t="shared" ref="J612:J645" si="49">G612-H612</f>
        <v>-1.3387762010097504E-9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-590.33999999999992</v>
      </c>
      <c r="H613" s="109">
        <f>G466</f>
        <v>-590.34000000002561</v>
      </c>
      <c r="I613" s="121" t="s">
        <v>108</v>
      </c>
      <c r="J613" s="109">
        <f t="shared" si="49"/>
        <v>2.5693225325085223E-11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275119.25</v>
      </c>
      <c r="H616" s="109">
        <f>J466</f>
        <v>275119.25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16843070.210000001</v>
      </c>
      <c r="H617" s="104">
        <f>SUM(F458)</f>
        <v>16843070.210000001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418736.72</v>
      </c>
      <c r="H618" s="104">
        <f>SUM(G458)</f>
        <v>418736.72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340113.01</v>
      </c>
      <c r="H619" s="104">
        <f>SUM(H458)</f>
        <v>340113.01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76239.759999999995</v>
      </c>
      <c r="H621" s="104">
        <f>SUM(J458)</f>
        <v>76239.759999999995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16783166.620000001</v>
      </c>
      <c r="H622" s="104">
        <f>SUM(F462)</f>
        <v>16783166.620000001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340113.00999999995</v>
      </c>
      <c r="H623" s="104">
        <f>SUM(H462)</f>
        <v>340113.01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167283</v>
      </c>
      <c r="H624" s="104">
        <f>I361</f>
        <v>167283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419327.06</v>
      </c>
      <c r="H625" s="104">
        <f>SUM(G462)</f>
        <v>419327.06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76239.759999999995</v>
      </c>
      <c r="H627" s="164">
        <f>SUM(J458)</f>
        <v>76239.759999999995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69448.72</v>
      </c>
      <c r="H628" s="164">
        <f>SUM(J462)</f>
        <v>69448.72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324653.24</v>
      </c>
      <c r="H630" s="104">
        <f>SUM(G451)</f>
        <v>324653.24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324653.24</v>
      </c>
      <c r="H632" s="104">
        <f>SUM(I451)</f>
        <v>324653.24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17080.09</v>
      </c>
      <c r="H634" s="104">
        <f>H400</f>
        <v>17080.089999999997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40000</v>
      </c>
      <c r="H635" s="104">
        <f>G400</f>
        <v>40000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76239.759999999995</v>
      </c>
      <c r="H636" s="104">
        <f>L400</f>
        <v>76239.759999999995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442541.04</v>
      </c>
      <c r="H637" s="104">
        <f>L200+L218+L236</f>
        <v>442541.04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266517.87</v>
      </c>
      <c r="H638" s="104">
        <f>(J249+J330)-(J247+J328)</f>
        <v>266517.87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442541.04</v>
      </c>
      <c r="H641" s="104">
        <f>J588</f>
        <v>442541.04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12000</v>
      </c>
      <c r="H642" s="104">
        <f>K255+K337</f>
        <v>12000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40000</v>
      </c>
      <c r="H645" s="104">
        <f>K258+K339</f>
        <v>40000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0</v>
      </c>
      <c r="H650" s="19">
        <f>(L239+L320+L352)</f>
        <v>16260751.530000001</v>
      </c>
      <c r="I650" s="19">
        <f>SUM(F650:H650)</f>
        <v>16260751.530000001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378688.14</v>
      </c>
      <c r="I651" s="19">
        <f>SUM(F651:H651)</f>
        <v>378688.14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0</v>
      </c>
      <c r="H652" s="19">
        <f>(L236+L317)-(J236+J317)</f>
        <v>442541.04</v>
      </c>
      <c r="I652" s="19">
        <f>SUM(F652:H652)</f>
        <v>442541.04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0</v>
      </c>
      <c r="H653" s="200">
        <f>SUM(H565:H577)+SUM(J592:J594)+L603</f>
        <v>869621.57999999984</v>
      </c>
      <c r="I653" s="19">
        <f>SUM(F653:H653)</f>
        <v>869621.57999999984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0</v>
      </c>
      <c r="H654" s="19">
        <f>H650-SUM(H651:H653)</f>
        <v>14569900.770000001</v>
      </c>
      <c r="I654" s="19">
        <f>I650-SUM(I651:I653)</f>
        <v>14569900.770000001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>
        <v>889.62</v>
      </c>
      <c r="I655" s="19">
        <f>SUM(F655:H655)</f>
        <v>889.62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>
        <f>ROUND(H654/H655,2)</f>
        <v>16377.67</v>
      </c>
      <c r="I657" s="19">
        <f>ROUND(I654/I655,2)</f>
        <v>16377.67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-3.49</v>
      </c>
      <c r="I660" s="19">
        <f>SUM(F660:H660)</f>
        <v>-3.49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>
        <f>ROUND((H654+H659)/(H655+H660),2)</f>
        <v>16442.169999999998</v>
      </c>
      <c r="I662" s="19">
        <f>ROUND((I654+I659)/(I655+I660),2)</f>
        <v>16442.169999999998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126C-7EA3-4D77-A701-C9C65D34C415}">
  <sheetPr>
    <tabColor indexed="20"/>
  </sheetPr>
  <dimension ref="A1:C52"/>
  <sheetViews>
    <sheetView topLeftCell="A5"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Souhegan Cooperative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5014206.97</v>
      </c>
      <c r="C9" s="230">
        <f>'DOE25'!G189+'DOE25'!G207+'DOE25'!G225+'DOE25'!G268+'DOE25'!G287+'DOE25'!G306</f>
        <v>1426873.8800000001</v>
      </c>
    </row>
    <row r="10" spans="1:3" x14ac:dyDescent="0.2">
      <c r="A10" t="s">
        <v>813</v>
      </c>
      <c r="B10" s="241">
        <v>4907535.88</v>
      </c>
      <c r="C10" s="241">
        <v>1396518.89</v>
      </c>
    </row>
    <row r="11" spans="1:3" x14ac:dyDescent="0.2">
      <c r="A11" t="s">
        <v>814</v>
      </c>
      <c r="B11" s="241">
        <v>106671.09</v>
      </c>
      <c r="C11" s="241">
        <v>30354.99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5014206.97</v>
      </c>
      <c r="C13" s="232">
        <f>SUM(C10:C12)</f>
        <v>1426873.88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1798807.22</v>
      </c>
      <c r="C18" s="230">
        <f>'DOE25'!G190+'DOE25'!G208+'DOE25'!G226+'DOE25'!G269+'DOE25'!G288+'DOE25'!G307</f>
        <v>596621.96</v>
      </c>
    </row>
    <row r="19" spans="1:3" x14ac:dyDescent="0.2">
      <c r="A19" t="s">
        <v>813</v>
      </c>
      <c r="B19" s="241">
        <v>959710.64</v>
      </c>
      <c r="C19" s="241">
        <v>318313.40000000002</v>
      </c>
    </row>
    <row r="20" spans="1:3" x14ac:dyDescent="0.2">
      <c r="A20" t="s">
        <v>814</v>
      </c>
      <c r="B20" s="241">
        <v>569895.53</v>
      </c>
      <c r="C20" s="241">
        <v>189020.92</v>
      </c>
    </row>
    <row r="21" spans="1:3" x14ac:dyDescent="0.2">
      <c r="A21" t="s">
        <v>815</v>
      </c>
      <c r="B21" s="241">
        <v>269201.05</v>
      </c>
      <c r="C21" s="241">
        <v>89287.64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1798807.22</v>
      </c>
      <c r="C22" s="232">
        <f>SUM(C19:C21)</f>
        <v>596621.96000000008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173093.86</v>
      </c>
      <c r="C36" s="236">
        <f>'DOE25'!G192+'DOE25'!G210+'DOE25'!G228+'DOE25'!G271+'DOE25'!G290+'DOE25'!G309</f>
        <v>19514.05</v>
      </c>
    </row>
    <row r="37" spans="1:3" x14ac:dyDescent="0.2">
      <c r="A37" t="s">
        <v>813</v>
      </c>
      <c r="B37" s="241">
        <v>61751.94</v>
      </c>
      <c r="C37" s="241">
        <v>12249.28</v>
      </c>
    </row>
    <row r="38" spans="1:3" x14ac:dyDescent="0.2">
      <c r="A38" t="s">
        <v>814</v>
      </c>
      <c r="B38" s="241">
        <v>2690.01</v>
      </c>
      <c r="C38" s="241">
        <v>303.25</v>
      </c>
    </row>
    <row r="39" spans="1:3" x14ac:dyDescent="0.2">
      <c r="A39" t="s">
        <v>815</v>
      </c>
      <c r="B39" s="241">
        <v>108651.91</v>
      </c>
      <c r="C39" s="241">
        <v>6961.52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173093.86000000002</v>
      </c>
      <c r="C40" s="232">
        <f>SUM(C37:C39)</f>
        <v>19514.050000000003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2B06-EE51-4F0A-B514-7292FDA7EA83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Souhegan Cooperative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10694071.73</v>
      </c>
      <c r="D5" s="20">
        <f>SUM('DOE25'!L189:L192)+SUM('DOE25'!L207:L210)+SUM('DOE25'!L225:L228)-F5-G5</f>
        <v>10526139.530000001</v>
      </c>
      <c r="E5" s="244"/>
      <c r="F5" s="256">
        <f>SUM('DOE25'!J189:J192)+SUM('DOE25'!J207:J210)+SUM('DOE25'!J225:J228)</f>
        <v>152895.25</v>
      </c>
      <c r="G5" s="53">
        <f>SUM('DOE25'!K189:K192)+SUM('DOE25'!K207:K210)+SUM('DOE25'!K225:K228)</f>
        <v>15036.95</v>
      </c>
      <c r="H5" s="260"/>
    </row>
    <row r="6" spans="1:9" x14ac:dyDescent="0.2">
      <c r="A6" s="32">
        <v>2100</v>
      </c>
      <c r="B6" t="s">
        <v>835</v>
      </c>
      <c r="C6" s="246">
        <f t="shared" si="0"/>
        <v>954840.79999999993</v>
      </c>
      <c r="D6" s="20">
        <f>'DOE25'!L194+'DOE25'!L212+'DOE25'!L230-F6-G6</f>
        <v>954840.79999999993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454027.27</v>
      </c>
      <c r="D7" s="20">
        <f>'DOE25'!L195+'DOE25'!L213+'DOE25'!L231-F7-G7</f>
        <v>447920.5</v>
      </c>
      <c r="E7" s="244"/>
      <c r="F7" s="256">
        <f>'DOE25'!J195+'DOE25'!J213+'DOE25'!J231</f>
        <v>5224.7700000000004</v>
      </c>
      <c r="G7" s="53">
        <f>'DOE25'!K195+'DOE25'!K213+'DOE25'!K231</f>
        <v>882</v>
      </c>
      <c r="H7" s="260"/>
    </row>
    <row r="8" spans="1:9" x14ac:dyDescent="0.2">
      <c r="A8" s="32">
        <v>2300</v>
      </c>
      <c r="B8" t="s">
        <v>836</v>
      </c>
      <c r="C8" s="246">
        <f t="shared" si="0"/>
        <v>712472.24</v>
      </c>
      <c r="D8" s="244"/>
      <c r="E8" s="20">
        <f>'DOE25'!L196+'DOE25'!L214+'DOE25'!L232-F8-G8-D9-D11</f>
        <v>707981.36</v>
      </c>
      <c r="F8" s="256">
        <f>'DOE25'!J196+'DOE25'!J214+'DOE25'!J232</f>
        <v>0</v>
      </c>
      <c r="G8" s="53">
        <f>'DOE25'!K196+'DOE25'!K214+'DOE25'!K232</f>
        <v>4490.88</v>
      </c>
      <c r="H8" s="260"/>
    </row>
    <row r="9" spans="1:9" x14ac:dyDescent="0.2">
      <c r="A9" s="32">
        <v>2310</v>
      </c>
      <c r="B9" t="s">
        <v>852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756802.46000000008</v>
      </c>
      <c r="D12" s="20">
        <f>'DOE25'!L197+'DOE25'!L215+'DOE25'!L233-F12-G12</f>
        <v>721015.99000000011</v>
      </c>
      <c r="E12" s="244"/>
      <c r="F12" s="256">
        <f>'DOE25'!J197+'DOE25'!J215+'DOE25'!J233</f>
        <v>24428.15</v>
      </c>
      <c r="G12" s="53">
        <f>'DOE25'!K197+'DOE25'!K215+'DOE25'!K233</f>
        <v>11358.32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3081.5</v>
      </c>
      <c r="D13" s="244"/>
      <c r="E13" s="20">
        <f>'DOE25'!L198+'DOE25'!L216+'DOE25'!L234-F13-G13</f>
        <v>3081.5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1171418.8500000001</v>
      </c>
      <c r="D14" s="20">
        <f>'DOE25'!L199+'DOE25'!L217+'DOE25'!L235-F14-G14</f>
        <v>1167276.8500000001</v>
      </c>
      <c r="E14" s="244"/>
      <c r="F14" s="256">
        <f>'DOE25'!J199+'DOE25'!J217+'DOE25'!J235</f>
        <v>4142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442541.04</v>
      </c>
      <c r="D15" s="20">
        <f>'DOE25'!L200+'DOE25'!L218+'DOE25'!L236-F15-G15</f>
        <v>442541.04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312055.57</v>
      </c>
      <c r="D16" s="244"/>
      <c r="E16" s="20">
        <f>'DOE25'!L201+'DOE25'!L219+'DOE25'!L237-F16-G16</f>
        <v>243567.29</v>
      </c>
      <c r="F16" s="256">
        <f>'DOE25'!J201+'DOE25'!J219+'DOE25'!J237</f>
        <v>68488.28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13870.34</v>
      </c>
      <c r="D17" s="20">
        <f>'DOE25'!L243-F17-G17</f>
        <v>13870.34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1215984.82</v>
      </c>
      <c r="D25" s="244"/>
      <c r="E25" s="244"/>
      <c r="F25" s="259"/>
      <c r="G25" s="257"/>
      <c r="H25" s="258">
        <f>'DOE25'!L252+'DOE25'!L253+'DOE25'!L333+'DOE25'!L334</f>
        <v>1215984.82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267372.45999999996</v>
      </c>
      <c r="D29" s="20">
        <f>'DOE25'!L350+'DOE25'!L351+'DOE25'!L352-'DOE25'!I359-F29-G29</f>
        <v>265267.44999999995</v>
      </c>
      <c r="E29" s="244"/>
      <c r="F29" s="256">
        <f>'DOE25'!J350+'DOE25'!J351+'DOE25'!J352</f>
        <v>2105.0100000000002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340113.00999999995</v>
      </c>
      <c r="D31" s="20">
        <f>'DOE25'!L282+'DOE25'!L301+'DOE25'!L320+'DOE25'!L325+'DOE25'!L326+'DOE25'!L327-F31-G31</f>
        <v>328773.58999999997</v>
      </c>
      <c r="E31" s="244"/>
      <c r="F31" s="256">
        <f>'DOE25'!J282+'DOE25'!J301+'DOE25'!J320+'DOE25'!J325+'DOE25'!J326+'DOE25'!J327</f>
        <v>11339.42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14867646.09</v>
      </c>
      <c r="E33" s="247">
        <f>SUM(E5:E31)</f>
        <v>954630.15</v>
      </c>
      <c r="F33" s="247">
        <f>SUM(F5:F31)</f>
        <v>268622.88</v>
      </c>
      <c r="G33" s="247">
        <f>SUM(G5:G31)</f>
        <v>31768.15</v>
      </c>
      <c r="H33" s="247">
        <f>SUM(H5:H31)</f>
        <v>1215984.82</v>
      </c>
    </row>
    <row r="35" spans="2:8" ht="12" thickBot="1" x14ac:dyDescent="0.25">
      <c r="B35" s="254" t="s">
        <v>881</v>
      </c>
      <c r="D35" s="255">
        <f>E33</f>
        <v>954630.15</v>
      </c>
      <c r="E35" s="250"/>
    </row>
    <row r="36" spans="2:8" ht="12" thickTop="1" x14ac:dyDescent="0.2">
      <c r="B36" t="s">
        <v>849</v>
      </c>
      <c r="D36" s="20">
        <f>D33</f>
        <v>14867646.09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C11A-78A5-424C-A31E-235D1A27A8F7}">
  <sheetPr transitionEvaluation="1" codeName="Sheet2">
    <tabColor indexed="10"/>
  </sheetPr>
  <dimension ref="A1:I156"/>
  <sheetViews>
    <sheetView workbookViewId="0">
      <pane ySplit="2" topLeftCell="A73" activePane="bottomLeft" state="frozen"/>
      <selection pane="bottomLeft" activeCell="J31" sqref="J31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Souhegan Cooperative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380592.09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132089.31</v>
      </c>
      <c r="D12" s="95">
        <f>'DOE25'!G12</f>
        <v>998.49</v>
      </c>
      <c r="E12" s="95">
        <f>'DOE25'!H12</f>
        <v>0</v>
      </c>
      <c r="F12" s="95">
        <f>'DOE25'!I12</f>
        <v>0</v>
      </c>
      <c r="G12" s="95">
        <f>'DOE25'!J12</f>
        <v>6543.19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9683.0300000000007</v>
      </c>
      <c r="D13" s="95">
        <f>'DOE25'!G13</f>
        <v>4355.3100000000004</v>
      </c>
      <c r="E13" s="95">
        <f>'DOE25'!H13</f>
        <v>112205.26</v>
      </c>
      <c r="F13" s="95">
        <f>'DOE25'!I13</f>
        <v>0</v>
      </c>
      <c r="G13" s="95">
        <f>'DOE25'!J13</f>
        <v>318110.05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2388.63</v>
      </c>
      <c r="D14" s="95">
        <f>'DOE25'!G14</f>
        <v>236.48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524753.06000000006</v>
      </c>
      <c r="D19" s="41">
        <f>SUM(D9:D18)</f>
        <v>5590.28</v>
      </c>
      <c r="E19" s="41">
        <f>SUM(E9:E18)</f>
        <v>112205.26</v>
      </c>
      <c r="F19" s="41">
        <f>SUM(F9:F18)</f>
        <v>0</v>
      </c>
      <c r="G19" s="41">
        <f>SUM(G9:G18)</f>
        <v>324653.24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92629.5</v>
      </c>
      <c r="F22" s="95">
        <f>'DOE25'!I23</f>
        <v>0</v>
      </c>
      <c r="G22" s="95">
        <f>'DOE25'!J23</f>
        <v>47001.49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5527.71</v>
      </c>
      <c r="D23" s="95">
        <f>'DOE25'!G24</f>
        <v>5465.77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1141.0899999999999</v>
      </c>
      <c r="D24" s="95">
        <f>'DOE25'!G25</f>
        <v>714.85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23739.93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5966.45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19575.759999999998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119.44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2532.5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36494.620000000003</v>
      </c>
      <c r="D32" s="41">
        <f>SUM(D22:D31)</f>
        <v>6180.6200000000008</v>
      </c>
      <c r="E32" s="41">
        <f>SUM(E22:E31)</f>
        <v>112205.26</v>
      </c>
      <c r="F32" s="41">
        <f>SUM(F22:F31)</f>
        <v>0</v>
      </c>
      <c r="G32" s="41">
        <f>SUM(G22:G31)</f>
        <v>49533.99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220760.11</v>
      </c>
      <c r="D36" s="95">
        <f>'DOE25'!G37</f>
        <v>266.79000000000002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4908.68</v>
      </c>
      <c r="D40" s="95">
        <f>'DOE25'!G41</f>
        <v>-857.13</v>
      </c>
      <c r="E40" s="95">
        <f>'DOE25'!H41</f>
        <v>0</v>
      </c>
      <c r="F40" s="95">
        <f>'DOE25'!I41</f>
        <v>0</v>
      </c>
      <c r="G40" s="95">
        <f>'DOE25'!J41</f>
        <v>275119.25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262589.65000000002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488258.44</v>
      </c>
      <c r="D42" s="41">
        <f>SUM(D34:D41)</f>
        <v>-590.33999999999992</v>
      </c>
      <c r="E42" s="41">
        <f>SUM(E34:E41)</f>
        <v>0</v>
      </c>
      <c r="F42" s="41">
        <f>SUM(F34:F41)</f>
        <v>0</v>
      </c>
      <c r="G42" s="41">
        <f>SUM(G34:G41)</f>
        <v>275119.25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524753.06000000006</v>
      </c>
      <c r="D43" s="41">
        <f>D42+D32</f>
        <v>5590.2800000000007</v>
      </c>
      <c r="E43" s="41">
        <f>E42+E32</f>
        <v>112205.26</v>
      </c>
      <c r="F43" s="41">
        <f>F42+F32</f>
        <v>0</v>
      </c>
      <c r="G43" s="41">
        <f>G42+G32</f>
        <v>324653.24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11705040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41054.289999999994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9965.67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17080.09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374336.63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158930.76999999999</v>
      </c>
      <c r="D53" s="95">
        <f>SUM('DOE25'!G90:G102)</f>
        <v>4351.51</v>
      </c>
      <c r="E53" s="95">
        <f>SUM('DOE25'!H90:H102)</f>
        <v>10525.01</v>
      </c>
      <c r="F53" s="95">
        <f>SUM('DOE25'!I90:I102)</f>
        <v>0</v>
      </c>
      <c r="G53" s="95">
        <f>SUM('DOE25'!J90:J102)</f>
        <v>19159.669999999998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209950.72999999998</v>
      </c>
      <c r="D54" s="130">
        <f>SUM(D49:D53)</f>
        <v>378688.14</v>
      </c>
      <c r="E54" s="130">
        <f>SUM(E49:E53)</f>
        <v>10525.01</v>
      </c>
      <c r="F54" s="130">
        <f>SUM(F49:F53)</f>
        <v>0</v>
      </c>
      <c r="G54" s="130">
        <f>SUM(G49:G53)</f>
        <v>36239.759999999995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11914990.73</v>
      </c>
      <c r="D55" s="22">
        <f>D48+D54</f>
        <v>378688.14</v>
      </c>
      <c r="E55" s="22">
        <f>E48+E54</f>
        <v>10525.01</v>
      </c>
      <c r="F55" s="22">
        <f>F48+F54</f>
        <v>0</v>
      </c>
      <c r="G55" s="22">
        <f>G48+G54</f>
        <v>36239.759999999995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1510165.18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1613126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579403.81999999995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3702694.9999999995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319999.2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729258.2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1524.72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13050</v>
      </c>
      <c r="D69" s="95">
        <f>SUM('DOE25'!G123:G127)</f>
        <v>1140.6099999999999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1063832.1199999999</v>
      </c>
      <c r="D70" s="130">
        <f>SUM(D64:D69)</f>
        <v>1140.6099999999999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4766527.1199999992</v>
      </c>
      <c r="D73" s="130">
        <f>SUM(D71:D72)+D70+D62</f>
        <v>1140.6099999999999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157967.67000000001</v>
      </c>
      <c r="D80" s="95">
        <f>SUM('DOE25'!G145:G153)</f>
        <v>26907.97</v>
      </c>
      <c r="E80" s="95">
        <f>SUM('DOE25'!H145:H153)</f>
        <v>329588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157967.67000000001</v>
      </c>
      <c r="D83" s="131">
        <f>SUM(D77:D82)</f>
        <v>26907.97</v>
      </c>
      <c r="E83" s="131">
        <f>SUM(E77:E82)</f>
        <v>329588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12000</v>
      </c>
      <c r="E88" s="95">
        <f>'DOE25'!H171</f>
        <v>0</v>
      </c>
      <c r="F88" s="95">
        <f>'DOE25'!I171</f>
        <v>0</v>
      </c>
      <c r="G88" s="95">
        <f>'DOE25'!J171</f>
        <v>40000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3584.69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3584.69</v>
      </c>
      <c r="D95" s="86">
        <f>SUM(D85:D94)</f>
        <v>12000</v>
      </c>
      <c r="E95" s="86">
        <f>SUM(E85:E94)</f>
        <v>0</v>
      </c>
      <c r="F95" s="86">
        <f>SUM(F85:F94)</f>
        <v>0</v>
      </c>
      <c r="G95" s="86">
        <f>SUM(G85:G94)</f>
        <v>40000</v>
      </c>
    </row>
    <row r="96" spans="1:7" ht="12.75" thickTop="1" thickBot="1" x14ac:dyDescent="0.25">
      <c r="A96" s="33" t="s">
        <v>797</v>
      </c>
      <c r="C96" s="86">
        <f>C55+C73+C83+C95</f>
        <v>16843070.210000001</v>
      </c>
      <c r="D96" s="86">
        <f>D55+D73+D83+D95</f>
        <v>418736.72</v>
      </c>
      <c r="E96" s="86">
        <f>E55+E73+E83+E95</f>
        <v>340113.01</v>
      </c>
      <c r="F96" s="86">
        <f>F55+F73+F83+F95</f>
        <v>0</v>
      </c>
      <c r="G96" s="86">
        <f>G55+G73+G95</f>
        <v>76239.759999999995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6773232.0800000001</v>
      </c>
      <c r="D101" s="24" t="s">
        <v>312</v>
      </c>
      <c r="E101" s="95">
        <f>('DOE25'!L268)+('DOE25'!L287)+('DOE25'!L306)</f>
        <v>27177.16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3533374.77</v>
      </c>
      <c r="D102" s="24" t="s">
        <v>312</v>
      </c>
      <c r="E102" s="95">
        <f>('DOE25'!L269)+('DOE25'!L288)+('DOE25'!L307)</f>
        <v>246719.65999999997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387464.88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13870.34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10707942.07</v>
      </c>
      <c r="D107" s="86">
        <f>SUM(D101:D106)</f>
        <v>0</v>
      </c>
      <c r="E107" s="86">
        <f>SUM(E101:E106)</f>
        <v>273896.81999999995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954840.79999999993</v>
      </c>
      <c r="D110" s="24" t="s">
        <v>312</v>
      </c>
      <c r="E110" s="95">
        <f>+('DOE25'!L273)+('DOE25'!L292)+('DOE25'!L311)</f>
        <v>17781.88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454027.27</v>
      </c>
      <c r="D111" s="24" t="s">
        <v>312</v>
      </c>
      <c r="E111" s="95">
        <f>+('DOE25'!L274)+('DOE25'!L293)+('DOE25'!L312)</f>
        <v>48434.31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712472.24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756802.46000000008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3081.5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1171418.8500000001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442541.04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312055.57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419327.06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4807239.7299999995</v>
      </c>
      <c r="D120" s="86">
        <f>SUM(D110:D119)</f>
        <v>419327.06</v>
      </c>
      <c r="E120" s="86">
        <f>SUM(E110:E119)</f>
        <v>66216.19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713718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502266.82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3584.69</v>
      </c>
    </row>
    <row r="127" spans="1:7" x14ac:dyDescent="0.2">
      <c r="A127" t="s">
        <v>256</v>
      </c>
      <c r="B127" s="32" t="s">
        <v>257</v>
      </c>
      <c r="C127" s="95">
        <f>'DOE25'!L255</f>
        <v>12000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57080.09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19159.669999999998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-36239.759999999995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1267984.82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3584.69</v>
      </c>
    </row>
    <row r="137" spans="1:9" ht="12.75" thickTop="1" thickBot="1" x14ac:dyDescent="0.25">
      <c r="A137" s="33" t="s">
        <v>267</v>
      </c>
      <c r="C137" s="86">
        <f>(C107+C120+C136)</f>
        <v>16783166.620000001</v>
      </c>
      <c r="D137" s="86">
        <f>(D107+D120+D136)</f>
        <v>419327.06</v>
      </c>
      <c r="E137" s="86">
        <f>(E107+E120+E136)</f>
        <v>340113.00999999995</v>
      </c>
      <c r="F137" s="86">
        <f>(F107+F120+F136)</f>
        <v>0</v>
      </c>
      <c r="G137" s="86">
        <f>(G107+G120+G136)</f>
        <v>3584.69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10/91</v>
      </c>
      <c r="C144" s="152" t="str">
        <f>'DOE25'!G481</f>
        <v>06/02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10/11</v>
      </c>
      <c r="C145" s="152" t="str">
        <f>'DOE25'!G482</f>
        <v>07/12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12146508.15</v>
      </c>
      <c r="C146" s="137">
        <f>'DOE25'!G483</f>
        <v>5800000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7.3499999999999996E-2</v>
      </c>
      <c r="C147" s="137">
        <f>'DOE25'!G484</f>
        <v>0.05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339233.45</v>
      </c>
      <c r="C148" s="137">
        <f>'DOE25'!G485</f>
        <v>2320000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2659233.4500000002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133718</v>
      </c>
      <c r="C150" s="137">
        <f>'DOE25'!G487</f>
        <v>580000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713718</v>
      </c>
    </row>
    <row r="151" spans="1:7" x14ac:dyDescent="0.2">
      <c r="A151" s="22" t="s">
        <v>35</v>
      </c>
      <c r="B151" s="137">
        <f>'DOE25'!F488</f>
        <v>205515.45</v>
      </c>
      <c r="C151" s="137">
        <f>'DOE25'!G488</f>
        <v>1740000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1945515.45</v>
      </c>
    </row>
    <row r="152" spans="1:7" x14ac:dyDescent="0.2">
      <c r="A152" s="22" t="s">
        <v>36</v>
      </c>
      <c r="B152" s="137">
        <f>'DOE25'!F489</f>
        <v>709484.05</v>
      </c>
      <c r="C152" s="137">
        <f>'DOE25'!G489</f>
        <v>129195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838679.05</v>
      </c>
    </row>
    <row r="153" spans="1:7" x14ac:dyDescent="0.2">
      <c r="A153" s="22" t="s">
        <v>37</v>
      </c>
      <c r="B153" s="137">
        <f>'DOE25'!F490</f>
        <v>914999.5</v>
      </c>
      <c r="C153" s="137">
        <f>'DOE25'!G490</f>
        <v>1869195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2784194.5</v>
      </c>
    </row>
    <row r="154" spans="1:7" x14ac:dyDescent="0.2">
      <c r="A154" s="22" t="s">
        <v>38</v>
      </c>
      <c r="B154" s="137">
        <f>'DOE25'!F491</f>
        <v>112670</v>
      </c>
      <c r="C154" s="137">
        <f>'DOE25'!G491</f>
        <v>580000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692670</v>
      </c>
    </row>
    <row r="155" spans="1:7" x14ac:dyDescent="0.2">
      <c r="A155" s="22" t="s">
        <v>39</v>
      </c>
      <c r="B155" s="137">
        <f>'DOE25'!F492</f>
        <v>372329.65</v>
      </c>
      <c r="C155" s="137">
        <f>'DOE25'!G492</f>
        <v>71775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444104.65</v>
      </c>
    </row>
    <row r="156" spans="1:7" x14ac:dyDescent="0.2">
      <c r="A156" s="22" t="s">
        <v>269</v>
      </c>
      <c r="B156" s="137">
        <f>'DOE25'!F493</f>
        <v>484999.65</v>
      </c>
      <c r="C156" s="137">
        <f>'DOE25'!G493</f>
        <v>651775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1136774.6499999999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92AB-7B0D-443A-9BD6-4A8F97FB2F01}">
  <sheetPr codeName="Sheet3">
    <tabColor indexed="43"/>
  </sheetPr>
  <dimension ref="A1:D42"/>
  <sheetViews>
    <sheetView topLeftCell="A3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Souhegan Cooperative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16442</v>
      </c>
    </row>
    <row r="7" spans="1:4" x14ac:dyDescent="0.2">
      <c r="B7" t="s">
        <v>736</v>
      </c>
      <c r="C7" s="179">
        <f>IF('DOE25'!I655+'DOE25'!I660=0,0,ROUND('DOE25'!I662,0))</f>
        <v>16442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6800409</v>
      </c>
      <c r="D10" s="182">
        <f>ROUND((C10/$C$28)*100,1)</f>
        <v>41.5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3780094</v>
      </c>
      <c r="D11" s="182">
        <f>ROUND((C11/$C$28)*100,1)</f>
        <v>23.1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387465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972623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502462</v>
      </c>
      <c r="D16" s="182">
        <f t="shared" si="0"/>
        <v>3.1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1024528</v>
      </c>
      <c r="D17" s="182">
        <f t="shared" si="0"/>
        <v>6.2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756802</v>
      </c>
      <c r="D18" s="182">
        <f t="shared" si="0"/>
        <v>4.5999999999999996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3082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1171419</v>
      </c>
      <c r="D20" s="182">
        <f t="shared" si="0"/>
        <v>7.1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442541</v>
      </c>
      <c r="D21" s="182">
        <f t="shared" si="0"/>
        <v>2.7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13870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502267</v>
      </c>
      <c r="D25" s="182">
        <f t="shared" si="0"/>
        <v>3.1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40638.859999999986</v>
      </c>
      <c r="D27" s="182">
        <f t="shared" si="0"/>
        <v>0.2</v>
      </c>
    </row>
    <row r="28" spans="1:4" x14ac:dyDescent="0.2">
      <c r="B28" s="187" t="s">
        <v>754</v>
      </c>
      <c r="C28" s="180">
        <f>SUM(C10:C27)</f>
        <v>16398200.859999999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16398200.859999999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713718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11705040</v>
      </c>
      <c r="D35" s="182">
        <f t="shared" ref="D35:D40" si="1">ROUND((C35/$C$41)*100,1)</f>
        <v>67.900000000000006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256715.49999999814</v>
      </c>
      <c r="D36" s="182">
        <f t="shared" si="1"/>
        <v>1.5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3123291</v>
      </c>
      <c r="D37" s="182">
        <f t="shared" si="1"/>
        <v>18.100000000000001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1644377</v>
      </c>
      <c r="D38" s="182">
        <f t="shared" si="1"/>
        <v>9.5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514464</v>
      </c>
      <c r="D39" s="182">
        <f t="shared" si="1"/>
        <v>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17243887.5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8C2F-9817-4E46-AF69-7B32FBB2BC6C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Souhegan Cooperative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17</v>
      </c>
      <c r="B4" s="220">
        <v>13</v>
      </c>
      <c r="C4" s="280" t="s">
        <v>901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2010-08-25T12:19:30Z</cp:lastPrinted>
  <dcterms:created xsi:type="dcterms:W3CDTF">1997-12-04T19:04:30Z</dcterms:created>
  <dcterms:modified xsi:type="dcterms:W3CDTF">2025-01-09T20:24:08Z</dcterms:modified>
</cp:coreProperties>
</file>