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15FB154-2266-4697-9AC5-3A113745F4C7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D031CBB4-BED4-4479-8C9D-0FEDCB7E1E1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2" l="1"/>
  <c r="B37" i="12"/>
  <c r="C19" i="12"/>
  <c r="C11" i="12"/>
  <c r="B11" i="12"/>
  <c r="B10" i="12"/>
  <c r="C10" i="12"/>
  <c r="H594" i="1"/>
  <c r="K594" i="1" s="1"/>
  <c r="H226" i="1"/>
  <c r="H239" i="1" s="1"/>
  <c r="H236" i="1"/>
  <c r="L236" i="1" s="1"/>
  <c r="G601" i="1"/>
  <c r="J582" i="1"/>
  <c r="G521" i="1"/>
  <c r="H533" i="1"/>
  <c r="H518" i="1"/>
  <c r="H516" i="1"/>
  <c r="I511" i="1"/>
  <c r="G511" i="1"/>
  <c r="F511" i="1"/>
  <c r="G268" i="1"/>
  <c r="G282" i="1" s="1"/>
  <c r="G330" i="1" s="1"/>
  <c r="G344" i="1" s="1"/>
  <c r="F268" i="1"/>
  <c r="F282" i="1" s="1"/>
  <c r="F330" i="1" s="1"/>
  <c r="F344" i="1" s="1"/>
  <c r="G189" i="1"/>
  <c r="G203" i="1" s="1"/>
  <c r="G249" i="1" s="1"/>
  <c r="G263" i="1" s="1"/>
  <c r="F189" i="1"/>
  <c r="G194" i="1"/>
  <c r="H196" i="1"/>
  <c r="H232" i="1"/>
  <c r="L232" i="1" s="1"/>
  <c r="F14" i="1"/>
  <c r="J350" i="1"/>
  <c r="I350" i="1"/>
  <c r="H350" i="1"/>
  <c r="G350" i="1"/>
  <c r="I268" i="1"/>
  <c r="H268" i="1"/>
  <c r="H282" i="1" s="1"/>
  <c r="H330" i="1" s="1"/>
  <c r="H344" i="1" s="1"/>
  <c r="H200" i="1"/>
  <c r="L200" i="1" s="1"/>
  <c r="G197" i="1"/>
  <c r="K197" i="1"/>
  <c r="I197" i="1"/>
  <c r="H197" i="1"/>
  <c r="F197" i="1"/>
  <c r="H195" i="1"/>
  <c r="I195" i="1"/>
  <c r="F195" i="1"/>
  <c r="G195" i="1"/>
  <c r="H194" i="1"/>
  <c r="H203" i="1" s="1"/>
  <c r="I192" i="1"/>
  <c r="I203" i="1" s="1"/>
  <c r="I249" i="1" s="1"/>
  <c r="I263" i="1" s="1"/>
  <c r="G192" i="1"/>
  <c r="C36" i="12" s="1"/>
  <c r="F192" i="1"/>
  <c r="H190" i="1"/>
  <c r="I190" i="1"/>
  <c r="G190" i="1"/>
  <c r="F190" i="1"/>
  <c r="H225" i="1"/>
  <c r="H189" i="1"/>
  <c r="I189" i="1"/>
  <c r="C60" i="2"/>
  <c r="B2" i="13"/>
  <c r="F8" i="13"/>
  <c r="G8" i="13"/>
  <c r="L196" i="1"/>
  <c r="L214" i="1"/>
  <c r="D39" i="13"/>
  <c r="F13" i="13"/>
  <c r="G13" i="13"/>
  <c r="L198" i="1"/>
  <c r="L216" i="1"/>
  <c r="L234" i="1"/>
  <c r="C114" i="2" s="1"/>
  <c r="E13" i="13"/>
  <c r="C13" i="13" s="1"/>
  <c r="F16" i="13"/>
  <c r="G16" i="13"/>
  <c r="L201" i="1"/>
  <c r="L219" i="1"/>
  <c r="L237" i="1"/>
  <c r="E16" i="13" s="1"/>
  <c r="C16" i="13" s="1"/>
  <c r="F5" i="13"/>
  <c r="G5" i="13"/>
  <c r="L190" i="1"/>
  <c r="L191" i="1"/>
  <c r="C103" i="2" s="1"/>
  <c r="L207" i="1"/>
  <c r="L208" i="1"/>
  <c r="L209" i="1"/>
  <c r="L210" i="1"/>
  <c r="L225" i="1"/>
  <c r="L227" i="1"/>
  <c r="L228" i="1"/>
  <c r="F6" i="13"/>
  <c r="G6" i="13"/>
  <c r="L212" i="1"/>
  <c r="L230" i="1"/>
  <c r="F7" i="13"/>
  <c r="G7" i="13"/>
  <c r="L195" i="1"/>
  <c r="L213" i="1"/>
  <c r="L231" i="1"/>
  <c r="D7" i="13"/>
  <c r="C7" i="13" s="1"/>
  <c r="F12" i="13"/>
  <c r="D12" i="13" s="1"/>
  <c r="C12" i="13" s="1"/>
  <c r="G12" i="13"/>
  <c r="L197" i="1"/>
  <c r="L215" i="1"/>
  <c r="L233" i="1"/>
  <c r="F14" i="13"/>
  <c r="G14" i="13"/>
  <c r="L199" i="1"/>
  <c r="L217" i="1"/>
  <c r="L235" i="1"/>
  <c r="D14" i="13"/>
  <c r="C14" i="13" s="1"/>
  <c r="F15" i="13"/>
  <c r="G15" i="13"/>
  <c r="L218" i="1"/>
  <c r="F17" i="13"/>
  <c r="G17" i="13"/>
  <c r="L243" i="1"/>
  <c r="D17" i="13" s="1"/>
  <c r="C17" i="13" s="1"/>
  <c r="F18" i="13"/>
  <c r="G18" i="13"/>
  <c r="L244" i="1"/>
  <c r="C106" i="2" s="1"/>
  <c r="D18" i="13"/>
  <c r="C18" i="13" s="1"/>
  <c r="F19" i="13"/>
  <c r="G19" i="13"/>
  <c r="L245" i="1"/>
  <c r="D19" i="13"/>
  <c r="F29" i="13"/>
  <c r="G29" i="13"/>
  <c r="L350" i="1"/>
  <c r="L351" i="1"/>
  <c r="L352" i="1"/>
  <c r="I359" i="1"/>
  <c r="I361" i="1" s="1"/>
  <c r="H624" i="1" s="1"/>
  <c r="D29" i="13"/>
  <c r="C29" i="13" s="1"/>
  <c r="J282" i="1"/>
  <c r="F31" i="13" s="1"/>
  <c r="J301" i="1"/>
  <c r="J320" i="1"/>
  <c r="K282" i="1"/>
  <c r="G31" i="13" s="1"/>
  <c r="K301" i="1"/>
  <c r="K320" i="1"/>
  <c r="L269" i="1"/>
  <c r="L270" i="1"/>
  <c r="L271" i="1"/>
  <c r="L273" i="1"/>
  <c r="E110" i="2" s="1"/>
  <c r="E120" i="2" s="1"/>
  <c r="L274" i="1"/>
  <c r="L275" i="1"/>
  <c r="L276" i="1"/>
  <c r="L277" i="1"/>
  <c r="L278" i="1"/>
  <c r="L279" i="1"/>
  <c r="L280" i="1"/>
  <c r="L287" i="1"/>
  <c r="L288" i="1"/>
  <c r="E102" i="2" s="1"/>
  <c r="L289" i="1"/>
  <c r="E103" i="2" s="1"/>
  <c r="L290" i="1"/>
  <c r="L292" i="1"/>
  <c r="L293" i="1"/>
  <c r="L294" i="1"/>
  <c r="L295" i="1"/>
  <c r="C18" i="10" s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L334" i="1"/>
  <c r="H25" i="13"/>
  <c r="C25" i="13" s="1"/>
  <c r="H33" i="13"/>
  <c r="L247" i="1"/>
  <c r="C122" i="2" s="1"/>
  <c r="L328" i="1"/>
  <c r="C19" i="13"/>
  <c r="C11" i="13"/>
  <c r="C10" i="13"/>
  <c r="C9" i="13"/>
  <c r="L353" i="1"/>
  <c r="L354" i="1"/>
  <c r="C27" i="10" s="1"/>
  <c r="B4" i="12"/>
  <c r="B36" i="12"/>
  <c r="B40" i="12"/>
  <c r="C40" i="12"/>
  <c r="B27" i="12"/>
  <c r="C27" i="12"/>
  <c r="B31" i="12"/>
  <c r="C31" i="12"/>
  <c r="A31" i="12"/>
  <c r="B9" i="12"/>
  <c r="B13" i="12"/>
  <c r="C13" i="12"/>
  <c r="B18" i="12"/>
  <c r="B22" i="12"/>
  <c r="C18" i="12"/>
  <c r="C22" i="12"/>
  <c r="A22" i="12" s="1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J104" i="1" s="1"/>
  <c r="G48" i="2"/>
  <c r="G55" i="2" s="1"/>
  <c r="G96" i="2" s="1"/>
  <c r="G51" i="2"/>
  <c r="G53" i="2"/>
  <c r="G54" i="2"/>
  <c r="F2" i="11"/>
  <c r="L603" i="1"/>
  <c r="H653" i="1"/>
  <c r="L602" i="1"/>
  <c r="G653" i="1" s="1"/>
  <c r="L601" i="1"/>
  <c r="F653" i="1"/>
  <c r="C40" i="10"/>
  <c r="F52" i="1"/>
  <c r="G52" i="1"/>
  <c r="H52" i="1"/>
  <c r="I52" i="1"/>
  <c r="C35" i="10" s="1"/>
  <c r="F71" i="1"/>
  <c r="F86" i="1"/>
  <c r="F103" i="1"/>
  <c r="F104" i="1" s="1"/>
  <c r="F185" i="1" s="1"/>
  <c r="G617" i="1" s="1"/>
  <c r="J617" i="1" s="1"/>
  <c r="G103" i="1"/>
  <c r="G104" i="1"/>
  <c r="H71" i="1"/>
  <c r="H104" i="1" s="1"/>
  <c r="H86" i="1"/>
  <c r="H103" i="1"/>
  <c r="I103" i="1"/>
  <c r="J103" i="1"/>
  <c r="C37" i="10"/>
  <c r="F113" i="1"/>
  <c r="F128" i="1"/>
  <c r="F132" i="1"/>
  <c r="G113" i="1"/>
  <c r="G128" i="1"/>
  <c r="G132" i="1"/>
  <c r="H113" i="1"/>
  <c r="H132" i="1" s="1"/>
  <c r="H128" i="1"/>
  <c r="I113" i="1"/>
  <c r="I128" i="1"/>
  <c r="I132" i="1" s="1"/>
  <c r="J113" i="1"/>
  <c r="J128" i="1"/>
  <c r="J132" i="1"/>
  <c r="F139" i="1"/>
  <c r="F154" i="1"/>
  <c r="F161" i="1"/>
  <c r="G139" i="1"/>
  <c r="G154" i="1"/>
  <c r="G161" i="1"/>
  <c r="H139" i="1"/>
  <c r="H154" i="1"/>
  <c r="H161" i="1"/>
  <c r="I139" i="1"/>
  <c r="F77" i="2" s="1"/>
  <c r="F83" i="2" s="1"/>
  <c r="I154" i="1"/>
  <c r="C16" i="10"/>
  <c r="C20" i="10"/>
  <c r="L242" i="1"/>
  <c r="C105" i="2" s="1"/>
  <c r="L324" i="1"/>
  <c r="E105" i="2" s="1"/>
  <c r="C23" i="10"/>
  <c r="L246" i="1"/>
  <c r="C25" i="10"/>
  <c r="L260" i="1"/>
  <c r="C134" i="2" s="1"/>
  <c r="L261" i="1"/>
  <c r="C135" i="2" s="1"/>
  <c r="L341" i="1"/>
  <c r="L342" i="1"/>
  <c r="I655" i="1"/>
  <c r="I660" i="1"/>
  <c r="L221" i="1"/>
  <c r="F651" i="1"/>
  <c r="I651" i="1" s="1"/>
  <c r="G651" i="1"/>
  <c r="H651" i="1"/>
  <c r="G652" i="1"/>
  <c r="I659" i="1"/>
  <c r="C6" i="10"/>
  <c r="C5" i="10"/>
  <c r="C42" i="10"/>
  <c r="C32" i="10"/>
  <c r="L366" i="1"/>
  <c r="L367" i="1"/>
  <c r="L368" i="1"/>
  <c r="L369" i="1"/>
  <c r="L370" i="1"/>
  <c r="L371" i="1"/>
  <c r="L372" i="1"/>
  <c r="B2" i="10"/>
  <c r="L336" i="1"/>
  <c r="L343" i="1" s="1"/>
  <c r="L337" i="1"/>
  <c r="L338" i="1"/>
  <c r="L339" i="1"/>
  <c r="K343" i="1"/>
  <c r="L511" i="1"/>
  <c r="F539" i="1"/>
  <c r="L512" i="1"/>
  <c r="L514" i="1" s="1"/>
  <c r="L513" i="1"/>
  <c r="F541" i="1"/>
  <c r="L516" i="1"/>
  <c r="G539" i="1" s="1"/>
  <c r="G542" i="1" s="1"/>
  <c r="L517" i="1"/>
  <c r="G540" i="1"/>
  <c r="L518" i="1"/>
  <c r="G541" i="1"/>
  <c r="L521" i="1"/>
  <c r="H539" i="1" s="1"/>
  <c r="H542" i="1" s="1"/>
  <c r="L522" i="1"/>
  <c r="H540" i="1"/>
  <c r="L523" i="1"/>
  <c r="H541" i="1"/>
  <c r="L526" i="1"/>
  <c r="I539" i="1"/>
  <c r="I542" i="1" s="1"/>
  <c r="L527" i="1"/>
  <c r="I540" i="1"/>
  <c r="L528" i="1"/>
  <c r="L529" i="1" s="1"/>
  <c r="I541" i="1"/>
  <c r="K541" i="1" s="1"/>
  <c r="L531" i="1"/>
  <c r="J539" i="1"/>
  <c r="L532" i="1"/>
  <c r="L534" i="1" s="1"/>
  <c r="J540" i="1"/>
  <c r="J542" i="1" s="1"/>
  <c r="L533" i="1"/>
  <c r="J541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 s="1"/>
  <c r="C10" i="2"/>
  <c r="D10" i="2"/>
  <c r="E10" i="2"/>
  <c r="F10" i="2"/>
  <c r="I432" i="1"/>
  <c r="I438" i="1" s="1"/>
  <c r="G632" i="1" s="1"/>
  <c r="C11" i="2"/>
  <c r="C12" i="2"/>
  <c r="C19" i="2" s="1"/>
  <c r="D12" i="2"/>
  <c r="D19" i="2" s="1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E19" i="2"/>
  <c r="F19" i="2"/>
  <c r="C22" i="2"/>
  <c r="D22" i="2"/>
  <c r="E22" i="2"/>
  <c r="F22" i="2"/>
  <c r="I440" i="1"/>
  <c r="I444" i="1" s="1"/>
  <c r="I451" i="1" s="1"/>
  <c r="H632" i="1" s="1"/>
  <c r="C23" i="2"/>
  <c r="C32" i="2" s="1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I450" i="1" s="1"/>
  <c r="C40" i="2"/>
  <c r="C42" i="2" s="1"/>
  <c r="C43" i="2" s="1"/>
  <c r="D40" i="2"/>
  <c r="D42" i="2" s="1"/>
  <c r="D43" i="2" s="1"/>
  <c r="E40" i="2"/>
  <c r="F40" i="2"/>
  <c r="I449" i="1"/>
  <c r="J41" i="1"/>
  <c r="G40" i="2"/>
  <c r="C41" i="2"/>
  <c r="D41" i="2"/>
  <c r="E41" i="2"/>
  <c r="F41" i="2"/>
  <c r="E42" i="2"/>
  <c r="C48" i="2"/>
  <c r="D48" i="2"/>
  <c r="E48" i="2"/>
  <c r="F48" i="2"/>
  <c r="C49" i="2"/>
  <c r="C54" i="2" s="1"/>
  <c r="C55" i="2" s="1"/>
  <c r="C50" i="2"/>
  <c r="E50" i="2"/>
  <c r="C51" i="2"/>
  <c r="D51" i="2"/>
  <c r="D54" i="2" s="1"/>
  <c r="E51" i="2"/>
  <c r="F51" i="2"/>
  <c r="D52" i="2"/>
  <c r="C53" i="2"/>
  <c r="D53" i="2"/>
  <c r="E53" i="2"/>
  <c r="F53" i="2"/>
  <c r="F54" i="2" s="1"/>
  <c r="C58" i="2"/>
  <c r="C59" i="2"/>
  <c r="C62" i="2" s="1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E69" i="2"/>
  <c r="F69" i="2"/>
  <c r="G69" i="2"/>
  <c r="G70" i="2" s="1"/>
  <c r="G73" i="2" s="1"/>
  <c r="C70" i="2"/>
  <c r="D70" i="2"/>
  <c r="C71" i="2"/>
  <c r="D71" i="2"/>
  <c r="E71" i="2"/>
  <c r="C72" i="2"/>
  <c r="E72" i="2"/>
  <c r="C77" i="2"/>
  <c r="D77" i="2"/>
  <c r="E77" i="2"/>
  <c r="E83" i="2" s="1"/>
  <c r="C79" i="2"/>
  <c r="E79" i="2"/>
  <c r="F79" i="2"/>
  <c r="C80" i="2"/>
  <c r="C83" i="2" s="1"/>
  <c r="D80" i="2"/>
  <c r="D83" i="2" s="1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4" i="2"/>
  <c r="D107" i="2"/>
  <c r="F107" i="2"/>
  <c r="G107" i="2"/>
  <c r="C111" i="2"/>
  <c r="E111" i="2"/>
  <c r="E112" i="2"/>
  <c r="C113" i="2"/>
  <c r="E113" i="2"/>
  <c r="E114" i="2"/>
  <c r="C115" i="2"/>
  <c r="E115" i="2"/>
  <c r="E116" i="2"/>
  <c r="C117" i="2"/>
  <c r="E117" i="2"/>
  <c r="D119" i="2"/>
  <c r="D120" i="2"/>
  <c r="F120" i="2"/>
  <c r="G120" i="2"/>
  <c r="E122" i="2"/>
  <c r="F122" i="2"/>
  <c r="F136" i="2" s="1"/>
  <c r="D126" i="2"/>
  <c r="D136" i="2" s="1"/>
  <c r="E126" i="2"/>
  <c r="E136" i="2" s="1"/>
  <c r="F126" i="2"/>
  <c r="K411" i="1"/>
  <c r="K419" i="1"/>
  <c r="K425" i="1"/>
  <c r="K426" i="1"/>
  <c r="G126" i="2" s="1"/>
  <c r="G136" i="2" s="1"/>
  <c r="G137" i="2" s="1"/>
  <c r="L255" i="1"/>
  <c r="C127" i="2"/>
  <c r="E127" i="2"/>
  <c r="L256" i="1"/>
  <c r="C128" i="2"/>
  <c r="L257" i="1"/>
  <c r="C129" i="2" s="1"/>
  <c r="E129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K490" i="1" s="1"/>
  <c r="G490" i="1"/>
  <c r="C153" i="2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/>
  <c r="G493" i="1"/>
  <c r="C156" i="2" s="1"/>
  <c r="H493" i="1"/>
  <c r="D156" i="2"/>
  <c r="I493" i="1"/>
  <c r="E156" i="2" s="1"/>
  <c r="J493" i="1"/>
  <c r="F156" i="2"/>
  <c r="F19" i="1"/>
  <c r="G607" i="1" s="1"/>
  <c r="G19" i="1"/>
  <c r="G608" i="1" s="1"/>
  <c r="H19" i="1"/>
  <c r="G609" i="1" s="1"/>
  <c r="I19" i="1"/>
  <c r="F33" i="1"/>
  <c r="G33" i="1"/>
  <c r="H33" i="1"/>
  <c r="I33" i="1"/>
  <c r="F43" i="1"/>
  <c r="F44" i="1" s="1"/>
  <c r="H607" i="1" s="1"/>
  <c r="G43" i="1"/>
  <c r="G613" i="1" s="1"/>
  <c r="H43" i="1"/>
  <c r="H44" i="1" s="1"/>
  <c r="H609" i="1" s="1"/>
  <c r="I43" i="1"/>
  <c r="I44" i="1" s="1"/>
  <c r="H610" i="1" s="1"/>
  <c r="J610" i="1" s="1"/>
  <c r="F169" i="1"/>
  <c r="I169" i="1"/>
  <c r="F175" i="1"/>
  <c r="G175" i="1"/>
  <c r="G184" i="1" s="1"/>
  <c r="G185" i="1" s="1"/>
  <c r="G618" i="1" s="1"/>
  <c r="J618" i="1" s="1"/>
  <c r="H175" i="1"/>
  <c r="H184" i="1" s="1"/>
  <c r="I175" i="1"/>
  <c r="I184" i="1" s="1"/>
  <c r="J175" i="1"/>
  <c r="J184" i="1" s="1"/>
  <c r="F180" i="1"/>
  <c r="G180" i="1"/>
  <c r="H180" i="1"/>
  <c r="I180" i="1"/>
  <c r="F184" i="1"/>
  <c r="F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I239" i="1"/>
  <c r="J239" i="1"/>
  <c r="K239" i="1"/>
  <c r="F248" i="1"/>
  <c r="L248" i="1" s="1"/>
  <c r="G248" i="1"/>
  <c r="H248" i="1"/>
  <c r="I248" i="1"/>
  <c r="J248" i="1"/>
  <c r="K248" i="1"/>
  <c r="F249" i="1"/>
  <c r="J249" i="1"/>
  <c r="L262" i="1"/>
  <c r="F263" i="1"/>
  <c r="J263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K330" i="1" s="1"/>
  <c r="K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F400" i="1" s="1"/>
  <c r="H633" i="1" s="1"/>
  <c r="J633" i="1" s="1"/>
  <c r="G385" i="1"/>
  <c r="G400" i="1" s="1"/>
  <c r="H635" i="1" s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J426" i="1" s="1"/>
  <c r="F438" i="1"/>
  <c r="G629" i="1" s="1"/>
  <c r="G438" i="1"/>
  <c r="H438" i="1"/>
  <c r="G631" i="1" s="1"/>
  <c r="F444" i="1"/>
  <c r="F451" i="1" s="1"/>
  <c r="H629" i="1" s="1"/>
  <c r="G444" i="1"/>
  <c r="H444" i="1"/>
  <c r="F450" i="1"/>
  <c r="G450" i="1"/>
  <c r="G451" i="1" s="1"/>
  <c r="H630" i="1" s="1"/>
  <c r="J630" i="1" s="1"/>
  <c r="H450" i="1"/>
  <c r="H451" i="1"/>
  <c r="H631" i="1" s="1"/>
  <c r="F460" i="1"/>
  <c r="F466" i="1" s="1"/>
  <c r="H612" i="1" s="1"/>
  <c r="G460" i="1"/>
  <c r="H460" i="1"/>
  <c r="I460" i="1"/>
  <c r="J460" i="1"/>
  <c r="J466" i="1" s="1"/>
  <c r="H616" i="1" s="1"/>
  <c r="F464" i="1"/>
  <c r="G464" i="1"/>
  <c r="H464" i="1"/>
  <c r="I464" i="1"/>
  <c r="I466" i="1" s="1"/>
  <c r="H615" i="1" s="1"/>
  <c r="J464" i="1"/>
  <c r="G466" i="1"/>
  <c r="H613" i="1" s="1"/>
  <c r="H466" i="1"/>
  <c r="H614" i="1" s="1"/>
  <c r="J614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G535" i="1" s="1"/>
  <c r="H514" i="1"/>
  <c r="I514" i="1"/>
  <c r="J514" i="1"/>
  <c r="J535" i="1" s="1"/>
  <c r="K514" i="1"/>
  <c r="F519" i="1"/>
  <c r="G519" i="1"/>
  <c r="H519" i="1"/>
  <c r="I519" i="1"/>
  <c r="J519" i="1"/>
  <c r="K519" i="1"/>
  <c r="L519" i="1"/>
  <c r="F524" i="1"/>
  <c r="G524" i="1"/>
  <c r="H524" i="1"/>
  <c r="I524" i="1"/>
  <c r="I535" i="1" s="1"/>
  <c r="J524" i="1"/>
  <c r="K524" i="1"/>
  <c r="K535" i="1" s="1"/>
  <c r="L524" i="1"/>
  <c r="F529" i="1"/>
  <c r="G529" i="1"/>
  <c r="H529" i="1"/>
  <c r="I529" i="1"/>
  <c r="J529" i="1"/>
  <c r="K529" i="1"/>
  <c r="F534" i="1"/>
  <c r="G534" i="1"/>
  <c r="H534" i="1"/>
  <c r="H535" i="1" s="1"/>
  <c r="I534" i="1"/>
  <c r="J534" i="1"/>
  <c r="K534" i="1"/>
  <c r="L547" i="1"/>
  <c r="L550" i="1" s="1"/>
  <c r="L561" i="1" s="1"/>
  <c r="L548" i="1"/>
  <c r="L549" i="1"/>
  <c r="F550" i="1"/>
  <c r="G550" i="1"/>
  <c r="H550" i="1"/>
  <c r="I550" i="1"/>
  <c r="I561" i="1" s="1"/>
  <c r="J550" i="1"/>
  <c r="J561" i="1" s="1"/>
  <c r="K550" i="1"/>
  <c r="L552" i="1"/>
  <c r="L553" i="1"/>
  <c r="L554" i="1"/>
  <c r="L555" i="1" s="1"/>
  <c r="F555" i="1"/>
  <c r="F561" i="1" s="1"/>
  <c r="G555" i="1"/>
  <c r="G561" i="1" s="1"/>
  <c r="H555" i="1"/>
  <c r="I555" i="1"/>
  <c r="J555" i="1"/>
  <c r="K555" i="1"/>
  <c r="K561" i="1" s="1"/>
  <c r="L557" i="1"/>
  <c r="L560" i="1" s="1"/>
  <c r="L558" i="1"/>
  <c r="L559" i="1"/>
  <c r="F560" i="1"/>
  <c r="G560" i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J588" i="1"/>
  <c r="K592" i="1"/>
  <c r="K595" i="1" s="1"/>
  <c r="G638" i="1" s="1"/>
  <c r="K593" i="1"/>
  <c r="I595" i="1"/>
  <c r="J595" i="1"/>
  <c r="F604" i="1"/>
  <c r="G604" i="1"/>
  <c r="H604" i="1"/>
  <c r="I604" i="1"/>
  <c r="J604" i="1"/>
  <c r="K604" i="1"/>
  <c r="L604" i="1"/>
  <c r="G610" i="1"/>
  <c r="G612" i="1"/>
  <c r="J612" i="1" s="1"/>
  <c r="G614" i="1"/>
  <c r="H617" i="1"/>
  <c r="H618" i="1"/>
  <c r="H619" i="1"/>
  <c r="H620" i="1"/>
  <c r="H621" i="1"/>
  <c r="H622" i="1"/>
  <c r="H623" i="1"/>
  <c r="G624" i="1"/>
  <c r="J624" i="1" s="1"/>
  <c r="H625" i="1"/>
  <c r="G626" i="1"/>
  <c r="H626" i="1"/>
  <c r="J626" i="1"/>
  <c r="H627" i="1"/>
  <c r="H628" i="1"/>
  <c r="G630" i="1"/>
  <c r="G633" i="1"/>
  <c r="G634" i="1"/>
  <c r="G640" i="1"/>
  <c r="J640" i="1" s="1"/>
  <c r="H640" i="1"/>
  <c r="H641" i="1"/>
  <c r="G642" i="1"/>
  <c r="H642" i="1"/>
  <c r="J642" i="1"/>
  <c r="G643" i="1"/>
  <c r="J643" i="1" s="1"/>
  <c r="H643" i="1"/>
  <c r="G644" i="1"/>
  <c r="J644" i="1" s="1"/>
  <c r="H644" i="1"/>
  <c r="G645" i="1"/>
  <c r="H645" i="1"/>
  <c r="J645" i="1" s="1"/>
  <c r="G9" i="2" l="1"/>
  <c r="I653" i="1"/>
  <c r="J607" i="1"/>
  <c r="H185" i="1"/>
  <c r="G619" i="1" s="1"/>
  <c r="J619" i="1" s="1"/>
  <c r="L400" i="1"/>
  <c r="C130" i="2"/>
  <c r="C133" i="2" s="1"/>
  <c r="J613" i="1"/>
  <c r="L535" i="1"/>
  <c r="C38" i="10"/>
  <c r="J631" i="1"/>
  <c r="F55" i="2"/>
  <c r="F96" i="2" s="1"/>
  <c r="F542" i="1"/>
  <c r="A40" i="12"/>
  <c r="F137" i="2"/>
  <c r="J632" i="1"/>
  <c r="D15" i="13"/>
  <c r="C15" i="13" s="1"/>
  <c r="F652" i="1"/>
  <c r="H637" i="1"/>
  <c r="J637" i="1" s="1"/>
  <c r="C21" i="10"/>
  <c r="C116" i="2"/>
  <c r="G639" i="1"/>
  <c r="J639" i="1" s="1"/>
  <c r="H249" i="1"/>
  <c r="H263" i="1" s="1"/>
  <c r="J629" i="1"/>
  <c r="G156" i="2"/>
  <c r="D137" i="2"/>
  <c r="D55" i="2"/>
  <c r="G36" i="2"/>
  <c r="C102" i="2"/>
  <c r="H652" i="1"/>
  <c r="G641" i="1"/>
  <c r="J641" i="1" s="1"/>
  <c r="D73" i="2"/>
  <c r="C73" i="2"/>
  <c r="C96" i="2" s="1"/>
  <c r="E43" i="2"/>
  <c r="J185" i="1"/>
  <c r="E8" i="13"/>
  <c r="C17" i="10"/>
  <c r="C112" i="2"/>
  <c r="J609" i="1"/>
  <c r="A13" i="12"/>
  <c r="G33" i="13"/>
  <c r="H595" i="1"/>
  <c r="G44" i="1"/>
  <c r="H608" i="1" s="1"/>
  <c r="J608" i="1" s="1"/>
  <c r="C24" i="10"/>
  <c r="C9" i="12"/>
  <c r="F22" i="13"/>
  <c r="C22" i="13" s="1"/>
  <c r="G635" i="1"/>
  <c r="J635" i="1" s="1"/>
  <c r="G615" i="1"/>
  <c r="J615" i="1" s="1"/>
  <c r="B153" i="2"/>
  <c r="G153" i="2" s="1"/>
  <c r="E49" i="2"/>
  <c r="E54" i="2" s="1"/>
  <c r="E55" i="2" s="1"/>
  <c r="E96" i="2" s="1"/>
  <c r="J10" i="1"/>
  <c r="G10" i="2" s="1"/>
  <c r="F540" i="1"/>
  <c r="K540" i="1" s="1"/>
  <c r="C12" i="10"/>
  <c r="I161" i="1"/>
  <c r="C39" i="10" s="1"/>
  <c r="L194" i="1"/>
  <c r="L192" i="1"/>
  <c r="L189" i="1"/>
  <c r="J40" i="1"/>
  <c r="G39" i="2" s="1"/>
  <c r="K539" i="1"/>
  <c r="C29" i="10"/>
  <c r="L301" i="1"/>
  <c r="G650" i="1" s="1"/>
  <c r="G654" i="1" s="1"/>
  <c r="C26" i="10"/>
  <c r="L268" i="1"/>
  <c r="G625" i="1"/>
  <c r="J625" i="1" s="1"/>
  <c r="C19" i="10"/>
  <c r="L226" i="1"/>
  <c r="J330" i="1"/>
  <c r="J23" i="1"/>
  <c r="I104" i="1"/>
  <c r="I185" i="1" s="1"/>
  <c r="G620" i="1" s="1"/>
  <c r="J620" i="1" s="1"/>
  <c r="E101" i="2" l="1"/>
  <c r="E107" i="2" s="1"/>
  <c r="E137" i="2" s="1"/>
  <c r="L282" i="1"/>
  <c r="H636" i="1"/>
  <c r="G627" i="1"/>
  <c r="J627" i="1" s="1"/>
  <c r="G662" i="1"/>
  <c r="G657" i="1"/>
  <c r="K542" i="1"/>
  <c r="E33" i="13"/>
  <c r="D35" i="13" s="1"/>
  <c r="C8" i="13"/>
  <c r="J43" i="1"/>
  <c r="F33" i="13"/>
  <c r="G636" i="1"/>
  <c r="J636" i="1" s="1"/>
  <c r="G621" i="1"/>
  <c r="J621" i="1" s="1"/>
  <c r="G42" i="2"/>
  <c r="I652" i="1"/>
  <c r="C101" i="2"/>
  <c r="C107" i="2" s="1"/>
  <c r="C137" i="2" s="1"/>
  <c r="C10" i="10"/>
  <c r="D5" i="13"/>
  <c r="L203" i="1"/>
  <c r="D96" i="2"/>
  <c r="C36" i="10"/>
  <c r="J19" i="1"/>
  <c r="G611" i="1" s="1"/>
  <c r="G22" i="2"/>
  <c r="G32" i="2" s="1"/>
  <c r="J33" i="1"/>
  <c r="C104" i="2"/>
  <c r="C13" i="10"/>
  <c r="G19" i="2"/>
  <c r="H638" i="1"/>
  <c r="J638" i="1" s="1"/>
  <c r="J344" i="1"/>
  <c r="C15" i="10"/>
  <c r="D6" i="13"/>
  <c r="C6" i="13" s="1"/>
  <c r="C110" i="2"/>
  <c r="C120" i="2" s="1"/>
  <c r="L239" i="1"/>
  <c r="H650" i="1" s="1"/>
  <c r="H654" i="1" s="1"/>
  <c r="C11" i="10"/>
  <c r="C136" i="2"/>
  <c r="C5" i="13" l="1"/>
  <c r="C28" i="10"/>
  <c r="D10" i="10"/>
  <c r="G43" i="2"/>
  <c r="D11" i="10"/>
  <c r="H657" i="1"/>
  <c r="H662" i="1"/>
  <c r="J611" i="1"/>
  <c r="H646" i="1"/>
  <c r="C41" i="10"/>
  <c r="G616" i="1"/>
  <c r="J616" i="1" s="1"/>
  <c r="J44" i="1"/>
  <c r="H611" i="1" s="1"/>
  <c r="L330" i="1"/>
  <c r="L344" i="1" s="1"/>
  <c r="G623" i="1" s="1"/>
  <c r="J623" i="1" s="1"/>
  <c r="D31" i="13"/>
  <c r="C31" i="13" s="1"/>
  <c r="D15" i="10"/>
  <c r="D13" i="10"/>
  <c r="F650" i="1"/>
  <c r="L249" i="1"/>
  <c r="L263" i="1" s="1"/>
  <c r="G622" i="1" s="1"/>
  <c r="J622" i="1" s="1"/>
  <c r="D37" i="10" l="1"/>
  <c r="D40" i="10"/>
  <c r="D35" i="10"/>
  <c r="D39" i="10"/>
  <c r="D38" i="10"/>
  <c r="D36" i="10"/>
  <c r="F654" i="1"/>
  <c r="I650" i="1"/>
  <c r="I654" i="1" s="1"/>
  <c r="D22" i="10"/>
  <c r="D25" i="10"/>
  <c r="C30" i="10"/>
  <c r="D20" i="10"/>
  <c r="D16" i="10"/>
  <c r="D27" i="10"/>
  <c r="D23" i="10"/>
  <c r="D18" i="10"/>
  <c r="D24" i="10"/>
  <c r="D21" i="10"/>
  <c r="D19" i="10"/>
  <c r="D17" i="10"/>
  <c r="D12" i="10"/>
  <c r="D28" i="10" s="1"/>
  <c r="D26" i="10"/>
  <c r="D33" i="13"/>
  <c r="D36" i="13" s="1"/>
  <c r="I657" i="1" l="1"/>
  <c r="I662" i="1"/>
  <c r="C7" i="10" s="1"/>
  <c r="D41" i="10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14E82B8-4DAD-4D36-AF0E-7AF10F37D83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61EF5A1-2B31-45E7-ABEC-DC1E1AC5902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86ED320-CF27-491A-A2DF-299099B513F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E6C4957-9871-44F1-97F3-5B2C6D88452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42B468D-BBE2-47BB-ACF5-2E7A23FAC71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B724604-A10E-4D07-947A-0EF2F473FD5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BBABF47-861B-42D9-928B-C46B0EE9887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09F29C2-A3FD-4BA5-8F02-BED277B716C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A41EF52-ECED-4C93-AAE0-010DFDF6624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1963400-A625-4E6A-A7ED-123AD3D2A7A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6174877-D7D9-4855-A712-13A790C4673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B4A7A11-82A6-48E3-A209-8D12F5DDE34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<sst xmlns="http://schemas.openxmlformats.org/spreadsheetml/2006/main" count="3858" uniqueCount="895">
  <si>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</si>
  <si>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</si>
  <si>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</si>
  <si>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</si>
  <si>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</si>
  <si>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</si>
  <si>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</si>
  <si>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</si>
  <si>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</si>
  <si>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</si>
  <si>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</si>
  <si>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</si>
  <si>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</si>
  <si>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</si>
  <si>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</si>
  <si>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</si>
  <si>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</si>
  <si>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</si>
  <si>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</si>
  <si>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</si>
  <si>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</si>
  <si>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</si>
  <si>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</si>
  <si>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</si>
  <si>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</si>
  <si>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</si>
  <si>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</si>
  <si>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</si>
  <si>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</si>
  <si>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</si>
  <si>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</si>
  <si>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</si>
  <si>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</si>
  <si>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</si>
  <si>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</si>
  <si>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</si>
  <si>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</si>
  <si>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</si>
  <si>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</si>
  <si>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</si>
  <si>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</si>
  <si>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</si>
  <si>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</si>
  <si>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</si>
  <si>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</si>
  <si>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</si>
  <si>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</si>
  <si>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</si>
  <si>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</si>
  <si>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</si>
  <si>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</si>
  <si>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</si>
  <si>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</si>
  <si>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</si>
  <si>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</si>
  <si>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</si>
  <si>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</si>
  <si>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</si>
  <si>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</si>
  <si>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</si>
  <si>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</si>
  <si>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</si>
  <si>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</si>
  <si>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</si>
  <si>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</si>
  <si>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</si>
  <si>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</si>
  <si>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</si>
  <si>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</si>
  <si>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</si>
  <si>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</si>
  <si>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</si>
  <si>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</si>
  <si>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</si>
  <si>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</si>
  <si>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</si>
  <si>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</si>
  <si>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</si>
  <si>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</si>
  <si>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</si>
  <si>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</si>
  <si>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</si>
  <si>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</si>
  <si>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</si>
  <si>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</si>
  <si>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</si>
  <si>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</si>
  <si>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</si>
  <si>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</si>
  <si>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</si>
  <si>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</si>
  <si>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</si>
  <si>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</si>
  <si>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</si>
  <si>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</si>
  <si>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</si>
  <si>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</si>
  <si>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</si>
  <si>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</si>
  <si>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</si>
  <si>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</si>
  <si>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</si>
  <si>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</si>
  <si>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</si>
  <si>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</si>
  <si>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</si>
  <si>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</si>
  <si>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</si>
  <si>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</si>
  <si>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</si>
  <si>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</si>
  <si>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</si>
  <si>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</si>
  <si>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</si>
  <si>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</si>
  <si>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</si>
  <si>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</si>
  <si>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</si>
  <si>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</si>
  <si>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</si>
  <si>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</si>
  <si>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</si>
  <si>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</si>
  <si>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</si>
  <si>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</si>
  <si>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</si>
  <si>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</si>
  <si>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</si>
  <si>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</si>
  <si>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</si>
  <si>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</si>
  <si>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</si>
  <si>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</si>
  <si>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</si>
  <si>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</si>
  <si>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</si>
  <si>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</si>
  <si>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</si>
  <si>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</si>
  <si>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</si>
  <si>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</si>
  <si>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</si>
  <si>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</si>
  <si>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</si>
  <si>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</si>
  <si>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</si>
  <si>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</si>
  <si>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</si>
  <si>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</si>
  <si>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</si>
  <si>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</si>
  <si>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</si>
  <si>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</si>
  <si>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</si>
  <si>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</si>
  <si>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</si>
  <si>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</si>
  <si>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</si>
  <si>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</si>
  <si>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</si>
  <si>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</si>
  <si>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</si>
  <si>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</si>
  <si>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</si>
  <si>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</si>
  <si>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</si>
  <si>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</si>
  <si>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</si>
  <si>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</si>
  <si>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</si>
  <si>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</si>
  <si>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</si>
  <si>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</si>
  <si>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</si>
  <si>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</si>
  <si>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</si>
  <si>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</si>
  <si>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</si>
  <si>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</si>
  <si>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</si>
  <si>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</si>
  <si>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</si>
  <si>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</si>
  <si>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</si>
  <si>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</si>
  <si>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</si>
  <si>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</si>
  <si>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</si>
  <si>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</si>
  <si>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</si>
  <si>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</si>
  <si>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</si>
  <si>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</si>
  <si>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</si>
  <si>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</si>
  <si>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</si>
  <si>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</si>
  <si>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</si>
  <si>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</si>
  <si>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</si>
  <si>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</si>
  <si>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</si>
  <si>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</si>
  <si>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</si>
  <si>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</si>
  <si>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</si>
  <si>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</si>
  <si>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</si>
  <si>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</si>
  <si>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</si>
  <si>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</si>
  <si>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</si>
  <si>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</si>
  <si>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</si>
  <si>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</si>
  <si>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</si>
  <si>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</si>
  <si>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</si>
  <si>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</si>
  <si>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</si>
  <si>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</si>
  <si>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</si>
  <si>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</si>
  <si>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</si>
  <si>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</si>
  <si>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</si>
  <si>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</si>
  <si>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</si>
  <si>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</si>
  <si>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</si>
  <si>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</si>
  <si>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</si>
  <si>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</si>
  <si>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</si>
  <si>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</si>
  <si>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</si>
  <si>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</si>
  <si>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</si>
  <si>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</si>
  <si>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</si>
  <si>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</si>
  <si>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</si>
  <si>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</si>
  <si>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</si>
  <si>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</si>
  <si>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</si>
  <si>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</si>
  <si>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</si>
  <si>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</si>
  <si>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</si>
  <si>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</si>
  <si>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</si>
  <si>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</si>
  <si>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</si>
  <si>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</si>
  <si>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</si>
  <si>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</si>
  <si>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</si>
  <si>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</si>
  <si>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</si>
  <si>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</si>
  <si>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</si>
  <si>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</si>
  <si>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</si>
  <si>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</si>
  <si>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</si>
  <si>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</si>
  <si>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</si>
  <si>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</si>
  <si>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</si>
  <si>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</si>
  <si>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</si>
  <si>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</si>
  <si>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</si>
  <si>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</si>
  <si>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</si>
  <si>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</si>
  <si>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</si>
  <si>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</si>
  <si>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</si>
  <si>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</si>
  <si>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</si>
  <si>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</si>
  <si>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</si>
  <si>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</si>
  <si>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</si>
  <si>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</si>
  <si>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</si>
  <si>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</si>
  <si>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</si>
  <si>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</si>
  <si>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</si>
  <si>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</si>
  <si>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</si>
  <si>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</si>
  <si>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</si>
  <si>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</si>
  <si>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</si>
  <si>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</si>
  <si>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</si>
  <si>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</si>
  <si>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</si>
  <si>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</si>
  <si>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</si>
  <si>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</si>
  <si>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</si>
  <si>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</si>
  <si>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</si>
  <si>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</si>
  <si>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</si>
  <si>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</si>
  <si>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</si>
  <si>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</si>
  <si>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</si>
  <si>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</si>
  <si>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</si>
  <si>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</si>
  <si>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</si>
  <si>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</si>
  <si>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</si>
  <si>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</si>
  <si>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</si>
  <si>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</si>
  <si>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</si>
  <si>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</si>
  <si>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</si>
  <si>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</si>
  <si>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</si>
  <si>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</si>
  <si>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</si>
  <si>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</si>
  <si>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</si>
  <si>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</si>
  <si>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</si>
  <si>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</si>
  <si>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</si>
  <si>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</si>
  <si>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</si>
  <si>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</si>
  <si>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</si>
  <si>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</si>
  <si>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</si>
  <si>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</si>
  <si>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</si>
  <si>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</si>
  <si>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</si>
  <si>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</si>
  <si>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</si>
  <si>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</si>
  <si>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</si>
  <si>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</si>
  <si>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</si>
  <si>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</si>
  <si>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</si>
  <si>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</si>
  <si>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</si>
  <si>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</si>
  <si>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</si>
  <si>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</si>
  <si>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</si>
  <si>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</si>
  <si>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</si>
  <si>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</si>
  <si>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</si>
  <si>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</si>
  <si>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</si>
  <si>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</si>
  <si>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</si>
  <si>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</si>
  <si>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</si>
  <si>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</si>
  <si>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</si>
  <si>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</si>
  <si>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</si>
  <si>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</si>
  <si>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</si>
  <si>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</si>
  <si>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</si>
  <si>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</si>
  <si>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</si>
  <si>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</si>
  <si>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</si>
  <si>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</si>
  <si>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</si>
  <si>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</si>
  <si>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</si>
  <si>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</si>
  <si>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</si>
  <si>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</si>
  <si>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</si>
  <si>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</si>
  <si>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</si>
  <si>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</si>
  <si>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</si>
  <si>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</si>
  <si>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</si>
  <si>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</si>
  <si>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</si>
  <si>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</si>
  <si>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</si>
  <si>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</si>
  <si>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</si>
  <si>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</si>
  <si>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</si>
  <si>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</si>
  <si>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</si>
  <si>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</si>
  <si>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</si>
  <si>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</si>
  <si>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</si>
  <si>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</si>
  <si>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</si>
  <si>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</si>
  <si>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</si>
  <si>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</si>
  <si>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</si>
  <si>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</si>
  <si>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</si>
  <si>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</si>
  <si>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</si>
  <si>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</si>
  <si>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</si>
  <si>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</si>
  <si>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</si>
  <si>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</si>
  <si>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</si>
  <si>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</si>
  <si>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</si>
  <si>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</si>
  <si>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</si>
  <si>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</si>
  <si>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</si>
  <si>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</si>
  <si>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</si>
  <si>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</si>
  <si>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</si>
  <si>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</si>
  <si>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</si>
  <si>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</si>
  <si>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</si>
  <si>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</si>
  <si>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</si>
  <si>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</si>
  <si>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</si>
  <si>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</si>
  <si>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</si>
  <si>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</si>
  <si>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</si>
  <si>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</si>
  <si>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</si>
  <si>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</si>
  <si>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</si>
  <si>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</si>
  <si>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</si>
  <si>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</si>
  <si>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</si>
  <si>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</si>
  <si>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</si>
  <si>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</si>
  <si>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</si>
  <si>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</si>
  <si>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</si>
  <si>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</si>
  <si>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</si>
  <si>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</si>
  <si>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</si>
  <si>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</si>
  <si>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</si>
  <si>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</si>
  <si>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</si>
  <si>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</si>
  <si>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</si>
  <si>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</si>
  <si>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</si>
  <si>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</si>
  <si>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</si>
  <si>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</si>
  <si>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</si>
  <si>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</si>
  <si>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</si>
  <si>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</si>
  <si>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</si>
  <si>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</si>
  <si>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</si>
  <si>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</si>
  <si>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</si>
  <si>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</si>
  <si>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</si>
  <si>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</si>
  <si>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</si>
  <si>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</si>
  <si>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</si>
  <si>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</si>
  <si>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</si>
  <si>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</si>
  <si>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</si>
  <si>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</si>
  <si>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</si>
  <si>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</si>
  <si>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</si>
  <si>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</si>
  <si>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</si>
  <si>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</si>
  <si>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</si>
  <si>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</si>
  <si>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</si>
  <si>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</si>
  <si>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</si>
  <si>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</si>
  <si>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</si>
  <si>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</si>
  <si>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</si>
  <si>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</si>
  <si>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</si>
  <si>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</si>
  <si>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</si>
  <si>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</si>
  <si>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</si>
  <si>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</si>
  <si>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</si>
  <si>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</si>
  <si>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</si>
  <si>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</si>
  <si>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</si>
  <si>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</si>
  <si>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</si>
  <si>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</si>
  <si>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</si>
  <si>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</si>
  <si>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</si>
  <si>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</si>
  <si>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</si>
  <si>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</si>
  <si>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</si>
  <si>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</si>
  <si>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</si>
  <si>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</si>
  <si>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</si>
  <si>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</si>
  <si>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</si>
  <si>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</si>
  <si>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</si>
  <si>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</si>
  <si>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</si>
  <si>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</si>
  <si>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</si>
  <si>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</si>
  <si>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</si>
  <si>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</si>
  <si>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</si>
  <si>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</si>
  <si>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</si>
  <si>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</si>
  <si>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</si>
  <si>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</si>
  <si>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</si>
  <si>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</si>
  <si>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</si>
  <si>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</si>
  <si>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</si>
  <si>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</si>
  <si>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</si>
  <si>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</si>
  <si>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</si>
  <si>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</si>
  <si>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</si>
  <si>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</si>
  <si>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</si>
  <si>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</si>
  <si>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</si>
  <si>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</si>
  <si>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</si>
  <si>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</si>
  <si>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</si>
  <si>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</si>
  <si>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</si>
  <si>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</si>
  <si>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</si>
  <si>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</si>
  <si>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</si>
  <si>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</si>
  <si>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</si>
  <si>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</si>
  <si>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</si>
  <si>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</si>
  <si>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</si>
  <si>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</si>
  <si>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</si>
  <si>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</si>
  <si>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</si>
  <si>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</si>
  <si>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</si>
  <si>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</si>
  <si>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</si>
  <si>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</si>
  <si>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</si>
  <si>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</si>
  <si>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</si>
  <si>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</si>
  <si>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</si>
  <si>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</si>
  <si>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</si>
  <si>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</si>
  <si>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</si>
  <si>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</si>
  <si>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</si>
  <si>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</si>
  <si>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</si>
  <si>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</si>
  <si>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</si>
  <si>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</si>
  <si>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</si>
  <si>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</si>
  <si>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</si>
  <si>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</si>
  <si>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</si>
  <si>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</si>
  <si>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</si>
  <si>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</si>
  <si>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</si>
  <si>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</si>
  <si>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</si>
  <si>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</si>
  <si>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</si>
  <si>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</si>
  <si>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</si>
  <si>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</si>
  <si>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</si>
  <si>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</si>
  <si>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</si>
  <si>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</si>
  <si>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</si>
  <si>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</si>
  <si>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</si>
  <si>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</si>
  <si>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</si>
  <si>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</si>
  <si>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</si>
  <si>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</si>
  <si>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</si>
  <si>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</si>
  <si>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</si>
  <si>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</si>
  <si>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</si>
  <si>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</si>
  <si>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</si>
  <si>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</si>
  <si>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</si>
  <si>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</si>
  <si>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</si>
  <si>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</si>
  <si>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</si>
  <si>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</si>
  <si>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</si>
  <si>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</si>
  <si>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</si>
  <si>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</si>
  <si>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</si>
  <si>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</si>
  <si>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</si>
  <si>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</si>
  <si>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</si>
  <si>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</si>
  <si>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</si>
  <si>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</si>
  <si>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</si>
  <si>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</si>
  <si>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</si>
  <si>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</si>
  <si>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</si>
  <si>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</si>
  <si>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</si>
  <si>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</si>
  <si>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</si>
  <si>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</si>
  <si>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</si>
  <si>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</si>
  <si>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</si>
  <si>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</si>
  <si>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</si>
  <si>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</si>
  <si>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</si>
  <si>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</si>
  <si>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</si>
  <si>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</si>
  <si>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</si>
  <si>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</si>
  <si>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</si>
  <si>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</si>
  <si>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</si>
  <si>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</si>
  <si>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</si>
  <si>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</si>
  <si>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</si>
  <si>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</si>
  <si>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</si>
  <si>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</si>
  <si>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</si>
  <si>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</si>
  <si>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</si>
  <si>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</si>
  <si>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</si>
  <si>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</si>
  <si>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</si>
  <si>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</si>
  <si>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</si>
  <si>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</si>
  <si>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</si>
  <si>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</si>
  <si>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</si>
  <si>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</si>
  <si>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</si>
  <si>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</si>
  <si>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</si>
  <si>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</si>
  <si>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</si>
  <si>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</si>
  <si>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</si>
  <si>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</si>
  <si>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</si>
  <si>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</si>
  <si>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</si>
  <si>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</si>
  <si>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</si>
  <si>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</si>
  <si>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</si>
  <si>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</si>
  <si>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</si>
  <si>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</si>
  <si>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</si>
  <si>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</si>
  <si>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</si>
  <si>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</si>
  <si>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</si>
  <si>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</si>
  <si>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</si>
  <si>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</si>
  <si>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</si>
  <si>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</si>
  <si>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</si>
  <si>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</si>
  <si>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</si>
  <si>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</si>
  <si>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</si>
  <si>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</si>
  <si>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</si>
  <si>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</si>
  <si>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</si>
  <si>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</si>
  <si>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</si>
  <si>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</si>
  <si>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</si>
  <si>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</si>
  <si>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</si>
  <si>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</si>
  <si>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</si>
  <si>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</si>
  <si>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</si>
  <si>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</si>
  <si>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</si>
  <si>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</si>
  <si>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</si>
  <si>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</si>
  <si>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</si>
  <si>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</si>
  <si>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</si>
  <si>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</si>
  <si>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</si>
  <si>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</si>
  <si>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</si>
  <si>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</si>
  <si>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</si>
  <si>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</si>
  <si>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</si>
  <si>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</si>
  <si>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</si>
  <si>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</si>
  <si>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</si>
  <si>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</si>
  <si>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</si>
  <si>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</si>
  <si>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</si>
  <si>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</si>
  <si>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</si>
  <si>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</si>
  <si>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</si>
  <si>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</si>
  <si>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</si>
  <si>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</si>
  <si>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</si>
  <si>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</si>
  <si>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</si>
  <si>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</si>
  <si>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</si>
  <si>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</si>
  <si>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</si>
  <si>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</si>
  <si>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</si>
  <si>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</si>
  <si>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</si>
  <si>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</si>
  <si>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</si>
  <si>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</si>
  <si>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</si>
  <si>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</si>
  <si>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</si>
  <si>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</si>
  <si>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</si>
  <si>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</si>
  <si>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</si>
  <si>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</si>
  <si>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</si>
  <si>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</si>
  <si>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</si>
  <si>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</si>
  <si>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</si>
  <si>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</si>
  <si>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</si>
  <si>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</si>
  <si>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</si>
  <si>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</si>
  <si>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</si>
  <si>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</si>
  <si>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</si>
  <si>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</si>
  <si>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</si>
  <si>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</si>
  <si>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</si>
  <si>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</si>
  <si>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</si>
  <si>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</si>
  <si>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</si>
  <si>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</si>
  <si>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</si>
  <si>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</si>
  <si>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</si>
  <si>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</si>
  <si>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</si>
  <si>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</si>
  <si>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</si>
  <si>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</si>
  <si>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</si>
  <si>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</si>
  <si>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</si>
  <si>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</si>
  <si>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</si>
  <si>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</si>
  <si>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</si>
  <si>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</si>
  <si>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</si>
  <si>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</si>
  <si>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</si>
  <si>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</si>
  <si>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</si>
  <si>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</si>
  <si>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</si>
  <si>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</si>
  <si>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</si>
  <si>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</si>
  <si>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</si>
  <si>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</si>
  <si>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</si>
  <si>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</si>
  <si>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</si>
  <si>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</si>
  <si>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</si>
  <si>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</si>
  <si>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</si>
  <si>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</si>
  <si>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</si>
  <si>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</si>
  <si>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</si>
  <si>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</si>
  <si>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</si>
  <si>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</si>
  <si>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</si>
  <si>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</si>
  <si>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</si>
  <si>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</si>
  <si>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</si>
  <si>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</si>
  <si>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</si>
  <si>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</si>
  <si>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</si>
  <si>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</si>
  <si>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</si>
  <si>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</si>
  <si>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</si>
  <si>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</si>
  <si>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</si>
  <si>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</si>
  <si>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</si>
  <si>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</si>
  <si>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</si>
  <si>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STARK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</si>
</sst>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F76F-D880-46B9-8600-51C2DC37FEA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499</v>
      </c>
      <c r="C2" s="21">
        <v>499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-1997.57</v>
      </c>
      <c r="G9" s="18"/>
      <c r="H9" s="18"/>
      <c r="I9" s="18"/>
      <c r="J9" s="67">
        <f>SUM(I431)</f>
        <v>170926.65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32824.92</v>
      </c>
      <c r="G12" s="18">
        <v>0</v>
      </c>
      <c r="H12" s="18">
        <v>4370.57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1601.43+877.73</f>
        <v>2479.16</v>
      </c>
      <c r="G14" s="18">
        <v>1601.43</v>
      </c>
      <c r="H14" s="18">
        <v>32824.92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33306.509999999995</v>
      </c>
      <c r="G19" s="41">
        <f>SUM(G9:G18)</f>
        <v>1601.43</v>
      </c>
      <c r="H19" s="41">
        <f>SUM(H9:H18)</f>
        <v>37195.49</v>
      </c>
      <c r="I19" s="41">
        <f>SUM(I9:I18)</f>
        <v>0</v>
      </c>
      <c r="J19" s="41">
        <f>SUM(J9:J18)</f>
        <v>170926.65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4370.57</v>
      </c>
      <c r="G23" s="18">
        <v>1601.43</v>
      </c>
      <c r="H23" s="18">
        <v>32824.92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18059.599999999999</v>
      </c>
      <c r="G29" s="18">
        <v>0</v>
      </c>
      <c r="H29" s="18">
        <v>4370.57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22430.17</v>
      </c>
      <c r="G33" s="41">
        <f>SUM(G23:G32)</f>
        <v>1601.43</v>
      </c>
      <c r="H33" s="41">
        <f>SUM(H23:H32)</f>
        <v>37195.49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170926.65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10876.34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10876.34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170926.65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33306.509999999995</v>
      </c>
      <c r="G44" s="41">
        <f>G43+G33</f>
        <v>1601.43</v>
      </c>
      <c r="H44" s="41">
        <f>H43+H33</f>
        <v>37195.49</v>
      </c>
      <c r="I44" s="41">
        <f>I43+I33</f>
        <v>0</v>
      </c>
      <c r="J44" s="41">
        <f>J43+J33</f>
        <v>170926.65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452130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452130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97.1</v>
      </c>
      <c r="G88" s="18"/>
      <c r="H88" s="18"/>
      <c r="I88" s="18"/>
      <c r="J88" s="18">
        <v>657.28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4797.6899999999996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151.24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248.34</v>
      </c>
      <c r="G103" s="41">
        <f>SUM(G88:G102)</f>
        <v>4797.6899999999996</v>
      </c>
      <c r="H103" s="41">
        <f>SUM(H88:H102)</f>
        <v>0</v>
      </c>
      <c r="I103" s="41">
        <f>SUM(I88:I102)</f>
        <v>0</v>
      </c>
      <c r="J103" s="41">
        <f>SUM(J88:J102)</f>
        <v>657.28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452378.34</v>
      </c>
      <c r="G104" s="41">
        <f>G52+G103</f>
        <v>4797.6899999999996</v>
      </c>
      <c r="H104" s="41">
        <f>H52+H71+H86+H103</f>
        <v>0</v>
      </c>
      <c r="I104" s="41">
        <f>I52+I103</f>
        <v>0</v>
      </c>
      <c r="J104" s="41">
        <f>J52+J103</f>
        <v>657.28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246220.2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121334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94467.8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462022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189.51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189.51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462022</v>
      </c>
      <c r="G132" s="41">
        <f>G113+SUM(G128:G129)</f>
        <v>189.51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29514.62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27749.82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10880.39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15663.38</v>
      </c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190.51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15853.89</v>
      </c>
      <c r="G154" s="41">
        <f>SUM(G142:G153)</f>
        <v>10880.39</v>
      </c>
      <c r="H154" s="41">
        <f>SUM(H142:H153)</f>
        <v>57264.44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31087.11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46941</v>
      </c>
      <c r="G161" s="41">
        <f>G139+G154+SUM(G155:G160)</f>
        <v>10880.39</v>
      </c>
      <c r="H161" s="41">
        <f>H139+H154+SUM(H155:H160)</f>
        <v>57264.44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22416.3</v>
      </c>
      <c r="H171" s="18"/>
      <c r="I171" s="18"/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22416.3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22416.3</v>
      </c>
      <c r="H184" s="41">
        <f>+H175+SUM(H180:H183)</f>
        <v>0</v>
      </c>
      <c r="I184" s="41">
        <f>I169+I175+SUM(I180:I183)</f>
        <v>0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961341.34000000008</v>
      </c>
      <c r="G185" s="47">
        <f>G104+G132+G161+G184</f>
        <v>38283.89</v>
      </c>
      <c r="H185" s="47">
        <f>H104+H132+H161+H184</f>
        <v>57264.44</v>
      </c>
      <c r="I185" s="47">
        <f>I104+I132+I161+I184</f>
        <v>0</v>
      </c>
      <c r="J185" s="47">
        <f>J104+J132+J184</f>
        <v>25657.279999999999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97429.47+5623.22+4272.59</f>
        <v>107325.28</v>
      </c>
      <c r="G189" s="18">
        <f>41160.73+567.51+8006.41+184.02+7363.07+1650+103.6+334.54</f>
        <v>59369.880000000005</v>
      </c>
      <c r="H189" s="18">
        <f>65+989.5+1209.7</f>
        <v>2264.1999999999998</v>
      </c>
      <c r="I189" s="18">
        <f>1965+1526.16</f>
        <v>3491.16</v>
      </c>
      <c r="J189" s="18">
        <v>900</v>
      </c>
      <c r="K189" s="18">
        <v>0</v>
      </c>
      <c r="L189" s="19">
        <f>SUM(F189:K189)</f>
        <v>173350.52000000002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8401+11062.75</f>
        <v>19463.75</v>
      </c>
      <c r="G190" s="18">
        <f>991.54+34.25+1478.94+570.89+135+69.06</f>
        <v>3279.68</v>
      </c>
      <c r="H190" s="18">
        <f>13749+150+219</f>
        <v>14118</v>
      </c>
      <c r="I190" s="18">
        <f>200+499.5</f>
        <v>699.5</v>
      </c>
      <c r="J190" s="18">
        <v>0</v>
      </c>
      <c r="K190" s="18">
        <v>0</v>
      </c>
      <c r="L190" s="19">
        <f>SUM(F190:K190)</f>
        <v>37560.93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2880+1410</f>
        <v>4290</v>
      </c>
      <c r="G192" s="18">
        <f>107.87+220.31+105.61</f>
        <v>433.79</v>
      </c>
      <c r="H192" s="18">
        <v>481.5</v>
      </c>
      <c r="I192" s="18">
        <f>292.5+127.05</f>
        <v>419.55</v>
      </c>
      <c r="J192" s="18">
        <v>0</v>
      </c>
      <c r="K192" s="18">
        <v>0</v>
      </c>
      <c r="L192" s="19">
        <f>SUM(F192:K192)</f>
        <v>5624.84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1298.25</v>
      </c>
      <c r="G194" s="18">
        <f>114.29+4.04+99.32+97.24+7.14+12.07</f>
        <v>334.09999999999997</v>
      </c>
      <c r="H194" s="18">
        <f>5274.81+2361.04+81.9</f>
        <v>7717.75</v>
      </c>
      <c r="I194" s="18">
        <v>130.44</v>
      </c>
      <c r="J194" s="18">
        <v>93.9</v>
      </c>
      <c r="K194" s="18">
        <v>0</v>
      </c>
      <c r="L194" s="19">
        <f t="shared" ref="L194:L200" si="0">SUM(F194:K194)</f>
        <v>9574.44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551+3000</f>
        <v>3551</v>
      </c>
      <c r="G195" s="18">
        <f>42.18+65+229.5+11.51</f>
        <v>348.19</v>
      </c>
      <c r="H195" s="18">
        <f>2433.04+2017.19+600</f>
        <v>5050.2299999999996</v>
      </c>
      <c r="I195" s="18">
        <f>85.2+466.9+1200.15</f>
        <v>1752.25</v>
      </c>
      <c r="J195" s="18">
        <v>0</v>
      </c>
      <c r="K195" s="18">
        <v>0</v>
      </c>
      <c r="L195" s="19">
        <f t="shared" si="0"/>
        <v>10701.67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1676</v>
      </c>
      <c r="G196" s="18">
        <v>128.21</v>
      </c>
      <c r="H196" s="18">
        <f>44+3499.2-432.8+1381.26+60038.04</f>
        <v>64529.7</v>
      </c>
      <c r="I196" s="18">
        <v>0</v>
      </c>
      <c r="J196" s="18">
        <v>0</v>
      </c>
      <c r="K196" s="18">
        <v>862.56</v>
      </c>
      <c r="L196" s="19">
        <f t="shared" si="0"/>
        <v>67196.47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21424+11770.97+3385.33</f>
        <v>36580.300000000003</v>
      </c>
      <c r="G197" s="18">
        <f>258.98+115+34.53+3967.87+136.99+2500.01+1372.03+1000+135+46.04</f>
        <v>9566.4500000000007</v>
      </c>
      <c r="H197" s="18">
        <f>241.73+1438.28</f>
        <v>1680.01</v>
      </c>
      <c r="I197" s="18">
        <f>258.64+202.86+496.61</f>
        <v>958.11</v>
      </c>
      <c r="J197" s="18">
        <v>109.98</v>
      </c>
      <c r="K197" s="18">
        <f>833+82.5</f>
        <v>915.5</v>
      </c>
      <c r="L197" s="19">
        <f t="shared" si="0"/>
        <v>49810.350000000006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13858.95</v>
      </c>
      <c r="G199" s="18">
        <v>1425.46</v>
      </c>
      <c r="H199" s="18">
        <v>19251</v>
      </c>
      <c r="I199" s="18">
        <v>15815.74</v>
      </c>
      <c r="J199" s="18">
        <v>590.23</v>
      </c>
      <c r="K199" s="18">
        <v>0</v>
      </c>
      <c r="L199" s="19">
        <f>SUM(F199:K199)</f>
        <v>50941.380000000005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f>672.35+16320</f>
        <v>16992.349999999999</v>
      </c>
      <c r="I200" s="18">
        <v>0</v>
      </c>
      <c r="J200" s="18">
        <v>0</v>
      </c>
      <c r="K200" s="18">
        <v>0</v>
      </c>
      <c r="L200" s="19">
        <f t="shared" si="0"/>
        <v>16992.349999999999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188043.53000000003</v>
      </c>
      <c r="G203" s="41">
        <f t="shared" si="1"/>
        <v>74885.760000000009</v>
      </c>
      <c r="H203" s="41">
        <f t="shared" si="1"/>
        <v>132084.74</v>
      </c>
      <c r="I203" s="41">
        <f t="shared" si="1"/>
        <v>23266.75</v>
      </c>
      <c r="J203" s="41">
        <f t="shared" si="1"/>
        <v>1694.11</v>
      </c>
      <c r="K203" s="41">
        <f t="shared" si="1"/>
        <v>1778.06</v>
      </c>
      <c r="L203" s="41">
        <f t="shared" si="1"/>
        <v>421752.94999999995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f>146783+284528.36+11150</f>
        <v>442461.36</v>
      </c>
      <c r="I225" s="18">
        <v>0</v>
      </c>
      <c r="J225" s="18">
        <v>0</v>
      </c>
      <c r="K225" s="18">
        <v>0</v>
      </c>
      <c r="L225" s="19">
        <f>SUM(F225:K225)</f>
        <v>442461.36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f>75.88</f>
        <v>75.88</v>
      </c>
      <c r="I226" s="18">
        <v>0</v>
      </c>
      <c r="J226" s="18">
        <v>0</v>
      </c>
      <c r="K226" s="18">
        <v>0</v>
      </c>
      <c r="L226" s="19">
        <f>SUM(F226:K226)</f>
        <v>75.88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2514</v>
      </c>
      <c r="G232" s="18">
        <v>192.32</v>
      </c>
      <c r="H232" s="18">
        <f>66+5248.8-649.2+2071.89</f>
        <v>6737.49</v>
      </c>
      <c r="I232" s="18">
        <v>0</v>
      </c>
      <c r="J232" s="18">
        <v>0</v>
      </c>
      <c r="K232" s="18">
        <v>1293.8499999999999</v>
      </c>
      <c r="L232" s="19">
        <f t="shared" si="4"/>
        <v>10737.66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f>24480+252+66</f>
        <v>24798</v>
      </c>
      <c r="I236" s="18">
        <v>0</v>
      </c>
      <c r="J236" s="18">
        <v>0</v>
      </c>
      <c r="K236" s="18">
        <v>0</v>
      </c>
      <c r="L236" s="19">
        <f t="shared" si="4"/>
        <v>24798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2514</v>
      </c>
      <c r="G239" s="41">
        <f t="shared" si="5"/>
        <v>192.32</v>
      </c>
      <c r="H239" s="41">
        <f t="shared" si="5"/>
        <v>474072.73</v>
      </c>
      <c r="I239" s="41">
        <f t="shared" si="5"/>
        <v>0</v>
      </c>
      <c r="J239" s="41">
        <f t="shared" si="5"/>
        <v>0</v>
      </c>
      <c r="K239" s="41">
        <f t="shared" si="5"/>
        <v>1293.8499999999999</v>
      </c>
      <c r="L239" s="41">
        <f t="shared" si="5"/>
        <v>478072.89999999997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29399.5</v>
      </c>
      <c r="I247" s="18">
        <v>0</v>
      </c>
      <c r="J247" s="18">
        <v>0</v>
      </c>
      <c r="K247" s="18">
        <v>0</v>
      </c>
      <c r="L247" s="19">
        <f t="shared" si="6"/>
        <v>29399.5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29399.5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29399.5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190557.53000000003</v>
      </c>
      <c r="G249" s="41">
        <f t="shared" si="8"/>
        <v>75078.080000000016</v>
      </c>
      <c r="H249" s="41">
        <f t="shared" si="8"/>
        <v>635556.97</v>
      </c>
      <c r="I249" s="41">
        <f t="shared" si="8"/>
        <v>23266.75</v>
      </c>
      <c r="J249" s="41">
        <f t="shared" si="8"/>
        <v>1694.11</v>
      </c>
      <c r="K249" s="41">
        <f t="shared" si="8"/>
        <v>3071.91</v>
      </c>
      <c r="L249" s="41">
        <f t="shared" si="8"/>
        <v>929225.34999999986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22416.3</v>
      </c>
      <c r="L255" s="19">
        <f>SUM(F255:K255)</f>
        <v>22416.3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47416.3</v>
      </c>
      <c r="L262" s="41">
        <f t="shared" si="9"/>
        <v>47416.3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190557.53000000003</v>
      </c>
      <c r="G263" s="42">
        <f t="shared" si="11"/>
        <v>75078.080000000016</v>
      </c>
      <c r="H263" s="42">
        <f t="shared" si="11"/>
        <v>635556.97</v>
      </c>
      <c r="I263" s="42">
        <f t="shared" si="11"/>
        <v>23266.75</v>
      </c>
      <c r="J263" s="42">
        <f t="shared" si="11"/>
        <v>1694.11</v>
      </c>
      <c r="K263" s="42">
        <f t="shared" si="11"/>
        <v>50488.210000000006</v>
      </c>
      <c r="L263" s="42">
        <f t="shared" si="11"/>
        <v>976641.64999999991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5798.86+11698+526.27+1837.5</f>
        <v>19860.63</v>
      </c>
      <c r="G268" s="18">
        <f>447.98+439.92+6514.25+843.44+1058.1+17.53+40.26+113.45+111.1</f>
        <v>9586.0300000000025</v>
      </c>
      <c r="H268" s="18">
        <f>1108.12+6370</f>
        <v>7478.12</v>
      </c>
      <c r="I268" s="18">
        <f>601.75+2351.46+1332.63+3035+273.32</f>
        <v>7594.16</v>
      </c>
      <c r="J268" s="18">
        <v>12745.5</v>
      </c>
      <c r="K268" s="18">
        <v>0</v>
      </c>
      <c r="L268" s="19">
        <f>SUM(F268:K268)</f>
        <v>57264.44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19860.63</v>
      </c>
      <c r="G282" s="42">
        <f t="shared" si="13"/>
        <v>9586.0300000000025</v>
      </c>
      <c r="H282" s="42">
        <f t="shared" si="13"/>
        <v>7478.12</v>
      </c>
      <c r="I282" s="42">
        <f t="shared" si="13"/>
        <v>7594.16</v>
      </c>
      <c r="J282" s="42">
        <f t="shared" si="13"/>
        <v>12745.5</v>
      </c>
      <c r="K282" s="42">
        <f t="shared" si="13"/>
        <v>0</v>
      </c>
      <c r="L282" s="41">
        <f t="shared" si="13"/>
        <v>57264.44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19860.63</v>
      </c>
      <c r="G330" s="41">
        <f t="shared" si="20"/>
        <v>9586.0300000000025</v>
      </c>
      <c r="H330" s="41">
        <f t="shared" si="20"/>
        <v>7478.12</v>
      </c>
      <c r="I330" s="41">
        <f t="shared" si="20"/>
        <v>7594.16</v>
      </c>
      <c r="J330" s="41">
        <f t="shared" si="20"/>
        <v>12745.5</v>
      </c>
      <c r="K330" s="41">
        <f t="shared" si="20"/>
        <v>0</v>
      </c>
      <c r="L330" s="41">
        <f t="shared" si="20"/>
        <v>57264.44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19860.63</v>
      </c>
      <c r="G344" s="41">
        <f>G330</f>
        <v>9586.0300000000025</v>
      </c>
      <c r="H344" s="41">
        <f>H330</f>
        <v>7478.12</v>
      </c>
      <c r="I344" s="41">
        <f>I330</f>
        <v>7594.16</v>
      </c>
      <c r="J344" s="41">
        <f>J330</f>
        <v>12745.5</v>
      </c>
      <c r="K344" s="47">
        <f>K330+K343</f>
        <v>0</v>
      </c>
      <c r="L344" s="41">
        <f>L330+L343</f>
        <v>57264.44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16628.349999999999</v>
      </c>
      <c r="G350" s="18">
        <f>6514.25+979.67+1539.83+135+276.24</f>
        <v>9444.99</v>
      </c>
      <c r="H350" s="18">
        <f>4140.09+152</f>
        <v>4292.09</v>
      </c>
      <c r="I350" s="18">
        <f>7189.17+267.01</f>
        <v>7456.18</v>
      </c>
      <c r="J350" s="18">
        <f>2.49+245.04</f>
        <v>247.53</v>
      </c>
      <c r="K350" s="18">
        <v>214.75</v>
      </c>
      <c r="L350" s="13">
        <f>SUM(F350:K350)</f>
        <v>38283.89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16628.349999999999</v>
      </c>
      <c r="G354" s="47">
        <f t="shared" si="22"/>
        <v>9444.99</v>
      </c>
      <c r="H354" s="47">
        <f t="shared" si="22"/>
        <v>4292.09</v>
      </c>
      <c r="I354" s="47">
        <f t="shared" si="22"/>
        <v>7456.18</v>
      </c>
      <c r="J354" s="47">
        <f t="shared" si="22"/>
        <v>247.53</v>
      </c>
      <c r="K354" s="47">
        <f t="shared" si="22"/>
        <v>214.75</v>
      </c>
      <c r="L354" s="47">
        <f t="shared" si="22"/>
        <v>38283.89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7189.17</v>
      </c>
      <c r="G359" s="18"/>
      <c r="H359" s="18"/>
      <c r="I359" s="56">
        <f>SUM(F359:H359)</f>
        <v>7189.17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267.01</v>
      </c>
      <c r="G360" s="63"/>
      <c r="H360" s="63"/>
      <c r="I360" s="56">
        <f>SUM(F360:H360)</f>
        <v>267.01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7456.18</v>
      </c>
      <c r="G361" s="47">
        <f>SUM(G359:G360)</f>
        <v>0</v>
      </c>
      <c r="H361" s="47">
        <f>SUM(H359:H360)</f>
        <v>0</v>
      </c>
      <c r="I361" s="47">
        <f>SUM(I359:I360)</f>
        <v>7456.18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25000</v>
      </c>
      <c r="H388" s="18">
        <v>361.21</v>
      </c>
      <c r="I388" s="18"/>
      <c r="J388" s="24" t="s">
        <v>312</v>
      </c>
      <c r="K388" s="24" t="s">
        <v>312</v>
      </c>
      <c r="L388" s="56">
        <f t="shared" si="26"/>
        <v>25361.21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296.07</v>
      </c>
      <c r="I389" s="18"/>
      <c r="J389" s="24" t="s">
        <v>312</v>
      </c>
      <c r="K389" s="24" t="s">
        <v>312</v>
      </c>
      <c r="L389" s="56">
        <f t="shared" si="26"/>
        <v>296.07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657.28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25657.279999999999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657.28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25657.279999999999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170926.65</v>
      </c>
      <c r="H431" s="18"/>
      <c r="I431" s="56">
        <f t="shared" ref="I431:I437" si="33">SUM(F431:H431)</f>
        <v>170926.65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170926.65</v>
      </c>
      <c r="H438" s="13">
        <f>SUM(H431:H437)</f>
        <v>0</v>
      </c>
      <c r="I438" s="13">
        <f>SUM(I431:I437)</f>
        <v>170926.65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>
        <v>170926.65</v>
      </c>
      <c r="H447" s="18"/>
      <c r="I447" s="56">
        <f>SUM(F447:H447)</f>
        <v>170926.65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170926.65</v>
      </c>
      <c r="H450" s="83">
        <f>SUM(H446:H449)</f>
        <v>0</v>
      </c>
      <c r="I450" s="83">
        <f>SUM(I446:I449)</f>
        <v>170926.65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170926.65</v>
      </c>
      <c r="H451" s="42">
        <f>H444+H450</f>
        <v>0</v>
      </c>
      <c r="I451" s="42">
        <f>I444+I450</f>
        <v>170926.65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26176.65</v>
      </c>
      <c r="G455" s="18"/>
      <c r="H455" s="18"/>
      <c r="I455" s="18"/>
      <c r="J455" s="18">
        <v>145269.37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961341.34</v>
      </c>
      <c r="G458" s="18">
        <v>38283.89</v>
      </c>
      <c r="H458" s="18">
        <v>57264.44</v>
      </c>
      <c r="I458" s="18"/>
      <c r="J458" s="18">
        <v>25657.279999999999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961341.34</v>
      </c>
      <c r="G460" s="53">
        <f>SUM(G458:G459)</f>
        <v>38283.89</v>
      </c>
      <c r="H460" s="53">
        <f>SUM(H458:H459)</f>
        <v>57264.44</v>
      </c>
      <c r="I460" s="53">
        <f>SUM(I458:I459)</f>
        <v>0</v>
      </c>
      <c r="J460" s="53">
        <f>SUM(J458:J459)</f>
        <v>25657.279999999999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976641.65</v>
      </c>
      <c r="G462" s="18">
        <v>38283.89</v>
      </c>
      <c r="H462" s="18">
        <v>57264.44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976641.65</v>
      </c>
      <c r="G464" s="53">
        <f>SUM(G462:G463)</f>
        <v>38283.89</v>
      </c>
      <c r="H464" s="53">
        <f>SUM(H462:H463)</f>
        <v>57264.44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10876.339999999967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170926.65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8401+11062.75</f>
        <v>19463.75</v>
      </c>
      <c r="G511" s="18">
        <f>991.54+34.25+1478.94+570.89+135+69.06</f>
        <v>3279.68</v>
      </c>
      <c r="H511" s="18">
        <v>219</v>
      </c>
      <c r="I511" s="18">
        <f>499.5+200</f>
        <v>699.5</v>
      </c>
      <c r="J511" s="18"/>
      <c r="K511" s="18"/>
      <c r="L511" s="88">
        <f>SUM(F511:K511)</f>
        <v>23661.93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19463.75</v>
      </c>
      <c r="G514" s="108">
        <f t="shared" ref="G514:L514" si="35">SUM(G511:G513)</f>
        <v>3279.68</v>
      </c>
      <c r="H514" s="108">
        <f t="shared" si="35"/>
        <v>219</v>
      </c>
      <c r="I514" s="108">
        <f t="shared" si="35"/>
        <v>699.5</v>
      </c>
      <c r="J514" s="108">
        <f t="shared" si="35"/>
        <v>0</v>
      </c>
      <c r="K514" s="108">
        <f t="shared" si="35"/>
        <v>0</v>
      </c>
      <c r="L514" s="89">
        <f t="shared" si="35"/>
        <v>23661.93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13749+0</f>
        <v>13749</v>
      </c>
      <c r="I516" s="18"/>
      <c r="J516" s="18"/>
      <c r="K516" s="18"/>
      <c r="L516" s="88">
        <f>SUM(F516:K516)</f>
        <v>13749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f>150+75.88</f>
        <v>225.88</v>
      </c>
      <c r="I518" s="18"/>
      <c r="J518" s="18"/>
      <c r="K518" s="18"/>
      <c r="L518" s="88">
        <f>SUM(F518:K518)</f>
        <v>225.88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13974.88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13974.88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3385.33</v>
      </c>
      <c r="G521" s="18">
        <f>258.98+115+34.53</f>
        <v>408.51</v>
      </c>
      <c r="H521" s="18"/>
      <c r="I521" s="18"/>
      <c r="J521" s="18"/>
      <c r="K521" s="18"/>
      <c r="L521" s="88">
        <f>SUM(F521:K521)</f>
        <v>3793.84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3385.33</v>
      </c>
      <c r="G524" s="89">
        <f t="shared" ref="G524:L524" si="37">SUM(G521:G523)</f>
        <v>408.51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3793.84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0</v>
      </c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252+66</f>
        <v>318</v>
      </c>
      <c r="I533" s="18"/>
      <c r="J533" s="18"/>
      <c r="K533" s="18"/>
      <c r="L533" s="88">
        <f>SUM(F533:K533)</f>
        <v>318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318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318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22849.08</v>
      </c>
      <c r="G535" s="89">
        <f t="shared" ref="G535:L535" si="40">G514+G519+G524+G529+G534</f>
        <v>3688.1899999999996</v>
      </c>
      <c r="H535" s="89">
        <f t="shared" si="40"/>
        <v>14511.88</v>
      </c>
      <c r="I535" s="89">
        <f t="shared" si="40"/>
        <v>699.5</v>
      </c>
      <c r="J535" s="89">
        <f t="shared" si="40"/>
        <v>0</v>
      </c>
      <c r="K535" s="89">
        <f t="shared" si="40"/>
        <v>0</v>
      </c>
      <c r="L535" s="89">
        <f t="shared" si="40"/>
        <v>41748.649999999994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23661.93</v>
      </c>
      <c r="G539" s="87">
        <f>L516</f>
        <v>13749</v>
      </c>
      <c r="H539" s="87">
        <f>L521</f>
        <v>3793.84</v>
      </c>
      <c r="I539" s="87">
        <f>L526</f>
        <v>0</v>
      </c>
      <c r="J539" s="87">
        <f>L531</f>
        <v>0</v>
      </c>
      <c r="K539" s="87">
        <f>SUM(F539:J539)</f>
        <v>41204.770000000004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225.88</v>
      </c>
      <c r="H541" s="87">
        <f>L523</f>
        <v>0</v>
      </c>
      <c r="I541" s="87">
        <f>L528</f>
        <v>0</v>
      </c>
      <c r="J541" s="87">
        <f>L533</f>
        <v>318</v>
      </c>
      <c r="K541" s="87">
        <f>SUM(F541:J541)</f>
        <v>543.88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23661.93</v>
      </c>
      <c r="G542" s="89">
        <f t="shared" si="41"/>
        <v>13974.88</v>
      </c>
      <c r="H542" s="89">
        <f t="shared" si="41"/>
        <v>3793.84</v>
      </c>
      <c r="I542" s="89">
        <f t="shared" si="41"/>
        <v>0</v>
      </c>
      <c r="J542" s="89">
        <f t="shared" si="41"/>
        <v>318</v>
      </c>
      <c r="K542" s="89">
        <f t="shared" si="41"/>
        <v>41748.65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431311.35999999999</v>
      </c>
      <c r="I565" s="87">
        <f>SUM(F565:H565)</f>
        <v>431311.35999999999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150</v>
      </c>
      <c r="I569" s="87">
        <f t="shared" si="46"/>
        <v>150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16320</v>
      </c>
      <c r="I581" s="18"/>
      <c r="J581" s="18">
        <v>24480</v>
      </c>
      <c r="K581" s="104">
        <f t="shared" ref="K581:K587" si="47">SUM(H581:J581)</f>
        <v>40800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0</v>
      </c>
      <c r="I582" s="18"/>
      <c r="J582" s="18">
        <f>252+66</f>
        <v>318</v>
      </c>
      <c r="K582" s="104">
        <f t="shared" si="47"/>
        <v>318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/>
      <c r="J583" s="18">
        <v>0</v>
      </c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/>
      <c r="J584" s="18">
        <v>0</v>
      </c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672.35</v>
      </c>
      <c r="I585" s="18"/>
      <c r="J585" s="18">
        <v>0</v>
      </c>
      <c r="K585" s="104">
        <f t="shared" si="47"/>
        <v>672.35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/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/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16992.349999999999</v>
      </c>
      <c r="I588" s="108">
        <f>SUM(I581:I587)</f>
        <v>0</v>
      </c>
      <c r="J588" s="108">
        <f>SUM(J581:J587)</f>
        <v>24798</v>
      </c>
      <c r="K588" s="108">
        <f>SUM(K581:K587)</f>
        <v>41790.35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1941.64+12745.5-247.53</f>
        <v>14439.609999999999</v>
      </c>
      <c r="I594" s="18"/>
      <c r="J594" s="18"/>
      <c r="K594" s="104">
        <f>SUM(H594:J594)</f>
        <v>14439.609999999999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14439.609999999999</v>
      </c>
      <c r="I595" s="108">
        <f>SUM(I592:I594)</f>
        <v>0</v>
      </c>
      <c r="J595" s="108">
        <f>SUM(J592:J594)</f>
        <v>0</v>
      </c>
      <c r="K595" s="108">
        <f>SUM(K592:K594)</f>
        <v>14439.609999999999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1410</v>
      </c>
      <c r="G601" s="18">
        <f>107.87+105.61</f>
        <v>213.48000000000002</v>
      </c>
      <c r="H601" s="18">
        <v>0</v>
      </c>
      <c r="I601" s="18">
        <v>127.05</v>
      </c>
      <c r="J601" s="18">
        <v>0</v>
      </c>
      <c r="K601" s="18">
        <v>0</v>
      </c>
      <c r="L601" s="88">
        <f>SUM(F601:K601)</f>
        <v>1750.53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1410</v>
      </c>
      <c r="G604" s="108">
        <f t="shared" si="48"/>
        <v>213.48000000000002</v>
      </c>
      <c r="H604" s="108">
        <f t="shared" si="48"/>
        <v>0</v>
      </c>
      <c r="I604" s="108">
        <f t="shared" si="48"/>
        <v>127.05</v>
      </c>
      <c r="J604" s="108">
        <f t="shared" si="48"/>
        <v>0</v>
      </c>
      <c r="K604" s="108">
        <f t="shared" si="48"/>
        <v>0</v>
      </c>
      <c r="L604" s="89">
        <f t="shared" si="48"/>
        <v>1750.53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33306.509999999995</v>
      </c>
      <c r="H607" s="109">
        <f>SUM(F44)</f>
        <v>33306.509999999995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1601.43</v>
      </c>
      <c r="H608" s="109">
        <f>SUM(G44)</f>
        <v>1601.43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37195.49</v>
      </c>
      <c r="H609" s="109">
        <f>SUM(H44)</f>
        <v>37195.49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170926.65</v>
      </c>
      <c r="H611" s="109">
        <f>SUM(J44)</f>
        <v>170926.65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10876.34</v>
      </c>
      <c r="H612" s="109">
        <f>F466</f>
        <v>10876.339999999967</v>
      </c>
      <c r="I612" s="121" t="s">
        <v>106</v>
      </c>
      <c r="J612" s="109">
        <f t="shared" ref="J612:J645" si="49">G612-H612</f>
        <v>3.2741809263825417E-11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170926.65</v>
      </c>
      <c r="H616" s="109">
        <f>J466</f>
        <v>170926.65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961341.34000000008</v>
      </c>
      <c r="H617" s="104">
        <f>SUM(F458)</f>
        <v>961341.34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38283.89</v>
      </c>
      <c r="H618" s="104">
        <f>SUM(G458)</f>
        <v>38283.89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57264.44</v>
      </c>
      <c r="H619" s="104">
        <f>SUM(H458)</f>
        <v>57264.44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25657.279999999999</v>
      </c>
      <c r="H621" s="104">
        <f>SUM(J458)</f>
        <v>25657.279999999999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976641.64999999991</v>
      </c>
      <c r="H622" s="104">
        <f>SUM(F462)</f>
        <v>976641.65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57264.44</v>
      </c>
      <c r="H623" s="104">
        <f>SUM(H462)</f>
        <v>57264.44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7456.18</v>
      </c>
      <c r="H624" s="104">
        <f>I361</f>
        <v>7456.18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38283.89</v>
      </c>
      <c r="H625" s="104">
        <f>SUM(G462)</f>
        <v>38283.89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25657.279999999999</v>
      </c>
      <c r="H627" s="164">
        <f>SUM(J458)</f>
        <v>25657.279999999999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170926.65</v>
      </c>
      <c r="H630" s="104">
        <f>SUM(G451)</f>
        <v>170926.65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170926.65</v>
      </c>
      <c r="H632" s="104">
        <f>SUM(I451)</f>
        <v>170926.65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657.28</v>
      </c>
      <c r="H634" s="104">
        <f>H400</f>
        <v>657.28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25657.279999999999</v>
      </c>
      <c r="H636" s="104">
        <f>L400</f>
        <v>25657.279999999999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41790.35</v>
      </c>
      <c r="H637" s="104">
        <f>L200+L218+L236</f>
        <v>41790.35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14439.609999999999</v>
      </c>
      <c r="H638" s="104">
        <f>(J249+J330)-(J247+J328)</f>
        <v>14439.61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16992.349999999999</v>
      </c>
      <c r="H639" s="104">
        <f>H588</f>
        <v>16992.349999999999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24798</v>
      </c>
      <c r="H641" s="104">
        <f>J588</f>
        <v>24798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22416.3</v>
      </c>
      <c r="H642" s="104">
        <f>K255+K337</f>
        <v>22416.3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517301.27999999997</v>
      </c>
      <c r="G650" s="19">
        <f>(L221+L301+L351)</f>
        <v>0</v>
      </c>
      <c r="H650" s="19">
        <f>(L239+L320+L352)</f>
        <v>478072.89999999997</v>
      </c>
      <c r="I650" s="19">
        <f>SUM(F650:H650)</f>
        <v>995374.17999999993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4797.6899999999996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4797.6899999999996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16992.349999999999</v>
      </c>
      <c r="G652" s="19">
        <f>(L218+L298)-(J218+J298)</f>
        <v>0</v>
      </c>
      <c r="H652" s="19">
        <f>(L236+L317)-(J236+J317)</f>
        <v>24798</v>
      </c>
      <c r="I652" s="19">
        <f>SUM(F652:H652)</f>
        <v>41790.35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16190.14</v>
      </c>
      <c r="G653" s="200">
        <f>SUM(G565:G577)+SUM(I592:I594)+L602</f>
        <v>0</v>
      </c>
      <c r="H653" s="200">
        <f>SUM(H565:H577)+SUM(J592:J594)+L603</f>
        <v>431461.36</v>
      </c>
      <c r="I653" s="19">
        <f>SUM(F653:H653)</f>
        <v>447651.5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479321.1</v>
      </c>
      <c r="G654" s="19">
        <f>G650-SUM(G651:G653)</f>
        <v>0</v>
      </c>
      <c r="H654" s="19">
        <f>H650-SUM(H651:H653)</f>
        <v>21813.539999999979</v>
      </c>
      <c r="I654" s="19">
        <f>I650-SUM(I651:I653)</f>
        <v>501134.63999999996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24.05</v>
      </c>
      <c r="G655" s="249">
        <v>0</v>
      </c>
      <c r="H655" s="249">
        <v>0</v>
      </c>
      <c r="I655" s="19">
        <f>SUM(F655:H655)</f>
        <v>24.05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19930.189999999999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20837.2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-21813.54</v>
      </c>
      <c r="I659" s="19">
        <f>SUM(F659:H659)</f>
        <v>-21813.54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19930.189999999999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19930.189999999999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39C6-70EE-44BF-915E-ABBB6674118A}">
  <sheetPr>
    <tabColor indexed="20"/>
  </sheetPr>
  <dimension ref="A1:C52"/>
  <sheetViews>
    <sheetView workbookViewId="0">
      <selection activeCell="D28" sqref="D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STARK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127185.91</v>
      </c>
      <c r="C9" s="230">
        <f>'DOE25'!G189+'DOE25'!G207+'DOE25'!G225+'DOE25'!G268+'DOE25'!G287+'DOE25'!G306</f>
        <v>68955.91</v>
      </c>
    </row>
    <row r="10" spans="1:3" x14ac:dyDescent="0.2">
      <c r="A10" t="s">
        <v>813</v>
      </c>
      <c r="B10" s="241">
        <f>97429.47+4272.59+5798.86+526.27+1837.5</f>
        <v>109864.69</v>
      </c>
      <c r="C10" s="241">
        <f>41160.73+567.51+8006.41+184.02+7363.07+1650+103.6+334.54-430.18+447.98+439.92+40.26+17.53+40.26+113.45+111.1</f>
        <v>60150.200000000004</v>
      </c>
    </row>
    <row r="11" spans="1:3" x14ac:dyDescent="0.2">
      <c r="A11" t="s">
        <v>814</v>
      </c>
      <c r="B11" s="241">
        <f>5623.22+11698</f>
        <v>17321.22</v>
      </c>
      <c r="C11" s="241">
        <f>430.18+184.02+6514.25+843.44+1058.1-224.28</f>
        <v>8805.7099999999991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127185.91</v>
      </c>
      <c r="C13" s="232">
        <f>SUM(C10:C12)</f>
        <v>68955.91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19463.75</v>
      </c>
      <c r="C18" s="230">
        <f>'DOE25'!G190+'DOE25'!G208+'DOE25'!G226+'DOE25'!G269+'DOE25'!G288+'DOE25'!G307</f>
        <v>3279.68</v>
      </c>
    </row>
    <row r="19" spans="1:3" x14ac:dyDescent="0.2">
      <c r="A19" t="s">
        <v>813</v>
      </c>
      <c r="B19" s="241">
        <v>8401</v>
      </c>
      <c r="C19" s="241">
        <f>991.54+34.25+1478.94+135+69.06-846.3+570.89</f>
        <v>2433.38</v>
      </c>
    </row>
    <row r="20" spans="1:3" x14ac:dyDescent="0.2">
      <c r="A20" t="s">
        <v>814</v>
      </c>
      <c r="B20" s="241">
        <v>11062.75</v>
      </c>
      <c r="C20" s="241">
        <v>846.3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19463.75</v>
      </c>
      <c r="C22" s="232">
        <f>SUM(C19:C21)</f>
        <v>3279.6800000000003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>
        <v>0</v>
      </c>
      <c r="C28" s="241">
        <v>0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4290</v>
      </c>
      <c r="C36" s="236">
        <f>'DOE25'!G192+'DOE25'!G210+'DOE25'!G228+'DOE25'!G271+'DOE25'!G290+'DOE25'!G309</f>
        <v>433.79</v>
      </c>
    </row>
    <row r="37" spans="1:3" x14ac:dyDescent="0.2">
      <c r="A37" t="s">
        <v>813</v>
      </c>
      <c r="B37" s="241">
        <f>2880+1410</f>
        <v>4290</v>
      </c>
      <c r="C37" s="241">
        <f>107.87+220.31+105.61</f>
        <v>433.79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4290</v>
      </c>
      <c r="C40" s="232">
        <f>SUM(C37:C39)</f>
        <v>433.79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EA60-04EA-48A5-8262-DE64D8B1F1A1}">
  <sheetPr>
    <tabColor indexed="11"/>
  </sheetPr>
  <dimension ref="A1:I51"/>
  <sheetViews>
    <sheetView workbookViewId="0">
      <pane ySplit="4" topLeftCell="A9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STARK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659073.53</v>
      </c>
      <c r="D5" s="20">
        <f>SUM('DOE25'!L189:L192)+SUM('DOE25'!L207:L210)+SUM('DOE25'!L225:L228)-F5-G5</f>
        <v>658173.53</v>
      </c>
      <c r="E5" s="244"/>
      <c r="F5" s="256">
        <f>SUM('DOE25'!J189:J192)+SUM('DOE25'!J207:J210)+SUM('DOE25'!J225:J228)</f>
        <v>900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9574.44</v>
      </c>
      <c r="D6" s="20">
        <f>'DOE25'!L194+'DOE25'!L212+'DOE25'!L230-F6-G6</f>
        <v>9480.5400000000009</v>
      </c>
      <c r="E6" s="244"/>
      <c r="F6" s="256">
        <f>'DOE25'!J194+'DOE25'!J212+'DOE25'!J230</f>
        <v>93.9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10701.67</v>
      </c>
      <c r="D7" s="20">
        <f>'DOE25'!L195+'DOE25'!L213+'DOE25'!L231-F7-G7</f>
        <v>10701.67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36467.680000000008</v>
      </c>
      <c r="D8" s="244"/>
      <c r="E8" s="20">
        <f>'DOE25'!L196+'DOE25'!L214+'DOE25'!L232-F8-G8-D9-D11</f>
        <v>34311.270000000004</v>
      </c>
      <c r="F8" s="256">
        <f>'DOE25'!J196+'DOE25'!J214+'DOE25'!J232</f>
        <v>0</v>
      </c>
      <c r="G8" s="53">
        <f>'DOE25'!K196+'DOE25'!K214+'DOE25'!K232</f>
        <v>2156.41</v>
      </c>
      <c r="H8" s="260"/>
    </row>
    <row r="9" spans="1:9" x14ac:dyDescent="0.2">
      <c r="A9" s="32">
        <v>2310</v>
      </c>
      <c r="B9" t="s">
        <v>852</v>
      </c>
      <c r="C9" s="246">
        <f t="shared" si="0"/>
        <v>17896.09</v>
      </c>
      <c r="D9" s="245">
        <v>17896.09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8748</v>
      </c>
      <c r="D10" s="244"/>
      <c r="E10" s="245">
        <v>8748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23570.36</v>
      </c>
      <c r="D11" s="245">
        <v>23570.36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49810.350000000006</v>
      </c>
      <c r="D12" s="20">
        <f>'DOE25'!L197+'DOE25'!L215+'DOE25'!L233-F12-G12</f>
        <v>48784.87</v>
      </c>
      <c r="E12" s="244"/>
      <c r="F12" s="256">
        <f>'DOE25'!J197+'DOE25'!J215+'DOE25'!J233</f>
        <v>109.98</v>
      </c>
      <c r="G12" s="53">
        <f>'DOE25'!K197+'DOE25'!K215+'DOE25'!K233</f>
        <v>915.5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50941.380000000005</v>
      </c>
      <c r="D14" s="20">
        <f>'DOE25'!L199+'DOE25'!L217+'DOE25'!L235-F14-G14</f>
        <v>50351.15</v>
      </c>
      <c r="E14" s="244"/>
      <c r="F14" s="256">
        <f>'DOE25'!J199+'DOE25'!J217+'DOE25'!J235</f>
        <v>590.23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41790.35</v>
      </c>
      <c r="D15" s="20">
        <f>'DOE25'!L200+'DOE25'!L218+'DOE25'!L236-F15-G15</f>
        <v>41790.35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29399.5</v>
      </c>
      <c r="D22" s="244"/>
      <c r="E22" s="244"/>
      <c r="F22" s="256">
        <f>'DOE25'!L247+'DOE25'!L328</f>
        <v>29399.5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31094.720000000001</v>
      </c>
      <c r="D29" s="20">
        <f>'DOE25'!L350+'DOE25'!L351+'DOE25'!L352-'DOE25'!I359-F29-G29</f>
        <v>30632.440000000002</v>
      </c>
      <c r="E29" s="244"/>
      <c r="F29" s="256">
        <f>'DOE25'!J350+'DOE25'!J351+'DOE25'!J352</f>
        <v>247.53</v>
      </c>
      <c r="G29" s="53">
        <f>'DOE25'!K350+'DOE25'!K351+'DOE25'!K352</f>
        <v>214.75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57264.44</v>
      </c>
      <c r="D31" s="20">
        <f>'DOE25'!L282+'DOE25'!L301+'DOE25'!L320+'DOE25'!L325+'DOE25'!L326+'DOE25'!L327-F31-G31</f>
        <v>44518.94</v>
      </c>
      <c r="E31" s="244"/>
      <c r="F31" s="256">
        <f>'DOE25'!J282+'DOE25'!J301+'DOE25'!J320+'DOE25'!J325+'DOE25'!J326+'DOE25'!J327</f>
        <v>12745.5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935899.94</v>
      </c>
      <c r="E33" s="247">
        <f>SUM(E5:E31)</f>
        <v>43059.270000000004</v>
      </c>
      <c r="F33" s="247">
        <f>SUM(F5:F31)</f>
        <v>44086.64</v>
      </c>
      <c r="G33" s="247">
        <f>SUM(G5:G31)</f>
        <v>3286.66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43059.270000000004</v>
      </c>
      <c r="E35" s="250"/>
    </row>
    <row r="36" spans="2:8" ht="12" thickTop="1" x14ac:dyDescent="0.2">
      <c r="B36" t="s">
        <v>849</v>
      </c>
      <c r="D36" s="20">
        <f>D33</f>
        <v>935899.94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59A1-23CF-4B91-827F-B18D23D0AF34}">
  <sheetPr transitionEvaluation="1" codeName="Sheet2">
    <tabColor indexed="10"/>
  </sheetPr>
  <dimension ref="A1:I156"/>
  <sheetViews>
    <sheetView zoomScale="75" workbookViewId="0">
      <pane ySplit="2" topLeftCell="A57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STARK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-1997.57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170926.65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32824.92</v>
      </c>
      <c r="D12" s="95">
        <f>'DOE25'!G12</f>
        <v>0</v>
      </c>
      <c r="E12" s="95">
        <f>'DOE25'!H12</f>
        <v>4370.57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2479.16</v>
      </c>
      <c r="D14" s="95">
        <f>'DOE25'!G14</f>
        <v>1601.43</v>
      </c>
      <c r="E14" s="95">
        <f>'DOE25'!H14</f>
        <v>32824.92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33306.509999999995</v>
      </c>
      <c r="D19" s="41">
        <f>SUM(D9:D18)</f>
        <v>1601.43</v>
      </c>
      <c r="E19" s="41">
        <f>SUM(E9:E18)</f>
        <v>37195.49</v>
      </c>
      <c r="F19" s="41">
        <f>SUM(F9:F18)</f>
        <v>0</v>
      </c>
      <c r="G19" s="41">
        <f>SUM(G9:G18)</f>
        <v>170926.65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4370.57</v>
      </c>
      <c r="D22" s="95">
        <f>'DOE25'!G23</f>
        <v>1601.43</v>
      </c>
      <c r="E22" s="95">
        <f>'DOE25'!H23</f>
        <v>32824.92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18059.599999999999</v>
      </c>
      <c r="D28" s="95">
        <f>'DOE25'!G29</f>
        <v>0</v>
      </c>
      <c r="E28" s="95">
        <f>'DOE25'!H29</f>
        <v>4370.57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22430.17</v>
      </c>
      <c r="D32" s="41">
        <f>SUM(D22:D31)</f>
        <v>1601.43</v>
      </c>
      <c r="E32" s="41">
        <f>SUM(E22:E31)</f>
        <v>37195.49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170926.65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10876.34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10876.34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170926.65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33306.509999999995</v>
      </c>
      <c r="D43" s="41">
        <f>D42+D32</f>
        <v>1601.43</v>
      </c>
      <c r="E43" s="41">
        <f>E42+E32</f>
        <v>37195.49</v>
      </c>
      <c r="F43" s="41">
        <f>F42+F32</f>
        <v>0</v>
      </c>
      <c r="G43" s="41">
        <f>G42+G32</f>
        <v>170926.65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452130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97.1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657.28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4797.6899999999996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151.24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248.34</v>
      </c>
      <c r="D54" s="130">
        <f>SUM(D49:D53)</f>
        <v>4797.6899999999996</v>
      </c>
      <c r="E54" s="130">
        <f>SUM(E49:E53)</f>
        <v>0</v>
      </c>
      <c r="F54" s="130">
        <f>SUM(F49:F53)</f>
        <v>0</v>
      </c>
      <c r="G54" s="130">
        <f>SUM(G49:G53)</f>
        <v>657.28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452378.34</v>
      </c>
      <c r="D55" s="22">
        <f>D48+D54</f>
        <v>4797.6899999999996</v>
      </c>
      <c r="E55" s="22">
        <f>E48+E54</f>
        <v>0</v>
      </c>
      <c r="F55" s="22">
        <f>F48+F54</f>
        <v>0</v>
      </c>
      <c r="G55" s="22">
        <f>G48+G54</f>
        <v>657.28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246220.2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121334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94467.8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462022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189.51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189.51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462022</v>
      </c>
      <c r="D73" s="130">
        <f>SUM(D71:D72)+D70+D62</f>
        <v>189.51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15853.89</v>
      </c>
      <c r="D80" s="95">
        <f>SUM('DOE25'!G145:G153)</f>
        <v>10880.39</v>
      </c>
      <c r="E80" s="95">
        <f>SUM('DOE25'!H145:H153)</f>
        <v>57264.44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31087.11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46941</v>
      </c>
      <c r="D83" s="131">
        <f>SUM(D77:D82)</f>
        <v>10880.39</v>
      </c>
      <c r="E83" s="131">
        <f>SUM(E77:E82)</f>
        <v>57264.44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22416.3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22416.3</v>
      </c>
      <c r="E95" s="86">
        <f>SUM(E85:E94)</f>
        <v>0</v>
      </c>
      <c r="F95" s="86">
        <f>SUM(F85:F94)</f>
        <v>0</v>
      </c>
      <c r="G95" s="86">
        <f>SUM(G85:G94)</f>
        <v>25000</v>
      </c>
    </row>
    <row r="96" spans="1:7" ht="12.75" thickTop="1" thickBot="1" x14ac:dyDescent="0.25">
      <c r="A96" s="33" t="s">
        <v>797</v>
      </c>
      <c r="C96" s="86">
        <f>C55+C73+C83+C95</f>
        <v>961341.34000000008</v>
      </c>
      <c r="D96" s="86">
        <f>D55+D73+D83+D95</f>
        <v>38283.89</v>
      </c>
      <c r="E96" s="86">
        <f>E55+E73+E83+E95</f>
        <v>57264.44</v>
      </c>
      <c r="F96" s="86">
        <f>F55+F73+F83+F95</f>
        <v>0</v>
      </c>
      <c r="G96" s="86">
        <f>G55+G73+G95</f>
        <v>25657.279999999999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615811.88</v>
      </c>
      <c r="D101" s="24" t="s">
        <v>312</v>
      </c>
      <c r="E101" s="95">
        <f>('DOE25'!L268)+('DOE25'!L287)+('DOE25'!L306)</f>
        <v>57264.44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37636.81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5624.84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659073.52999999991</v>
      </c>
      <c r="D107" s="86">
        <f>SUM(D101:D106)</f>
        <v>0</v>
      </c>
      <c r="E107" s="86">
        <f>SUM(E101:E106)</f>
        <v>57264.44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9574.44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10701.67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77934.13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49810.350000000006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50941.380000000005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41790.35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38283.89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240752.32000000004</v>
      </c>
      <c r="D120" s="86">
        <f>SUM(D110:D119)</f>
        <v>38283.89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29399.5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22416.3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25657.279999999999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-657.27999999999884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76815.8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976641.65</v>
      </c>
      <c r="D137" s="86">
        <f>(D107+D120+D136)</f>
        <v>38283.89</v>
      </c>
      <c r="E137" s="86">
        <f>(E107+E120+E136)</f>
        <v>57264.44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A060-E7A3-4E5D-922E-7D0C9A4791ED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STARK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19930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19930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673076</v>
      </c>
      <c r="D10" s="182">
        <f>ROUND((C10/$C$28)*100,1)</f>
        <v>67.900000000000006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37637</v>
      </c>
      <c r="D11" s="182">
        <f>ROUND((C11/$C$28)*100,1)</f>
        <v>3.8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5625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9574</v>
      </c>
      <c r="D15" s="182">
        <f t="shared" ref="D15:D27" si="0">ROUND((C15/$C$28)*100,1)</f>
        <v>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10702</v>
      </c>
      <c r="D16" s="182">
        <f t="shared" si="0"/>
        <v>1.1000000000000001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77934</v>
      </c>
      <c r="D17" s="182">
        <f t="shared" si="0"/>
        <v>7.9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49810</v>
      </c>
      <c r="D18" s="182">
        <f t="shared" si="0"/>
        <v>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50941</v>
      </c>
      <c r="D20" s="182">
        <f t="shared" si="0"/>
        <v>5.0999999999999996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41790</v>
      </c>
      <c r="D21" s="182">
        <f t="shared" si="0"/>
        <v>4.2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33486.31</v>
      </c>
      <c r="D27" s="182">
        <f t="shared" si="0"/>
        <v>3.4</v>
      </c>
    </row>
    <row r="28" spans="1:4" x14ac:dyDescent="0.2">
      <c r="B28" s="187" t="s">
        <v>754</v>
      </c>
      <c r="C28" s="180">
        <f>SUM(C10:C27)</f>
        <v>990575.31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29400</v>
      </c>
    </row>
    <row r="30" spans="1:4" x14ac:dyDescent="0.2">
      <c r="B30" s="187" t="s">
        <v>760</v>
      </c>
      <c r="C30" s="180">
        <f>SUM(C28:C29)</f>
        <v>1019975.31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452130</v>
      </c>
      <c r="D35" s="182">
        <f t="shared" ref="D35:D40" si="1">ROUND((C35/$C$41)*100,1)</f>
        <v>43.9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905.62000000005355</v>
      </c>
      <c r="D36" s="182">
        <f t="shared" si="1"/>
        <v>0.1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367554</v>
      </c>
      <c r="D37" s="182">
        <f t="shared" si="1"/>
        <v>35.700000000000003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94657</v>
      </c>
      <c r="D38" s="182">
        <f t="shared" si="1"/>
        <v>9.1999999999999993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115086</v>
      </c>
      <c r="D39" s="182">
        <f t="shared" si="1"/>
        <v>11.2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1030332.6200000001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3FDA-571D-498C-9179-A97561B9A6F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STARK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2010-08-23T12:19:45Z</cp:lastPrinted>
  <dcterms:created xsi:type="dcterms:W3CDTF">1997-12-04T19:04:30Z</dcterms:created>
  <dcterms:modified xsi:type="dcterms:W3CDTF">2025-01-09T20:23:54Z</dcterms:modified>
</cp:coreProperties>
</file>