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A8437E1-C290-45F3-8EF7-EBA37E93F9EF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D3D4D4C-8E19-446A-B572-A02EB6D3284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2" l="1"/>
  <c r="C38" i="12" s="1"/>
  <c r="B37" i="12"/>
  <c r="C21" i="12"/>
  <c r="B20" i="12"/>
  <c r="C20" i="12" s="1"/>
  <c r="B19" i="12"/>
  <c r="B22" i="12" s="1"/>
  <c r="C9" i="12"/>
  <c r="C10" i="12" s="1"/>
  <c r="C13" i="12" s="1"/>
  <c r="C12" i="12"/>
  <c r="C11" i="12"/>
  <c r="B10" i="12"/>
  <c r="H194" i="1"/>
  <c r="H594" i="1"/>
  <c r="G89" i="1"/>
  <c r="G463" i="1"/>
  <c r="G464" i="1" s="1"/>
  <c r="G466" i="1" s="1"/>
  <c r="H613" i="1" s="1"/>
  <c r="G601" i="1"/>
  <c r="G604" i="1" s="1"/>
  <c r="F601" i="1"/>
  <c r="L601" i="1" s="1"/>
  <c r="H523" i="1"/>
  <c r="L523" i="1" s="1"/>
  <c r="H541" i="1" s="1"/>
  <c r="H521" i="1"/>
  <c r="L521" i="1" s="1"/>
  <c r="H516" i="1"/>
  <c r="I516" i="1"/>
  <c r="G516" i="1"/>
  <c r="I511" i="1"/>
  <c r="H511" i="1"/>
  <c r="G511" i="1"/>
  <c r="F511" i="1"/>
  <c r="H492" i="1"/>
  <c r="H493" i="1" s="1"/>
  <c r="D156" i="2" s="1"/>
  <c r="G492" i="1"/>
  <c r="G493" i="1" s="1"/>
  <c r="J458" i="1"/>
  <c r="J460" i="1" s="1"/>
  <c r="J466" i="1" s="1"/>
  <c r="H616" i="1" s="1"/>
  <c r="G449" i="1"/>
  <c r="I449" i="1" s="1"/>
  <c r="J41" i="1" s="1"/>
  <c r="G40" i="2" s="1"/>
  <c r="G431" i="1"/>
  <c r="I431" i="1" s="1"/>
  <c r="H390" i="1"/>
  <c r="F360" i="1"/>
  <c r="J88" i="1"/>
  <c r="H127" i="1"/>
  <c r="H147" i="1"/>
  <c r="H23" i="1"/>
  <c r="G41" i="1"/>
  <c r="G189" i="1"/>
  <c r="G203" i="1" s="1"/>
  <c r="G249" i="1" s="1"/>
  <c r="G263" i="1" s="1"/>
  <c r="F42" i="1"/>
  <c r="C41" i="2" s="1"/>
  <c r="F29" i="1"/>
  <c r="F33" i="1" s="1"/>
  <c r="F9" i="1"/>
  <c r="F19" i="1" s="1"/>
  <c r="G607" i="1" s="1"/>
  <c r="H350" i="1"/>
  <c r="H354" i="1" s="1"/>
  <c r="J350" i="1"/>
  <c r="I350" i="1"/>
  <c r="G350" i="1"/>
  <c r="F350" i="1"/>
  <c r="I273" i="1"/>
  <c r="G273" i="1"/>
  <c r="F273" i="1"/>
  <c r="J268" i="1"/>
  <c r="J282" i="1" s="1"/>
  <c r="I268" i="1"/>
  <c r="L268" i="1" s="1"/>
  <c r="G279" i="1"/>
  <c r="F279" i="1"/>
  <c r="L279" i="1" s="1"/>
  <c r="E116" i="2" s="1"/>
  <c r="K273" i="1"/>
  <c r="L273" i="1" s="1"/>
  <c r="E110" i="2" s="1"/>
  <c r="H273" i="1"/>
  <c r="H274" i="1"/>
  <c r="G274" i="1"/>
  <c r="F274" i="1"/>
  <c r="I279" i="1"/>
  <c r="K277" i="1"/>
  <c r="G275" i="1"/>
  <c r="F275" i="1"/>
  <c r="K271" i="1"/>
  <c r="G271" i="1"/>
  <c r="G282" i="1" s="1"/>
  <c r="G330" i="1" s="1"/>
  <c r="G344" i="1" s="1"/>
  <c r="F271" i="1"/>
  <c r="B36" i="12" s="1"/>
  <c r="A40" i="12" s="1"/>
  <c r="H275" i="1"/>
  <c r="H282" i="1" s="1"/>
  <c r="H330" i="1" s="1"/>
  <c r="H344" i="1" s="1"/>
  <c r="I274" i="1"/>
  <c r="I327" i="1"/>
  <c r="H327" i="1"/>
  <c r="I271" i="1"/>
  <c r="G269" i="1"/>
  <c r="F269" i="1"/>
  <c r="I236" i="1"/>
  <c r="H236" i="1"/>
  <c r="G236" i="1"/>
  <c r="G239" i="1" s="1"/>
  <c r="F236" i="1"/>
  <c r="F239" i="1" s="1"/>
  <c r="H232" i="1"/>
  <c r="H239" i="1" s="1"/>
  <c r="K232" i="1"/>
  <c r="K239" i="1" s="1"/>
  <c r="G232" i="1"/>
  <c r="F232" i="1"/>
  <c r="H226" i="1"/>
  <c r="G226" i="1"/>
  <c r="F226" i="1"/>
  <c r="H225" i="1"/>
  <c r="I200" i="1"/>
  <c r="G200" i="1"/>
  <c r="F200" i="1"/>
  <c r="L200" i="1" s="1"/>
  <c r="H200" i="1"/>
  <c r="K200" i="1"/>
  <c r="G15" i="13" s="1"/>
  <c r="K199" i="1"/>
  <c r="G14" i="13" s="1"/>
  <c r="J199" i="1"/>
  <c r="I199" i="1"/>
  <c r="H199" i="1"/>
  <c r="G199" i="1"/>
  <c r="F199" i="1"/>
  <c r="F197" i="1"/>
  <c r="K197" i="1"/>
  <c r="I197" i="1"/>
  <c r="H197" i="1"/>
  <c r="G197" i="1"/>
  <c r="L197" i="1" s="1"/>
  <c r="H196" i="1"/>
  <c r="L196" i="1" s="1"/>
  <c r="K196" i="1"/>
  <c r="G8" i="13" s="1"/>
  <c r="I196" i="1"/>
  <c r="G196" i="1"/>
  <c r="F196" i="1"/>
  <c r="I195" i="1"/>
  <c r="H195" i="1"/>
  <c r="G195" i="1"/>
  <c r="F195" i="1"/>
  <c r="K195" i="1"/>
  <c r="G7" i="13" s="1"/>
  <c r="J194" i="1"/>
  <c r="J203" i="1" s="1"/>
  <c r="J249" i="1" s="1"/>
  <c r="I194" i="1"/>
  <c r="K194" i="1"/>
  <c r="K203" i="1" s="1"/>
  <c r="K249" i="1" s="1"/>
  <c r="K263" i="1" s="1"/>
  <c r="G194" i="1"/>
  <c r="L194" i="1" s="1"/>
  <c r="G192" i="1"/>
  <c r="C36" i="12" s="1"/>
  <c r="C37" i="12" s="1"/>
  <c r="C40" i="12" s="1"/>
  <c r="F192" i="1"/>
  <c r="I190" i="1"/>
  <c r="H190" i="1"/>
  <c r="G190" i="1"/>
  <c r="C18" i="12" s="1"/>
  <c r="C19" i="12" s="1"/>
  <c r="C22" i="12" s="1"/>
  <c r="F190" i="1"/>
  <c r="J189" i="1"/>
  <c r="I189" i="1"/>
  <c r="I203" i="1" s="1"/>
  <c r="I249" i="1" s="1"/>
  <c r="I263" i="1" s="1"/>
  <c r="H189" i="1"/>
  <c r="H203" i="1" s="1"/>
  <c r="F189" i="1"/>
  <c r="F203" i="1" s="1"/>
  <c r="F249" i="1" s="1"/>
  <c r="F263" i="1" s="1"/>
  <c r="C60" i="2"/>
  <c r="C62" i="2" s="1"/>
  <c r="B2" i="13"/>
  <c r="F8" i="13"/>
  <c r="L214" i="1"/>
  <c r="D39" i="13"/>
  <c r="F13" i="13"/>
  <c r="G13" i="13"/>
  <c r="L198" i="1"/>
  <c r="C114" i="2" s="1"/>
  <c r="L216" i="1"/>
  <c r="L234" i="1"/>
  <c r="E13" i="13"/>
  <c r="C13" i="13" s="1"/>
  <c r="F16" i="13"/>
  <c r="G16" i="13"/>
  <c r="L201" i="1"/>
  <c r="E16" i="13" s="1"/>
  <c r="C16" i="13" s="1"/>
  <c r="L219" i="1"/>
  <c r="L237" i="1"/>
  <c r="F5" i="13"/>
  <c r="G5" i="13"/>
  <c r="L189" i="1"/>
  <c r="C101" i="2" s="1"/>
  <c r="L190" i="1"/>
  <c r="C102" i="2" s="1"/>
  <c r="L191" i="1"/>
  <c r="C12" i="10" s="1"/>
  <c r="L192" i="1"/>
  <c r="L207" i="1"/>
  <c r="L208" i="1"/>
  <c r="L209" i="1"/>
  <c r="L210" i="1"/>
  <c r="L225" i="1"/>
  <c r="L226" i="1"/>
  <c r="L227" i="1"/>
  <c r="L228" i="1"/>
  <c r="F6" i="13"/>
  <c r="G6" i="13"/>
  <c r="L212" i="1"/>
  <c r="L230" i="1"/>
  <c r="F7" i="13"/>
  <c r="L195" i="1"/>
  <c r="C16" i="10" s="1"/>
  <c r="L213" i="1"/>
  <c r="D7" i="13" s="1"/>
  <c r="C7" i="13" s="1"/>
  <c r="L231" i="1"/>
  <c r="F12" i="13"/>
  <c r="G12" i="13"/>
  <c r="L215" i="1"/>
  <c r="L233" i="1"/>
  <c r="F14" i="13"/>
  <c r="L217" i="1"/>
  <c r="L235" i="1"/>
  <c r="F15" i="13"/>
  <c r="L218" i="1"/>
  <c r="F17" i="13"/>
  <c r="G17" i="13"/>
  <c r="L243" i="1"/>
  <c r="C24" i="10" s="1"/>
  <c r="D17" i="13"/>
  <c r="C17" i="13" s="1"/>
  <c r="F18" i="13"/>
  <c r="D18" i="13" s="1"/>
  <c r="C18" i="13" s="1"/>
  <c r="G18" i="13"/>
  <c r="L244" i="1"/>
  <c r="F19" i="13"/>
  <c r="G19" i="13"/>
  <c r="L245" i="1"/>
  <c r="D19" i="13"/>
  <c r="C19" i="13" s="1"/>
  <c r="F29" i="13"/>
  <c r="G29" i="13"/>
  <c r="L351" i="1"/>
  <c r="L352" i="1"/>
  <c r="I359" i="1"/>
  <c r="J301" i="1"/>
  <c r="J320" i="1"/>
  <c r="K301" i="1"/>
  <c r="K320" i="1"/>
  <c r="L269" i="1"/>
  <c r="L270" i="1"/>
  <c r="L274" i="1"/>
  <c r="L276" i="1"/>
  <c r="L277" i="1"/>
  <c r="E114" i="2" s="1"/>
  <c r="L278" i="1"/>
  <c r="E115" i="2" s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C25" i="10" s="1"/>
  <c r="L333" i="1"/>
  <c r="E123" i="2" s="1"/>
  <c r="L334" i="1"/>
  <c r="E124" i="2" s="1"/>
  <c r="L247" i="1"/>
  <c r="F22" i="13" s="1"/>
  <c r="C22" i="13" s="1"/>
  <c r="L328" i="1"/>
  <c r="C11" i="13"/>
  <c r="C10" i="13"/>
  <c r="C9" i="13"/>
  <c r="L353" i="1"/>
  <c r="B4" i="12"/>
  <c r="B40" i="12"/>
  <c r="B27" i="12"/>
  <c r="C27" i="12"/>
  <c r="B31" i="12"/>
  <c r="C31" i="12"/>
  <c r="A31" i="12"/>
  <c r="B9" i="12"/>
  <c r="A13" i="12" s="1"/>
  <c r="B13" i="12"/>
  <c r="B18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3" i="2"/>
  <c r="G54" i="2"/>
  <c r="G55" i="2"/>
  <c r="F2" i="11"/>
  <c r="L603" i="1"/>
  <c r="H653" i="1"/>
  <c r="L602" i="1"/>
  <c r="G653" i="1"/>
  <c r="C40" i="10"/>
  <c r="F52" i="1"/>
  <c r="C35" i="10" s="1"/>
  <c r="G52" i="1"/>
  <c r="G104" i="1" s="1"/>
  <c r="H52" i="1"/>
  <c r="E48" i="2" s="1"/>
  <c r="E55" i="2" s="1"/>
  <c r="E96" i="2" s="1"/>
  <c r="I52" i="1"/>
  <c r="I104" i="1" s="1"/>
  <c r="I185" i="1" s="1"/>
  <c r="G620" i="1" s="1"/>
  <c r="J620" i="1" s="1"/>
  <c r="F71" i="1"/>
  <c r="F86" i="1"/>
  <c r="F103" i="1"/>
  <c r="G103" i="1"/>
  <c r="H71" i="1"/>
  <c r="H86" i="1"/>
  <c r="H103" i="1"/>
  <c r="H104" i="1"/>
  <c r="I103" i="1"/>
  <c r="J103" i="1"/>
  <c r="C37" i="10"/>
  <c r="F113" i="1"/>
  <c r="F128" i="1"/>
  <c r="F132" i="1"/>
  <c r="C38" i="10" s="1"/>
  <c r="G128" i="1"/>
  <c r="G132" i="1"/>
  <c r="H128" i="1"/>
  <c r="H132" i="1"/>
  <c r="G113" i="1"/>
  <c r="H113" i="1"/>
  <c r="I113" i="1"/>
  <c r="I128" i="1"/>
  <c r="I132" i="1" s="1"/>
  <c r="J113" i="1"/>
  <c r="J128" i="1"/>
  <c r="J132" i="1"/>
  <c r="F139" i="1"/>
  <c r="C77" i="2" s="1"/>
  <c r="C83" i="2" s="1"/>
  <c r="F154" i="1"/>
  <c r="F161" i="1"/>
  <c r="G139" i="1"/>
  <c r="G161" i="1" s="1"/>
  <c r="G154" i="1"/>
  <c r="H139" i="1"/>
  <c r="H154" i="1"/>
  <c r="H161" i="1" s="1"/>
  <c r="I139" i="1"/>
  <c r="I154" i="1"/>
  <c r="I161" i="1"/>
  <c r="C11" i="10"/>
  <c r="L242" i="1"/>
  <c r="C105" i="2" s="1"/>
  <c r="L324" i="1"/>
  <c r="E105" i="2" s="1"/>
  <c r="C23" i="10"/>
  <c r="L246" i="1"/>
  <c r="L260" i="1"/>
  <c r="L261" i="1"/>
  <c r="C135" i="2" s="1"/>
  <c r="L341" i="1"/>
  <c r="L342" i="1"/>
  <c r="C26" i="10"/>
  <c r="I655" i="1"/>
  <c r="I660" i="1"/>
  <c r="L221" i="1"/>
  <c r="G650" i="1" s="1"/>
  <c r="G652" i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L343" i="1"/>
  <c r="K343" i="1"/>
  <c r="L511" i="1"/>
  <c r="F539" i="1"/>
  <c r="L512" i="1"/>
  <c r="F540" i="1"/>
  <c r="K540" i="1" s="1"/>
  <c r="L513" i="1"/>
  <c r="F541" i="1" s="1"/>
  <c r="L516" i="1"/>
  <c r="L519" i="1" s="1"/>
  <c r="G539" i="1"/>
  <c r="L517" i="1"/>
  <c r="G540" i="1" s="1"/>
  <c r="G542" i="1" s="1"/>
  <c r="L518" i="1"/>
  <c r="G541" i="1"/>
  <c r="L522" i="1"/>
  <c r="H540" i="1"/>
  <c r="L526" i="1"/>
  <c r="I539" i="1" s="1"/>
  <c r="I542" i="1" s="1"/>
  <c r="L527" i="1"/>
  <c r="I540" i="1"/>
  <c r="L528" i="1"/>
  <c r="I541" i="1" s="1"/>
  <c r="L531" i="1"/>
  <c r="J539" i="1"/>
  <c r="J542" i="1" s="1"/>
  <c r="L532" i="1"/>
  <c r="L534" i="1" s="1"/>
  <c r="J540" i="1"/>
  <c r="L533" i="1"/>
  <c r="J541" i="1"/>
  <c r="K262" i="1"/>
  <c r="J262" i="1"/>
  <c r="I262" i="1"/>
  <c r="H262" i="1"/>
  <c r="G262" i="1"/>
  <c r="F262" i="1"/>
  <c r="C124" i="2"/>
  <c r="C123" i="2"/>
  <c r="A1" i="2"/>
  <c r="A2" i="2"/>
  <c r="D9" i="2"/>
  <c r="E9" i="2"/>
  <c r="F9" i="2"/>
  <c r="F19" i="2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D19" i="2"/>
  <c r="E19" i="2"/>
  <c r="C22" i="2"/>
  <c r="D22" i="2"/>
  <c r="E22" i="2"/>
  <c r="F22" i="2"/>
  <c r="F32" i="2" s="1"/>
  <c r="I440" i="1"/>
  <c r="J23" i="1" s="1"/>
  <c r="I442" i="1"/>
  <c r="I444" i="1" s="1"/>
  <c r="I451" i="1" s="1"/>
  <c r="H632" i="1" s="1"/>
  <c r="J25" i="1"/>
  <c r="G24" i="2"/>
  <c r="G23" i="2"/>
  <c r="C23" i="2"/>
  <c r="D23" i="2"/>
  <c r="E23" i="2"/>
  <c r="F23" i="2"/>
  <c r="I441" i="1"/>
  <c r="J24" i="1"/>
  <c r="C24" i="2"/>
  <c r="D24" i="2"/>
  <c r="D32" i="2" s="1"/>
  <c r="E24" i="2"/>
  <c r="E32" i="2" s="1"/>
  <c r="F24" i="2"/>
  <c r="C25" i="2"/>
  <c r="D25" i="2"/>
  <c r="E25" i="2"/>
  <c r="F25" i="2"/>
  <c r="C26" i="2"/>
  <c r="F26" i="2"/>
  <c r="C27" i="2"/>
  <c r="F27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J43" i="1" s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/>
  <c r="C40" i="2"/>
  <c r="C42" i="2" s="1"/>
  <c r="D40" i="2"/>
  <c r="E40" i="2"/>
  <c r="F40" i="2"/>
  <c r="D41" i="2"/>
  <c r="E41" i="2"/>
  <c r="F41" i="2"/>
  <c r="E53" i="2"/>
  <c r="E49" i="2"/>
  <c r="E54" i="2" s="1"/>
  <c r="E50" i="2"/>
  <c r="E51" i="2"/>
  <c r="C49" i="2"/>
  <c r="C50" i="2"/>
  <c r="C51" i="2"/>
  <c r="C53" i="2"/>
  <c r="C54" i="2"/>
  <c r="D51" i="2"/>
  <c r="D54" i="2" s="1"/>
  <c r="F51" i="2"/>
  <c r="F54" i="2" s="1"/>
  <c r="D52" i="2"/>
  <c r="D53" i="2"/>
  <c r="F53" i="2"/>
  <c r="D69" i="2"/>
  <c r="D70" i="2" s="1"/>
  <c r="D73" i="2" s="1"/>
  <c r="D71" i="2"/>
  <c r="D61" i="2"/>
  <c r="D62" i="2"/>
  <c r="D80" i="2"/>
  <c r="D77" i="2"/>
  <c r="D83" i="2" s="1"/>
  <c r="D81" i="2"/>
  <c r="D88" i="2"/>
  <c r="D89" i="2"/>
  <c r="D90" i="2"/>
  <c r="D91" i="2"/>
  <c r="D92" i="2"/>
  <c r="D93" i="2"/>
  <c r="D94" i="2"/>
  <c r="D95" i="2"/>
  <c r="F64" i="2"/>
  <c r="F65" i="2"/>
  <c r="F68" i="2"/>
  <c r="F69" i="2"/>
  <c r="F70" i="2" s="1"/>
  <c r="F73" i="2" s="1"/>
  <c r="F61" i="2"/>
  <c r="F62" i="2"/>
  <c r="F77" i="2"/>
  <c r="F83" i="2" s="1"/>
  <c r="F79" i="2"/>
  <c r="F80" i="2"/>
  <c r="F81" i="2"/>
  <c r="F85" i="2"/>
  <c r="F86" i="2"/>
  <c r="F88" i="2"/>
  <c r="F89" i="2"/>
  <c r="F91" i="2"/>
  <c r="F92" i="2"/>
  <c r="F93" i="2"/>
  <c r="F94" i="2"/>
  <c r="F95" i="2"/>
  <c r="C58" i="2"/>
  <c r="C59" i="2"/>
  <c r="C61" i="2"/>
  <c r="E61" i="2"/>
  <c r="G61" i="2"/>
  <c r="C64" i="2"/>
  <c r="C70" i="2" s="1"/>
  <c r="C67" i="2"/>
  <c r="C69" i="2"/>
  <c r="C65" i="2"/>
  <c r="C66" i="2"/>
  <c r="C68" i="2"/>
  <c r="C71" i="2"/>
  <c r="C72" i="2"/>
  <c r="E62" i="2"/>
  <c r="E69" i="2"/>
  <c r="E68" i="2"/>
  <c r="E70" i="2"/>
  <c r="E71" i="2"/>
  <c r="E72" i="2"/>
  <c r="E73" i="2"/>
  <c r="G62" i="2"/>
  <c r="G69" i="2"/>
  <c r="G70" i="2" s="1"/>
  <c r="G73" i="2" s="1"/>
  <c r="G88" i="2"/>
  <c r="G89" i="2"/>
  <c r="G95" i="2" s="1"/>
  <c r="G90" i="2"/>
  <c r="E77" i="2"/>
  <c r="E83" i="2" s="1"/>
  <c r="C79" i="2"/>
  <c r="E79" i="2"/>
  <c r="C80" i="2"/>
  <c r="E80" i="2"/>
  <c r="C81" i="2"/>
  <c r="E81" i="2"/>
  <c r="C82" i="2"/>
  <c r="C85" i="2"/>
  <c r="C86" i="2"/>
  <c r="E88" i="2"/>
  <c r="C89" i="2"/>
  <c r="C95" i="2" s="1"/>
  <c r="E89" i="2"/>
  <c r="C90" i="2"/>
  <c r="E90" i="2"/>
  <c r="C91" i="2"/>
  <c r="E91" i="2"/>
  <c r="C92" i="2"/>
  <c r="E92" i="2"/>
  <c r="C93" i="2"/>
  <c r="E93" i="2"/>
  <c r="C94" i="2"/>
  <c r="E94" i="2"/>
  <c r="E95" i="2"/>
  <c r="E102" i="2"/>
  <c r="E103" i="2"/>
  <c r="C106" i="2"/>
  <c r="E106" i="2"/>
  <c r="D107" i="2"/>
  <c r="F107" i="2"/>
  <c r="G107" i="2"/>
  <c r="E111" i="2"/>
  <c r="E113" i="2"/>
  <c r="C117" i="2"/>
  <c r="E117" i="2"/>
  <c r="D126" i="2"/>
  <c r="D136" i="2"/>
  <c r="F120" i="2"/>
  <c r="G120" i="2"/>
  <c r="C122" i="2"/>
  <c r="E122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/>
  <c r="E129" i="2"/>
  <c r="C134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G153" i="2" s="1"/>
  <c r="H490" i="1"/>
  <c r="D153" i="2"/>
  <c r="I490" i="1"/>
  <c r="K490" i="1" s="1"/>
  <c r="E153" i="2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I493" i="1"/>
  <c r="E156" i="2"/>
  <c r="J493" i="1"/>
  <c r="F156" i="2"/>
  <c r="G19" i="1"/>
  <c r="H19" i="1"/>
  <c r="I19" i="1"/>
  <c r="G33" i="1"/>
  <c r="H33" i="1"/>
  <c r="H44" i="1" s="1"/>
  <c r="H609" i="1" s="1"/>
  <c r="J609" i="1" s="1"/>
  <c r="I33" i="1"/>
  <c r="I44" i="1" s="1"/>
  <c r="H610" i="1" s="1"/>
  <c r="J610" i="1" s="1"/>
  <c r="F43" i="1"/>
  <c r="G612" i="1" s="1"/>
  <c r="G43" i="1"/>
  <c r="G613" i="1" s="1"/>
  <c r="J613" i="1" s="1"/>
  <c r="H43" i="1"/>
  <c r="I43" i="1"/>
  <c r="F169" i="1"/>
  <c r="F184" i="1" s="1"/>
  <c r="I169" i="1"/>
  <c r="F175" i="1"/>
  <c r="G175" i="1"/>
  <c r="G184" i="1" s="1"/>
  <c r="H175" i="1"/>
  <c r="H184" i="1" s="1"/>
  <c r="I175" i="1"/>
  <c r="J175" i="1"/>
  <c r="F180" i="1"/>
  <c r="G180" i="1"/>
  <c r="H180" i="1"/>
  <c r="I180" i="1"/>
  <c r="I184" i="1"/>
  <c r="J184" i="1"/>
  <c r="H617" i="1"/>
  <c r="H619" i="1"/>
  <c r="H621" i="1"/>
  <c r="F221" i="1"/>
  <c r="G221" i="1"/>
  <c r="H221" i="1"/>
  <c r="I221" i="1"/>
  <c r="J221" i="1"/>
  <c r="K221" i="1"/>
  <c r="I239" i="1"/>
  <c r="J239" i="1"/>
  <c r="F248" i="1"/>
  <c r="L248" i="1" s="1"/>
  <c r="G248" i="1"/>
  <c r="H248" i="1"/>
  <c r="I248" i="1"/>
  <c r="J248" i="1"/>
  <c r="K248" i="1"/>
  <c r="L26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L329" i="1" s="1"/>
  <c r="K329" i="1"/>
  <c r="F354" i="1"/>
  <c r="G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H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I426" i="1" s="1"/>
  <c r="J425" i="1"/>
  <c r="J426" i="1" s="1"/>
  <c r="F438" i="1"/>
  <c r="G629" i="1" s="1"/>
  <c r="H438" i="1"/>
  <c r="G631" i="1" s="1"/>
  <c r="F444" i="1"/>
  <c r="F451" i="1" s="1"/>
  <c r="H629" i="1" s="1"/>
  <c r="G444" i="1"/>
  <c r="H444" i="1"/>
  <c r="F450" i="1"/>
  <c r="H450" i="1"/>
  <c r="H451" i="1"/>
  <c r="H631" i="1" s="1"/>
  <c r="F460" i="1"/>
  <c r="F466" i="1" s="1"/>
  <c r="H612" i="1" s="1"/>
  <c r="G460" i="1"/>
  <c r="H460" i="1"/>
  <c r="I460" i="1"/>
  <c r="F464" i="1"/>
  <c r="H464" i="1"/>
  <c r="I464" i="1"/>
  <c r="I466" i="1" s="1"/>
  <c r="H615" i="1" s="1"/>
  <c r="J615" i="1" s="1"/>
  <c r="J464" i="1"/>
  <c r="H466" i="1"/>
  <c r="H614" i="1" s="1"/>
  <c r="J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I550" i="1"/>
  <c r="J550" i="1"/>
  <c r="K550" i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I561" i="1" s="1"/>
  <c r="J560" i="1"/>
  <c r="K560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H641" i="1" s="1"/>
  <c r="K592" i="1"/>
  <c r="K595" i="1" s="1"/>
  <c r="G638" i="1" s="1"/>
  <c r="K593" i="1"/>
  <c r="K594" i="1"/>
  <c r="H595" i="1"/>
  <c r="I595" i="1"/>
  <c r="J595" i="1"/>
  <c r="H604" i="1"/>
  <c r="I604" i="1"/>
  <c r="J604" i="1"/>
  <c r="K604" i="1"/>
  <c r="G608" i="1"/>
  <c r="G609" i="1"/>
  <c r="G610" i="1"/>
  <c r="G614" i="1"/>
  <c r="G615" i="1"/>
  <c r="H618" i="1"/>
  <c r="H620" i="1"/>
  <c r="H622" i="1"/>
  <c r="H623" i="1"/>
  <c r="G624" i="1"/>
  <c r="J624" i="1" s="1"/>
  <c r="H625" i="1"/>
  <c r="H626" i="1"/>
  <c r="H628" i="1"/>
  <c r="G633" i="1"/>
  <c r="G634" i="1"/>
  <c r="G635" i="1"/>
  <c r="H639" i="1"/>
  <c r="G640" i="1"/>
  <c r="H640" i="1"/>
  <c r="J640" i="1"/>
  <c r="G642" i="1"/>
  <c r="H642" i="1"/>
  <c r="J642" i="1" s="1"/>
  <c r="G643" i="1"/>
  <c r="H643" i="1"/>
  <c r="J643" i="1"/>
  <c r="G644" i="1"/>
  <c r="H644" i="1"/>
  <c r="J644" i="1"/>
  <c r="G645" i="1"/>
  <c r="J645" i="1" s="1"/>
  <c r="H645" i="1"/>
  <c r="H185" i="1" l="1"/>
  <c r="G619" i="1" s="1"/>
  <c r="J619" i="1" s="1"/>
  <c r="E136" i="2"/>
  <c r="J633" i="1"/>
  <c r="J631" i="1"/>
  <c r="J33" i="1"/>
  <c r="G22" i="2"/>
  <c r="G32" i="2" s="1"/>
  <c r="C13" i="10"/>
  <c r="J629" i="1"/>
  <c r="C39" i="10"/>
  <c r="L239" i="1"/>
  <c r="H650" i="1" s="1"/>
  <c r="G42" i="2"/>
  <c r="L561" i="1"/>
  <c r="J612" i="1"/>
  <c r="K539" i="1"/>
  <c r="G96" i="2"/>
  <c r="C130" i="2"/>
  <c r="C133" i="2" s="1"/>
  <c r="L400" i="1"/>
  <c r="C32" i="2"/>
  <c r="C43" i="2" s="1"/>
  <c r="C136" i="2"/>
  <c r="D6" i="13"/>
  <c r="C6" i="13" s="1"/>
  <c r="C15" i="10"/>
  <c r="C110" i="2"/>
  <c r="I438" i="1"/>
  <c r="G632" i="1" s="1"/>
  <c r="J632" i="1" s="1"/>
  <c r="J9" i="1"/>
  <c r="L524" i="1"/>
  <c r="L535" i="1" s="1"/>
  <c r="H539" i="1"/>
  <c r="H542" i="1" s="1"/>
  <c r="A22" i="12"/>
  <c r="K541" i="1"/>
  <c r="F542" i="1"/>
  <c r="C73" i="2"/>
  <c r="D12" i="13"/>
  <c r="C12" i="13" s="1"/>
  <c r="C18" i="10"/>
  <c r="C113" i="2"/>
  <c r="L604" i="1"/>
  <c r="F653" i="1"/>
  <c r="I653" i="1" s="1"/>
  <c r="E43" i="2"/>
  <c r="G185" i="1"/>
  <c r="G618" i="1" s="1"/>
  <c r="J618" i="1" s="1"/>
  <c r="H249" i="1"/>
  <c r="H263" i="1" s="1"/>
  <c r="J263" i="1"/>
  <c r="C116" i="2"/>
  <c r="G639" i="1"/>
  <c r="J639" i="1" s="1"/>
  <c r="F652" i="1"/>
  <c r="E101" i="2"/>
  <c r="C10" i="10"/>
  <c r="C156" i="2"/>
  <c r="G156" i="2" s="1"/>
  <c r="K493" i="1"/>
  <c r="L426" i="1"/>
  <c r="G628" i="1" s="1"/>
  <c r="J628" i="1" s="1"/>
  <c r="G616" i="1"/>
  <c r="J616" i="1" s="1"/>
  <c r="J44" i="1"/>
  <c r="H611" i="1" s="1"/>
  <c r="G636" i="1"/>
  <c r="G621" i="1"/>
  <c r="J621" i="1" s="1"/>
  <c r="F31" i="13"/>
  <c r="F33" i="13" s="1"/>
  <c r="J330" i="1"/>
  <c r="J344" i="1" s="1"/>
  <c r="L374" i="1"/>
  <c r="G626" i="1" s="1"/>
  <c r="J626" i="1" s="1"/>
  <c r="C32" i="10"/>
  <c r="H25" i="13"/>
  <c r="K282" i="1"/>
  <c r="L199" i="1"/>
  <c r="D5" i="13"/>
  <c r="G438" i="1"/>
  <c r="G630" i="1" s="1"/>
  <c r="J630" i="1" s="1"/>
  <c r="C28" i="2"/>
  <c r="L275" i="1"/>
  <c r="E112" i="2" s="1"/>
  <c r="E120" i="2" s="1"/>
  <c r="H627" i="1"/>
  <c r="H524" i="1"/>
  <c r="H535" i="1" s="1"/>
  <c r="D48" i="2"/>
  <c r="D55" i="2" s="1"/>
  <c r="D96" i="2" s="1"/>
  <c r="L203" i="1"/>
  <c r="L529" i="1"/>
  <c r="F122" i="2"/>
  <c r="F136" i="2" s="1"/>
  <c r="F137" i="2" s="1"/>
  <c r="C111" i="2"/>
  <c r="C104" i="2"/>
  <c r="C48" i="2"/>
  <c r="C55" i="2" s="1"/>
  <c r="C19" i="10"/>
  <c r="L236" i="1"/>
  <c r="L350" i="1"/>
  <c r="F604" i="1"/>
  <c r="L271" i="1"/>
  <c r="E104" i="2" s="1"/>
  <c r="F282" i="1"/>
  <c r="F330" i="1" s="1"/>
  <c r="F344" i="1" s="1"/>
  <c r="G450" i="1"/>
  <c r="G451" i="1" s="1"/>
  <c r="H630" i="1" s="1"/>
  <c r="G44" i="1"/>
  <c r="H608" i="1" s="1"/>
  <c r="J608" i="1" s="1"/>
  <c r="C103" i="2"/>
  <c r="C107" i="2" s="1"/>
  <c r="F104" i="1"/>
  <c r="F185" i="1" s="1"/>
  <c r="G617" i="1" s="1"/>
  <c r="J617" i="1" s="1"/>
  <c r="L232" i="1"/>
  <c r="C17" i="10" s="1"/>
  <c r="F44" i="1"/>
  <c r="H607" i="1" s="1"/>
  <c r="J607" i="1" s="1"/>
  <c r="F48" i="2"/>
  <c r="F55" i="2" s="1"/>
  <c r="F96" i="2" s="1"/>
  <c r="C9" i="2"/>
  <c r="C19" i="2" s="1"/>
  <c r="H638" i="1" l="1"/>
  <c r="J638" i="1" s="1"/>
  <c r="K542" i="1"/>
  <c r="D29" i="13"/>
  <c r="C29" i="13" s="1"/>
  <c r="F651" i="1"/>
  <c r="G651" i="1"/>
  <c r="G654" i="1" s="1"/>
  <c r="L354" i="1"/>
  <c r="H651" i="1"/>
  <c r="H654" i="1" s="1"/>
  <c r="D119" i="2"/>
  <c r="D120" i="2" s="1"/>
  <c r="D137" i="2" s="1"/>
  <c r="E107" i="2"/>
  <c r="E137" i="2" s="1"/>
  <c r="C112" i="2"/>
  <c r="G641" i="1"/>
  <c r="J641" i="1" s="1"/>
  <c r="H652" i="1"/>
  <c r="L282" i="1"/>
  <c r="E8" i="13"/>
  <c r="D15" i="13"/>
  <c r="C15" i="13" s="1"/>
  <c r="C96" i="2"/>
  <c r="C5" i="13"/>
  <c r="C36" i="10"/>
  <c r="I652" i="1"/>
  <c r="J19" i="1"/>
  <c r="G611" i="1" s="1"/>
  <c r="G9" i="2"/>
  <c r="G19" i="2" s="1"/>
  <c r="C115" i="2"/>
  <c r="C120" i="2" s="1"/>
  <c r="C137" i="2" s="1"/>
  <c r="D14" i="13"/>
  <c r="C14" i="13" s="1"/>
  <c r="C20" i="10"/>
  <c r="C21" i="10"/>
  <c r="K330" i="1"/>
  <c r="K344" i="1" s="1"/>
  <c r="G31" i="13"/>
  <c r="G33" i="13" s="1"/>
  <c r="G43" i="2"/>
  <c r="H33" i="13"/>
  <c r="C25" i="13"/>
  <c r="H637" i="1"/>
  <c r="J637" i="1" s="1"/>
  <c r="G627" i="1"/>
  <c r="J627" i="1" s="1"/>
  <c r="H636" i="1"/>
  <c r="J636" i="1" s="1"/>
  <c r="F650" i="1"/>
  <c r="L249" i="1"/>
  <c r="L263" i="1" s="1"/>
  <c r="G622" i="1" s="1"/>
  <c r="J622" i="1" s="1"/>
  <c r="H662" i="1" l="1"/>
  <c r="H657" i="1"/>
  <c r="I651" i="1"/>
  <c r="C8" i="13"/>
  <c r="E33" i="13"/>
  <c r="D35" i="13" s="1"/>
  <c r="J611" i="1"/>
  <c r="H646" i="1"/>
  <c r="D31" i="13"/>
  <c r="C31" i="13" s="1"/>
  <c r="L330" i="1"/>
  <c r="L344" i="1" s="1"/>
  <c r="G623" i="1" s="1"/>
  <c r="J623" i="1" s="1"/>
  <c r="I650" i="1"/>
  <c r="F654" i="1"/>
  <c r="C27" i="10"/>
  <c r="G625" i="1"/>
  <c r="J625" i="1" s="1"/>
  <c r="G657" i="1"/>
  <c r="G662" i="1"/>
  <c r="D36" i="10"/>
  <c r="C41" i="10"/>
  <c r="I654" i="1" l="1"/>
  <c r="D33" i="13"/>
  <c r="D36" i="13" s="1"/>
  <c r="D37" i="10"/>
  <c r="D40" i="10"/>
  <c r="D35" i="10"/>
  <c r="D38" i="10"/>
  <c r="D39" i="10"/>
  <c r="F662" i="1"/>
  <c r="C4" i="10" s="1"/>
  <c r="F657" i="1"/>
  <c r="C28" i="10"/>
  <c r="D22" i="10" l="1"/>
  <c r="C30" i="10"/>
  <c r="D16" i="10"/>
  <c r="D12" i="10"/>
  <c r="D26" i="10"/>
  <c r="D23" i="10"/>
  <c r="D24" i="10"/>
  <c r="D25" i="10"/>
  <c r="D11" i="10"/>
  <c r="D17" i="10"/>
  <c r="D18" i="10"/>
  <c r="D15" i="10"/>
  <c r="D10" i="10"/>
  <c r="D19" i="10"/>
  <c r="D13" i="10"/>
  <c r="D21" i="10"/>
  <c r="D20" i="10"/>
  <c r="D27" i="10"/>
  <c r="D41" i="10"/>
  <c r="I662" i="1"/>
  <c r="C7" i="10" s="1"/>
  <c r="I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47FF1BE-35D4-4302-902B-09ECF3B5987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7F33606-C3CD-4159-A13D-8F0AE69CFC2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408DC89-76EF-4907-B311-34ACC422F0D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7B374B6-1252-487F-BC57-AC1A1A57D2C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350120F-57BC-4BD0-A32D-45C9D770BDD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0A3C89B-7C8C-4617-907D-B39BCC5F8A6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B3F55CE-4734-4134-97BB-6972D8FA6DD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440DE3B-0021-4E45-9610-B4FC586005B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354BE79-D437-4F2A-9B06-C034BEEF898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D5D0173-B4CE-4BD0-B334-5A1973B6105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2692C2E-32C8-4CD2-AE21-C692238E96C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FCFE306-61F5-4C76-B664-51C269A89B2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<sst xmlns="http://schemas.openxmlformats.org/spreadsheetml/2006/main" count="3863" uniqueCount="898">
  <si>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</si>
  <si>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</si>
  <si>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</si>
  <si>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</si>
  <si>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</si>
  <si>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</si>
  <si>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</si>
  <si>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</si>
  <si>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</si>
  <si>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</si>
  <si>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</si>
  <si>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</si>
  <si>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</si>
  <si>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</si>
  <si>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</si>
  <si>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</si>
  <si>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</si>
  <si>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</si>
  <si>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</si>
  <si>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</si>
  <si>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</si>
  <si>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</si>
  <si>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</si>
  <si>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</si>
  <si>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</si>
  <si>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</si>
  <si>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</si>
  <si>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</si>
  <si>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</si>
  <si>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</si>
  <si>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</si>
  <si>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</si>
  <si>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</si>
  <si>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</si>
  <si>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</si>
  <si>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</si>
  <si>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</si>
  <si>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</si>
  <si>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</si>
  <si>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</si>
  <si>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</si>
  <si>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</si>
  <si>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</si>
  <si>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</si>
  <si>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</si>
  <si>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</si>
  <si>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</si>
  <si>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</si>
  <si>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</si>
  <si>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</si>
  <si>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</si>
  <si>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</si>
  <si>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</si>
  <si>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</si>
  <si>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</si>
  <si>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</si>
  <si>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</si>
  <si>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</si>
  <si>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</si>
  <si>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</si>
  <si>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</si>
  <si>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</si>
  <si>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</si>
  <si>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</si>
  <si>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</si>
  <si>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</si>
  <si>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</si>
  <si>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</si>
  <si>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</si>
  <si>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</si>
  <si>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</si>
  <si>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</si>
  <si>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</si>
  <si>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</si>
  <si>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</si>
  <si>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</si>
  <si>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</si>
  <si>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</si>
  <si>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</si>
  <si>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</si>
  <si>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</si>
  <si>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</si>
  <si>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</si>
  <si>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</si>
  <si>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</si>
  <si>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</si>
  <si>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</si>
  <si>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</si>
  <si>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</si>
  <si>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</si>
  <si>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</si>
  <si>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</si>
  <si>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</si>
  <si>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</si>
  <si>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</si>
  <si>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</si>
  <si>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</si>
  <si>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</si>
  <si>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</si>
  <si>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</si>
  <si>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</si>
  <si>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</si>
  <si>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</si>
  <si>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</si>
  <si>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</si>
  <si>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</si>
  <si>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</si>
  <si>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</si>
  <si>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</si>
  <si>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</si>
  <si>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</si>
  <si>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</si>
  <si>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</si>
  <si>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</si>
  <si>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</si>
  <si>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</si>
  <si>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</si>
  <si>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</si>
  <si>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</si>
  <si>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</si>
  <si>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</si>
  <si>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</si>
  <si>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</si>
  <si>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</si>
  <si>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</si>
  <si>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</si>
  <si>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</si>
  <si>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</si>
  <si>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</si>
  <si>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</si>
  <si>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</si>
  <si>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</si>
  <si>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</si>
  <si>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</si>
  <si>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</si>
  <si>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</si>
  <si>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</si>
  <si>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</si>
  <si>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</si>
  <si>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</si>
  <si>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</si>
  <si>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</si>
  <si>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</si>
  <si>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</si>
  <si>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</si>
  <si>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</si>
  <si>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</si>
  <si>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</si>
  <si>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</si>
  <si>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</si>
  <si>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</si>
  <si>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</si>
  <si>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</si>
  <si>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</si>
  <si>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</si>
  <si>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</si>
  <si>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</si>
  <si>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</si>
  <si>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</si>
  <si>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</si>
  <si>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</si>
  <si>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</si>
  <si>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</si>
  <si>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</si>
  <si>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</si>
  <si>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</si>
  <si>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</si>
  <si>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</si>
  <si>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</si>
  <si>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</si>
  <si>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</si>
  <si>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</si>
  <si>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</si>
  <si>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</si>
  <si>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</si>
  <si>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</si>
  <si>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</si>
  <si>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</si>
  <si>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</si>
  <si>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</si>
  <si>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</si>
  <si>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</si>
  <si>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</si>
  <si>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</si>
  <si>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</si>
  <si>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</si>
  <si>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</si>
  <si>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</si>
  <si>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</si>
  <si>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</si>
  <si>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</si>
  <si>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</si>
  <si>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</si>
  <si>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</si>
  <si>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</si>
  <si>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</si>
  <si>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</si>
  <si>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</si>
  <si>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</si>
  <si>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</si>
  <si>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</si>
  <si>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</si>
  <si>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</si>
  <si>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</si>
  <si>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</si>
  <si>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</si>
  <si>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</si>
  <si>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</si>
  <si>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</si>
  <si>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</si>
  <si>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</si>
  <si>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</si>
  <si>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</si>
  <si>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</si>
  <si>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</si>
  <si>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</si>
  <si>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</si>
  <si>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</si>
  <si>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</si>
  <si>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</si>
  <si>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</si>
  <si>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</si>
  <si>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</si>
  <si>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</si>
  <si>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</si>
  <si>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</si>
  <si>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</si>
  <si>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</si>
  <si>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</si>
  <si>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</si>
  <si>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</si>
  <si>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</si>
  <si>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</si>
  <si>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</si>
  <si>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</si>
  <si>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</si>
  <si>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</si>
  <si>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</si>
  <si>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</si>
  <si>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</si>
  <si>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</si>
  <si>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</si>
  <si>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</si>
  <si>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</si>
  <si>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</si>
  <si>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</si>
  <si>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</si>
  <si>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</si>
  <si>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</si>
  <si>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</si>
  <si>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</si>
  <si>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</si>
  <si>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</si>
  <si>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</si>
  <si>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</si>
  <si>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</si>
  <si>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</si>
  <si>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</si>
  <si>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</si>
  <si>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</si>
  <si>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</si>
  <si>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</si>
  <si>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</si>
  <si>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</si>
  <si>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</si>
  <si>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</si>
  <si>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</si>
  <si>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</si>
  <si>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</si>
  <si>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</si>
  <si>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</si>
  <si>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</si>
  <si>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</si>
  <si>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</si>
  <si>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</si>
  <si>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</si>
  <si>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</si>
  <si>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</si>
  <si>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</si>
  <si>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</si>
  <si>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</si>
  <si>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</si>
  <si>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</si>
  <si>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</si>
  <si>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</si>
  <si>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</si>
  <si>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</si>
  <si>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</si>
  <si>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</si>
  <si>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</si>
  <si>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</si>
  <si>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</si>
  <si>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</si>
  <si>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</si>
  <si>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</si>
  <si>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</si>
  <si>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</si>
  <si>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</si>
  <si>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</si>
  <si>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</si>
  <si>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</si>
  <si>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</si>
  <si>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</si>
  <si>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</si>
  <si>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</si>
  <si>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</si>
  <si>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</si>
  <si>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</si>
  <si>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</si>
  <si>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</si>
  <si>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</si>
  <si>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</si>
  <si>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</si>
  <si>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</si>
  <si>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</si>
  <si>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</si>
  <si>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</si>
  <si>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</si>
  <si>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</si>
  <si>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</si>
  <si>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</si>
  <si>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</si>
  <si>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</si>
  <si>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</si>
  <si>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</si>
  <si>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</si>
  <si>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</si>
  <si>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</si>
  <si>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</si>
  <si>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</si>
  <si>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</si>
  <si>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</si>
  <si>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</si>
  <si>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</si>
  <si>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</si>
  <si>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</si>
  <si>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</si>
  <si>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</si>
  <si>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</si>
  <si>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</si>
  <si>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</si>
  <si>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</si>
  <si>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</si>
  <si>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</si>
  <si>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</si>
  <si>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</si>
  <si>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</si>
  <si>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</si>
  <si>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</si>
  <si>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</si>
  <si>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</si>
  <si>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</si>
  <si>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</si>
  <si>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</si>
  <si>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</si>
  <si>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</si>
  <si>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</si>
  <si>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</si>
  <si>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</si>
  <si>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</si>
  <si>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</si>
  <si>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</si>
  <si>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</si>
  <si>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</si>
  <si>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</si>
  <si>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</si>
  <si>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</si>
  <si>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</si>
  <si>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</si>
  <si>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</si>
  <si>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</si>
  <si>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</si>
  <si>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</si>
  <si>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</si>
  <si>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</si>
  <si>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</si>
  <si>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</si>
  <si>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</si>
  <si>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</si>
  <si>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</si>
  <si>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</si>
  <si>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</si>
  <si>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</si>
  <si>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</si>
  <si>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</si>
  <si>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</si>
  <si>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</si>
  <si>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</si>
  <si>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</si>
  <si>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</si>
  <si>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</si>
  <si>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</si>
  <si>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</si>
  <si>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</si>
  <si>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</si>
  <si>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</si>
  <si>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</si>
  <si>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</si>
  <si>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</si>
  <si>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</si>
  <si>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</si>
  <si>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</si>
  <si>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</si>
  <si>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</si>
  <si>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</si>
  <si>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</si>
  <si>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</si>
  <si>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</si>
  <si>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</si>
  <si>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</si>
  <si>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</si>
  <si>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</si>
  <si>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</si>
  <si>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</si>
  <si>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</si>
  <si>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</si>
  <si>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</si>
  <si>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</si>
  <si>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</si>
  <si>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</si>
  <si>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</si>
  <si>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</si>
  <si>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</si>
  <si>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</si>
  <si>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</si>
  <si>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</si>
  <si>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</si>
  <si>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</si>
  <si>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</si>
  <si>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</si>
  <si>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</si>
  <si>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</si>
  <si>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</si>
  <si>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</si>
  <si>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</si>
  <si>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</si>
  <si>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</si>
  <si>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</si>
  <si>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</si>
  <si>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</si>
  <si>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</si>
  <si>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</si>
  <si>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</si>
  <si>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</si>
  <si>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</si>
  <si>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</si>
  <si>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</si>
  <si>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</si>
  <si>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</si>
  <si>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</si>
  <si>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</si>
  <si>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</si>
  <si>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</si>
  <si>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</si>
  <si>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</si>
  <si>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</si>
  <si>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</si>
  <si>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</si>
  <si>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</si>
  <si>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</si>
  <si>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</si>
  <si>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</si>
  <si>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</si>
  <si>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</si>
  <si>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</si>
  <si>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</si>
  <si>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</si>
  <si>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</si>
  <si>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</si>
  <si>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</si>
  <si>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</si>
  <si>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</si>
  <si>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</si>
  <si>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</si>
  <si>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</si>
  <si>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</si>
  <si>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</si>
  <si>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</si>
  <si>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</si>
  <si>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</si>
  <si>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</si>
  <si>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</si>
  <si>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</si>
  <si>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</si>
  <si>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</si>
  <si>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</si>
  <si>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</si>
  <si>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</si>
  <si>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</si>
  <si>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</si>
  <si>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</si>
  <si>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</si>
  <si>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</si>
  <si>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</si>
  <si>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</si>
  <si>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</si>
  <si>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</si>
  <si>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</si>
  <si>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</si>
  <si>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</si>
  <si>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</si>
  <si>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</si>
  <si>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</si>
  <si>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</si>
  <si>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</si>
  <si>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</si>
  <si>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</si>
  <si>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</si>
  <si>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</si>
  <si>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</si>
  <si>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</si>
  <si>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</si>
  <si>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</si>
  <si>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</si>
  <si>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</si>
  <si>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</si>
  <si>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</si>
  <si>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</si>
  <si>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</si>
  <si>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</si>
  <si>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</si>
  <si>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</si>
  <si>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</si>
  <si>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</si>
  <si>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</si>
  <si>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</si>
  <si>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</si>
  <si>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</si>
  <si>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</si>
  <si>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</si>
  <si>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</si>
  <si>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</si>
  <si>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</si>
  <si>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</si>
  <si>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</si>
  <si>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</si>
  <si>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</si>
  <si>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</si>
  <si>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</si>
  <si>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</si>
  <si>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</si>
  <si>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</si>
  <si>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</si>
  <si>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</si>
  <si>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</si>
  <si>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</si>
  <si>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</si>
  <si>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</si>
  <si>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</si>
  <si>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</si>
  <si>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</si>
  <si>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</si>
  <si>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</si>
  <si>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</si>
  <si>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</si>
  <si>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</si>
  <si>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</si>
  <si>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</si>
  <si>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</si>
  <si>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</si>
  <si>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</si>
  <si>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</si>
  <si>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</si>
  <si>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</si>
  <si>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</si>
  <si>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</si>
  <si>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</si>
  <si>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</si>
  <si>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</si>
  <si>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</si>
  <si>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</si>
  <si>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</si>
  <si>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</si>
  <si>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</si>
  <si>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</si>
  <si>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</si>
  <si>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</si>
  <si>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</si>
  <si>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</si>
  <si>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</si>
  <si>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</si>
  <si>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</si>
  <si>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</si>
  <si>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</si>
  <si>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</si>
  <si>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</si>
  <si>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</si>
  <si>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</si>
  <si>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</si>
  <si>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</si>
  <si>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</si>
  <si>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</si>
  <si>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</si>
  <si>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</si>
  <si>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</si>
  <si>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</si>
  <si>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</si>
  <si>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</si>
  <si>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</si>
  <si>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</si>
  <si>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</si>
  <si>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</si>
  <si>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</si>
  <si>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</si>
  <si>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</si>
  <si>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</si>
  <si>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</si>
  <si>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</si>
  <si>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</si>
  <si>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</si>
  <si>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</si>
  <si>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</si>
  <si>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</si>
  <si>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</si>
  <si>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</si>
  <si>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</si>
  <si>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</si>
  <si>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</si>
  <si>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</si>
  <si>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</si>
  <si>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</si>
  <si>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</si>
  <si>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</si>
  <si>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</si>
  <si>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</si>
  <si>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</si>
  <si>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</si>
  <si>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</si>
  <si>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</si>
  <si>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</si>
  <si>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</si>
  <si>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</si>
  <si>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</si>
  <si>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</si>
  <si>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</si>
  <si>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</si>
  <si>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</si>
  <si>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</si>
  <si>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</si>
  <si>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</si>
  <si>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</si>
  <si>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</si>
  <si>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</si>
  <si>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</si>
  <si>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</si>
  <si>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</si>
  <si>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</si>
  <si>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</si>
  <si>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</si>
  <si>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</si>
  <si>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</si>
  <si>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</si>
  <si>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</si>
  <si>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</si>
  <si>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</si>
  <si>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</si>
  <si>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</si>
  <si>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</si>
  <si>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</si>
  <si>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</si>
  <si>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</si>
  <si>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</si>
  <si>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</si>
  <si>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</si>
  <si>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</si>
  <si>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</si>
  <si>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</si>
  <si>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</si>
  <si>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</si>
  <si>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</si>
  <si>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</si>
  <si>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</si>
  <si>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</si>
  <si>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</si>
  <si>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</si>
  <si>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</si>
  <si>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</si>
  <si>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</si>
  <si>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</si>
  <si>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</si>
  <si>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</si>
  <si>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</si>
  <si>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</si>
  <si>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</si>
  <si>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</si>
  <si>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</si>
  <si>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</si>
  <si>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</si>
  <si>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</si>
  <si>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</si>
  <si>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</si>
  <si>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</si>
  <si>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</si>
  <si>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</si>
  <si>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</si>
  <si>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</si>
  <si>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</si>
  <si>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</si>
  <si>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</si>
  <si>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</si>
  <si>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</si>
  <si>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</si>
  <si>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</si>
  <si>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</si>
  <si>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</si>
  <si>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</si>
  <si>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</si>
  <si>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</si>
  <si>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</si>
  <si>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</si>
  <si>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</si>
  <si>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</si>
  <si>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</si>
  <si>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</si>
  <si>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</si>
  <si>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</si>
  <si>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</si>
  <si>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</si>
  <si>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</si>
  <si>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</si>
  <si>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</si>
  <si>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</si>
  <si>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</si>
  <si>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</si>
  <si>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</si>
  <si>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</si>
  <si>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</si>
  <si>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</si>
  <si>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</si>
  <si>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</si>
  <si>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</si>
  <si>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</si>
  <si>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</si>
  <si>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</si>
  <si>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</si>
  <si>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</si>
  <si>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</si>
  <si>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</si>
  <si>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</si>
  <si>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</si>
  <si>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</si>
  <si>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</si>
  <si>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</si>
  <si>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</si>
  <si>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</si>
  <si>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</si>
  <si>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</si>
  <si>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</si>
  <si>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</si>
  <si>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</si>
  <si>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</si>
  <si>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</si>
  <si>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</si>
  <si>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</si>
  <si>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</si>
  <si>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</si>
  <si>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</si>
  <si>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</si>
  <si>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</si>
  <si>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</si>
  <si>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</si>
  <si>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</si>
  <si>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</si>
  <si>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</si>
  <si>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</si>
  <si>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</si>
  <si>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</si>
  <si>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</si>
  <si>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</si>
  <si>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</si>
  <si>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</si>
  <si>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</si>
  <si>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</si>
  <si>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</si>
  <si>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</si>
  <si>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</si>
  <si>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</si>
  <si>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</si>
  <si>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</si>
  <si>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</si>
  <si>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</si>
  <si>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</si>
  <si>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</si>
  <si>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</si>
  <si>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</si>
  <si>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</si>
  <si>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</si>
  <si>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</si>
  <si>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</si>
  <si>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</si>
  <si>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</si>
  <si>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</si>
  <si>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</si>
  <si>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</si>
  <si>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</si>
  <si>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</si>
  <si>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</si>
  <si>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</si>
  <si>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</si>
  <si>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</si>
  <si>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</si>
  <si>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</si>
  <si>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</si>
  <si>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</si>
  <si>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</si>
  <si>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</si>
  <si>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</si>
  <si>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</si>
  <si>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</si>
  <si>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</si>
  <si>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</si>
  <si>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</si>
  <si>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</si>
  <si>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</si>
  <si>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</si>
  <si>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</si>
  <si>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</si>
  <si>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</si>
  <si>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</si>
  <si>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</si>
  <si>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</si>
  <si>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</si>
  <si>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</si>
  <si>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</si>
  <si>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</si>
  <si>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</si>
  <si>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</si>
  <si>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</si>
  <si>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</si>
  <si>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</si>
  <si>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</si>
  <si>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</si>
  <si>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</si>
  <si>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</si>
  <si>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</si>
  <si>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</si>
  <si>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</si>
  <si>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</si>
  <si>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</si>
  <si>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</si>
  <si>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</si>
  <si>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</si>
  <si>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</si>
  <si>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</si>
  <si>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</si>
  <si>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</si>
  <si>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</si>
  <si>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</si>
  <si>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</si>
  <si>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</si>
  <si>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</si>
  <si>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</si>
  <si>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</si>
  <si>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</si>
  <si>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</si>
  <si>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</si>
  <si>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</si>
  <si>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</si>
  <si>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</si>
  <si>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</si>
  <si>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</si>
  <si>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</si>
  <si>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</si>
  <si>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</si>
  <si>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</si>
  <si>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</si>
  <si>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</si>
  <si>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</si>
  <si>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</si>
  <si>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</si>
  <si>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</si>
  <si>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</si>
  <si>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</si>
  <si>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</si>
  <si>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</si>
  <si>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</si>
  <si>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</si>
  <si>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</si>
  <si>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</si>
  <si>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</si>
  <si>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</si>
  <si>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</si>
  <si>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</si>
  <si>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</si>
  <si>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</si>
  <si>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</si>
  <si>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</si>
  <si>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</si>
  <si>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</si>
  <si>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</si>
  <si>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</si>
  <si>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</si>
  <si>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</si>
  <si>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</si>
  <si>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08/1997</t>
  </si>
  <si>
    <t>08-2017</t>
  </si>
  <si>
    <t>08-1997</t>
  </si>
  <si>
    <t>STEWARTSTOWN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</si>
</sst>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1F8B-1135-46C4-9689-E7D388F02F6F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501</v>
      </c>
      <c r="C2" s="21">
        <v>501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181513.87+2010.49</f>
        <v>183524.36</v>
      </c>
      <c r="G9" s="18">
        <v>2179.19</v>
      </c>
      <c r="H9" s="18"/>
      <c r="I9" s="18"/>
      <c r="J9" s="67">
        <f>SUM(I431)</f>
        <v>133388.31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26755.439999999999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2384.61</v>
      </c>
      <c r="G13" s="18">
        <v>7386.99</v>
      </c>
      <c r="H13" s="18">
        <v>38799.93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5659.92</v>
      </c>
      <c r="G14" s="18">
        <v>2.4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3251.04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218324.33</v>
      </c>
      <c r="G19" s="41">
        <f>SUM(G9:G18)</f>
        <v>12819.619999999999</v>
      </c>
      <c r="H19" s="41">
        <f>SUM(H9:H18)</f>
        <v>38799.93</v>
      </c>
      <c r="I19" s="41">
        <f>SUM(I9:I18)</f>
        <v>0</v>
      </c>
      <c r="J19" s="41">
        <f>SUM(J9:J18)</f>
        <v>133388.31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220.8</v>
      </c>
      <c r="H23" s="18">
        <f>38799.93-12265.29</f>
        <v>26534.639999999999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23395.31</v>
      </c>
      <c r="G25" s="18">
        <v>330.98</v>
      </c>
      <c r="H25" s="18"/>
      <c r="I25" s="18"/>
      <c r="J25" s="67">
        <f>SUM(I442)</f>
        <v>50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8703.37+271.63+1531.94+215.23+2036.28+16.64</f>
        <v>12775.09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12265.29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36170.400000000001</v>
      </c>
      <c r="G33" s="41">
        <f>SUM(G23:G32)</f>
        <v>551.78</v>
      </c>
      <c r="H33" s="41">
        <f>SUM(H23:H32)</f>
        <v>38799.93</v>
      </c>
      <c r="I33" s="41">
        <f>SUM(I23:I32)</f>
        <v>0</v>
      </c>
      <c r="J33" s="41">
        <f>SUM(J23:J32)</f>
        <v>50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3251.04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5728.28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3500.13+13465.16+738.06+28437.76+26000-63124.31</f>
        <v>9016.8000000000029</v>
      </c>
      <c r="H41" s="18"/>
      <c r="I41" s="18"/>
      <c r="J41" s="13">
        <f>SUM(I449)</f>
        <v>133338.31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81868.2+1855639.58-1755353.85-5728.28</f>
        <v>176425.64999999994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182153.92999999993</v>
      </c>
      <c r="G43" s="41">
        <f>SUM(G35:G42)</f>
        <v>12267.840000000004</v>
      </c>
      <c r="H43" s="41">
        <f>SUM(H35:H42)</f>
        <v>0</v>
      </c>
      <c r="I43" s="41">
        <f>SUM(I35:I42)</f>
        <v>0</v>
      </c>
      <c r="J43" s="41">
        <f>SUM(J35:J42)</f>
        <v>133338.31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218324.32999999993</v>
      </c>
      <c r="G44" s="41">
        <f>G43+G33</f>
        <v>12819.620000000004</v>
      </c>
      <c r="H44" s="41">
        <f>H43+H33</f>
        <v>38799.93</v>
      </c>
      <c r="I44" s="41">
        <f>I43+I33</f>
        <v>0</v>
      </c>
      <c r="J44" s="41">
        <f>J43+J33</f>
        <v>133388.31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1004160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1004160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337.88</v>
      </c>
      <c r="G88" s="18"/>
      <c r="H88" s="18"/>
      <c r="I88" s="18"/>
      <c r="J88" s="18">
        <f>140.14+5.22+21.77+81.79+161.82+460.9</f>
        <v>871.64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13465.16</f>
        <v>13465.16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1049.1400000000001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3236.15</v>
      </c>
      <c r="G102" s="18"/>
      <c r="H102" s="18">
        <v>9466.51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4623.17</v>
      </c>
      <c r="G103" s="41">
        <f>SUM(G88:G102)</f>
        <v>13465.16</v>
      </c>
      <c r="H103" s="41">
        <f>SUM(H88:H102)</f>
        <v>9466.51</v>
      </c>
      <c r="I103" s="41">
        <f>SUM(I88:I102)</f>
        <v>0</v>
      </c>
      <c r="J103" s="41">
        <f>SUM(J88:J102)</f>
        <v>871.64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1008783.17</v>
      </c>
      <c r="G104" s="41">
        <f>G52+G103</f>
        <v>13465.16</v>
      </c>
      <c r="H104" s="41">
        <f>H52+H71+H86+H103</f>
        <v>9466.51</v>
      </c>
      <c r="I104" s="41">
        <f>I52+I103</f>
        <v>0</v>
      </c>
      <c r="J104" s="41">
        <f>J52+J103</f>
        <v>871.64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419862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182330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161088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763280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14086.26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47486.42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738.06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816.59</v>
      </c>
      <c r="G127" s="18"/>
      <c r="H127" s="18">
        <f>317.56+3057.65</f>
        <v>3375.21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62389.27</v>
      </c>
      <c r="G128" s="41">
        <f>SUM(G115:G127)</f>
        <v>738.06</v>
      </c>
      <c r="H128" s="41">
        <f>SUM(H115:H127)</f>
        <v>3375.21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825669.27</v>
      </c>
      <c r="G132" s="41">
        <f>G113+SUM(G128:G129)</f>
        <v>738.06</v>
      </c>
      <c r="H132" s="41">
        <f>H113+SUM(H128:H131)</f>
        <v>3375.21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0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159063.65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16730.7+19495.07</f>
        <v>36225.770000000004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28437.759999999998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4993.1400000000003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4993.1400000000003</v>
      </c>
      <c r="G154" s="41">
        <f>SUM(G142:G153)</f>
        <v>28437.759999999998</v>
      </c>
      <c r="H154" s="41">
        <f>SUM(H142:H153)</f>
        <v>195289.41999999998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4993.1400000000003</v>
      </c>
      <c r="G161" s="41">
        <f>G139+G154+SUM(G155:G160)</f>
        <v>28437.759999999998</v>
      </c>
      <c r="H161" s="41">
        <f>H139+H154+SUM(H155:H160)</f>
        <v>195289.41999999998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16194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16194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26000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26000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16194</v>
      </c>
      <c r="G184" s="41">
        <f>G175+SUM(G180:G183)</f>
        <v>26000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1855639.5799999998</v>
      </c>
      <c r="G185" s="47">
        <f>G104+G132+G161+G184</f>
        <v>68640.98</v>
      </c>
      <c r="H185" s="47">
        <f>H104+H132+H161+H184</f>
        <v>208131.13999999998</v>
      </c>
      <c r="I185" s="47">
        <f>I104+I132+I161+I184</f>
        <v>0</v>
      </c>
      <c r="J185" s="47">
        <f>J104+J132+J184</f>
        <v>10871.64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190479.96+14816.27+19827+4120</f>
        <v>229243.22999999998</v>
      </c>
      <c r="G189" s="18">
        <f>64457.57+16990.29+14354.75+7601.85+557.66+378+1173.8</f>
        <v>105513.92000000001</v>
      </c>
      <c r="H189" s="18">
        <f>2148.63+19505.43+8465.52+11473</f>
        <v>41592.58</v>
      </c>
      <c r="I189" s="18">
        <f>10985.46+18990.13+1377.26</f>
        <v>31352.85</v>
      </c>
      <c r="J189" s="18">
        <f>547.44+1396.83</f>
        <v>1944.27</v>
      </c>
      <c r="K189" s="18">
        <v>421.25</v>
      </c>
      <c r="L189" s="19">
        <f>SUM(F189:K189)</f>
        <v>410068.10000000003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42962.5+26297.1</f>
        <v>69259.600000000006</v>
      </c>
      <c r="G190" s="18">
        <f>5812.32+5247.34+3232.73+709.24</f>
        <v>15001.63</v>
      </c>
      <c r="H190" s="18">
        <f>207.8+118736.22</f>
        <v>118944.02</v>
      </c>
      <c r="I190" s="18">
        <f>556.91+384.73</f>
        <v>941.64</v>
      </c>
      <c r="J190" s="18"/>
      <c r="K190" s="18"/>
      <c r="L190" s="19">
        <f>SUM(F190:K190)</f>
        <v>204146.89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282.56</f>
        <v>282.56</v>
      </c>
      <c r="G192" s="18">
        <f>21.62</f>
        <v>21.62</v>
      </c>
      <c r="H192" s="18"/>
      <c r="I192" s="18"/>
      <c r="J192" s="18"/>
      <c r="K192" s="18"/>
      <c r="L192" s="19">
        <f>SUM(F192:K192)</f>
        <v>304.18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>
        <f>135+88</f>
        <v>223</v>
      </c>
      <c r="H194" s="18">
        <f>15621.47+13345.8+152.25+42042.18+7357.6+12930.44+3080+6524.5+950+464.95</f>
        <v>102469.19</v>
      </c>
      <c r="I194" s="18">
        <f>594+180.46+328.37+387.63+759.95+200.3+822.4+1916.95</f>
        <v>5190.0600000000004</v>
      </c>
      <c r="J194" s="18">
        <f>332.98+1481.58</f>
        <v>1814.56</v>
      </c>
      <c r="K194" s="18">
        <f>720</f>
        <v>720</v>
      </c>
      <c r="L194" s="19">
        <f t="shared" ref="L194:L200" si="0">SUM(F194:K194)</f>
        <v>110416.81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552.53+23848.05</f>
        <v>24400.579999999998</v>
      </c>
      <c r="G195" s="18">
        <f>79.88+1824.37+185.08</f>
        <v>2089.33</v>
      </c>
      <c r="H195" s="18">
        <f>368.4+540</f>
        <v>908.4</v>
      </c>
      <c r="I195" s="18">
        <f>596.97+285.87+266.97</f>
        <v>1149.81</v>
      </c>
      <c r="J195" s="18"/>
      <c r="K195" s="18">
        <f>285+950</f>
        <v>1235</v>
      </c>
      <c r="L195" s="19">
        <f t="shared" si="0"/>
        <v>29783.119999999999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1665</f>
        <v>1665</v>
      </c>
      <c r="G196" s="18">
        <f>127.38+14</f>
        <v>141.38</v>
      </c>
      <c r="H196" s="18">
        <f>6475.3+2756.5+1081.93+43199+302</f>
        <v>53814.729999999996</v>
      </c>
      <c r="I196" s="18">
        <f>139.61</f>
        <v>139.61000000000001</v>
      </c>
      <c r="J196" s="18"/>
      <c r="K196" s="18">
        <f>1965.43</f>
        <v>1965.43</v>
      </c>
      <c r="L196" s="19">
        <f t="shared" si="0"/>
        <v>57726.149999999994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37080+24668.86+1250</f>
        <v>62998.86</v>
      </c>
      <c r="G197" s="18">
        <f>21505.44+4655.29+2870.89+234.16</f>
        <v>29265.78</v>
      </c>
      <c r="H197" s="18">
        <f>2395+100+1466.55+245.78+139.45+393.32</f>
        <v>4740.0999999999995</v>
      </c>
      <c r="I197" s="18">
        <f>1183.05</f>
        <v>1183.05</v>
      </c>
      <c r="J197" s="18"/>
      <c r="K197" s="18">
        <f>1375</f>
        <v>1375</v>
      </c>
      <c r="L197" s="19">
        <f t="shared" si="0"/>
        <v>99562.790000000008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21734.28</f>
        <v>21734.28</v>
      </c>
      <c r="G199" s="18">
        <f>14385.36+1545.93+708.59</f>
        <v>16639.88</v>
      </c>
      <c r="H199" s="18">
        <f>3013.5+788+1321.12+3530+16810.68+4984.5</f>
        <v>30447.8</v>
      </c>
      <c r="I199" s="18">
        <f>7430.12+15491.17+9010.12+76.72</f>
        <v>32008.130000000005</v>
      </c>
      <c r="J199" s="18">
        <f>3024.05</f>
        <v>3024.05</v>
      </c>
      <c r="K199" s="18">
        <f>1667.5</f>
        <v>1667.5</v>
      </c>
      <c r="L199" s="19">
        <f t="shared" si="0"/>
        <v>105521.64000000001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23880.74+866.35</f>
        <v>24747.09</v>
      </c>
      <c r="G200" s="18">
        <f>1826.91+1077.2+177+66.3+30.09</f>
        <v>3177.5000000000005</v>
      </c>
      <c r="H200" s="18">
        <f>12378.51+1979+526.49+476.5+21279.63</f>
        <v>36640.130000000005</v>
      </c>
      <c r="I200" s="18">
        <f>311.7+71.32+9064.95+210.04</f>
        <v>9658.010000000002</v>
      </c>
      <c r="J200" s="18"/>
      <c r="K200" s="18">
        <f>179</f>
        <v>179</v>
      </c>
      <c r="L200" s="19">
        <f t="shared" si="0"/>
        <v>74401.73000000001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434331.2</v>
      </c>
      <c r="G203" s="41">
        <f t="shared" si="1"/>
        <v>172074.04000000004</v>
      </c>
      <c r="H203" s="41">
        <f t="shared" si="1"/>
        <v>389556.95</v>
      </c>
      <c r="I203" s="41">
        <f t="shared" si="1"/>
        <v>81623.16</v>
      </c>
      <c r="J203" s="41">
        <f t="shared" si="1"/>
        <v>6782.88</v>
      </c>
      <c r="K203" s="41">
        <f t="shared" si="1"/>
        <v>7563.18</v>
      </c>
      <c r="L203" s="41">
        <f t="shared" si="1"/>
        <v>1091931.4100000001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497387.79</f>
        <v>497387.79</v>
      </c>
      <c r="I225" s="18"/>
      <c r="J225" s="18"/>
      <c r="K225" s="18"/>
      <c r="L225" s="19">
        <f>SUM(F225:K225)</f>
        <v>497387.79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765.9</f>
        <v>765.9</v>
      </c>
      <c r="G226" s="18">
        <f>58.62</f>
        <v>58.62</v>
      </c>
      <c r="H226" s="18">
        <f>6159</f>
        <v>6159</v>
      </c>
      <c r="I226" s="18"/>
      <c r="J226" s="18"/>
      <c r="K226" s="18"/>
      <c r="L226" s="19">
        <f>SUM(F226:K226)</f>
        <v>6983.52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1360</f>
        <v>1360</v>
      </c>
      <c r="G232" s="18">
        <f>104.06+6</f>
        <v>110.06</v>
      </c>
      <c r="H232" s="18">
        <f>2473.29+176+410.6+28799</f>
        <v>31858.89</v>
      </c>
      <c r="I232" s="18"/>
      <c r="J232" s="18"/>
      <c r="K232" s="18">
        <f>916.05</f>
        <v>916.05</v>
      </c>
      <c r="L232" s="19">
        <f t="shared" si="4"/>
        <v>34245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12079.3</f>
        <v>12079.3</v>
      </c>
      <c r="G236" s="18">
        <f>924.01+530.57+67</f>
        <v>1521.58</v>
      </c>
      <c r="H236" s="18">
        <f>5662.4+310</f>
        <v>5972.4</v>
      </c>
      <c r="I236" s="18">
        <f>60.71+34.68+4509.96</f>
        <v>4605.3500000000004</v>
      </c>
      <c r="J236" s="18"/>
      <c r="K236" s="18"/>
      <c r="L236" s="19">
        <f t="shared" si="4"/>
        <v>24178.629999999997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14205.199999999999</v>
      </c>
      <c r="G239" s="41">
        <f t="shared" si="5"/>
        <v>1690.26</v>
      </c>
      <c r="H239" s="41">
        <f t="shared" si="5"/>
        <v>541378.07999999996</v>
      </c>
      <c r="I239" s="41">
        <f t="shared" si="5"/>
        <v>4605.3500000000004</v>
      </c>
      <c r="J239" s="41">
        <f t="shared" si="5"/>
        <v>0</v>
      </c>
      <c r="K239" s="41">
        <f t="shared" si="5"/>
        <v>916.05</v>
      </c>
      <c r="L239" s="41">
        <f t="shared" si="5"/>
        <v>562794.94000000006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448536.4</v>
      </c>
      <c r="G249" s="41">
        <f t="shared" si="8"/>
        <v>173764.30000000005</v>
      </c>
      <c r="H249" s="41">
        <f t="shared" si="8"/>
        <v>930935.03</v>
      </c>
      <c r="I249" s="41">
        <f t="shared" si="8"/>
        <v>86228.510000000009</v>
      </c>
      <c r="J249" s="41">
        <f t="shared" si="8"/>
        <v>6782.88</v>
      </c>
      <c r="K249" s="41">
        <f t="shared" si="8"/>
        <v>8479.23</v>
      </c>
      <c r="L249" s="41">
        <f t="shared" si="8"/>
        <v>1654726.35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19627.5</v>
      </c>
      <c r="L253" s="19">
        <f>SUM(F253:K253)</f>
        <v>19627.5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26000</v>
      </c>
      <c r="L255" s="19">
        <f>SUM(F255:K255)</f>
        <v>26000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100627.5</v>
      </c>
      <c r="L262" s="41">
        <f t="shared" si="9"/>
        <v>100627.5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448536.4</v>
      </c>
      <c r="G263" s="42">
        <f t="shared" si="11"/>
        <v>173764.30000000005</v>
      </c>
      <c r="H263" s="42">
        <f t="shared" si="11"/>
        <v>930935.03</v>
      </c>
      <c r="I263" s="42">
        <f t="shared" si="11"/>
        <v>86228.510000000009</v>
      </c>
      <c r="J263" s="42">
        <f t="shared" si="11"/>
        <v>6782.88</v>
      </c>
      <c r="K263" s="42">
        <f t="shared" si="11"/>
        <v>109106.73</v>
      </c>
      <c r="L263" s="42">
        <f t="shared" si="11"/>
        <v>1755353.85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f>153.81+3322.4+139.1+368.37+691.04</f>
        <v>4674.7199999999993</v>
      </c>
      <c r="J268" s="18">
        <f>15975.08+8268</f>
        <v>24243.08</v>
      </c>
      <c r="K268" s="18"/>
      <c r="L268" s="19">
        <f>SUM(F268:K268)</f>
        <v>28917.800000000003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68900+12873.83</f>
        <v>81773.83</v>
      </c>
      <c r="G269" s="18">
        <f>21311.84+6153.35+5073.02+493</f>
        <v>33031.210000000006</v>
      </c>
      <c r="H269" s="18"/>
      <c r="I269" s="18"/>
      <c r="J269" s="18">
        <v>205.85</v>
      </c>
      <c r="K269" s="18">
        <v>0</v>
      </c>
      <c r="L269" s="19">
        <f>SUM(F269:K269)</f>
        <v>115010.89000000001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2456.25+422.76+4082.77+1300.71+4381.25</f>
        <v>12643.740000000002</v>
      </c>
      <c r="G271" s="18">
        <f>220.27+196.98+312.41+188.49+434.67+307.55</f>
        <v>1660.3700000000001</v>
      </c>
      <c r="H271" s="18"/>
      <c r="I271" s="18">
        <f>58.58</f>
        <v>58.58</v>
      </c>
      <c r="J271" s="18"/>
      <c r="K271" s="18">
        <f>101</f>
        <v>101</v>
      </c>
      <c r="L271" s="19">
        <f>SUM(F271:K271)</f>
        <v>14463.690000000002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460.7+492.26+609.39</f>
        <v>1562.35</v>
      </c>
      <c r="G273" s="18">
        <f>35.23+37.66+47.3</f>
        <v>120.18999999999998</v>
      </c>
      <c r="H273" s="18">
        <f>195</f>
        <v>195</v>
      </c>
      <c r="I273" s="18">
        <f>73.11+1034.07+2400.96</f>
        <v>3508.14</v>
      </c>
      <c r="J273" s="18"/>
      <c r="K273" s="18">
        <f>67.66</f>
        <v>67.66</v>
      </c>
      <c r="L273" s="19">
        <f t="shared" ref="L273:L279" si="12">SUM(F273:K273)</f>
        <v>5453.34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3332+2159.11</f>
        <v>5491.1100000000006</v>
      </c>
      <c r="G274" s="18">
        <f>254.91+249.59+165.13+129.75</f>
        <v>799.38</v>
      </c>
      <c r="H274" s="18">
        <f>6545+599.8+2719+9250+715.2+1000+66</f>
        <v>20895</v>
      </c>
      <c r="I274" s="18">
        <f>125.29</f>
        <v>125.29</v>
      </c>
      <c r="J274" s="18"/>
      <c r="K274" s="18">
        <v>210</v>
      </c>
      <c r="L274" s="19">
        <f t="shared" si="12"/>
        <v>27520.780000000002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8000+2000</f>
        <v>10000</v>
      </c>
      <c r="G275" s="18">
        <f>611.89+599.31+41+153+149.8</f>
        <v>1554.9999999999998</v>
      </c>
      <c r="H275" s="18">
        <f>92.4</f>
        <v>92.4</v>
      </c>
      <c r="I275" s="18"/>
      <c r="J275" s="18"/>
      <c r="K275" s="18"/>
      <c r="L275" s="19">
        <f t="shared" si="12"/>
        <v>11647.4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1500</f>
        <v>1500</v>
      </c>
      <c r="L277" s="19">
        <f t="shared" si="12"/>
        <v>1500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f>981.33+728.4+51</f>
        <v>1760.73</v>
      </c>
      <c r="G279" s="18">
        <f>75.07+55.72+3.9</f>
        <v>134.69</v>
      </c>
      <c r="H279" s="18"/>
      <c r="I279" s="18">
        <f>276.46+167.03</f>
        <v>443.49</v>
      </c>
      <c r="J279" s="18"/>
      <c r="K279" s="18"/>
      <c r="L279" s="19">
        <f t="shared" si="12"/>
        <v>2338.91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113231.76000000001</v>
      </c>
      <c r="G282" s="42">
        <f t="shared" si="13"/>
        <v>37300.840000000011</v>
      </c>
      <c r="H282" s="42">
        <f t="shared" si="13"/>
        <v>21182.400000000001</v>
      </c>
      <c r="I282" s="42">
        <f t="shared" si="13"/>
        <v>8810.2199999999993</v>
      </c>
      <c r="J282" s="42">
        <f t="shared" si="13"/>
        <v>24448.93</v>
      </c>
      <c r="K282" s="42">
        <f t="shared" si="13"/>
        <v>1878.6599999999999</v>
      </c>
      <c r="L282" s="41">
        <f t="shared" si="13"/>
        <v>206852.81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f>100+97.5</f>
        <v>197.5</v>
      </c>
      <c r="I327" s="18">
        <f>100+980.83</f>
        <v>1080.83</v>
      </c>
      <c r="J327" s="18"/>
      <c r="K327" s="18"/>
      <c r="L327" s="19">
        <f t="shared" si="18"/>
        <v>1278.33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197.5</v>
      </c>
      <c r="I329" s="41">
        <f t="shared" si="19"/>
        <v>1080.83</v>
      </c>
      <c r="J329" s="41">
        <f t="shared" si="19"/>
        <v>0</v>
      </c>
      <c r="K329" s="41">
        <f t="shared" si="19"/>
        <v>0</v>
      </c>
      <c r="L329" s="41">
        <f t="shared" si="18"/>
        <v>1278.33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113231.76000000001</v>
      </c>
      <c r="G330" s="41">
        <f t="shared" si="20"/>
        <v>37300.840000000011</v>
      </c>
      <c r="H330" s="41">
        <f t="shared" si="20"/>
        <v>21379.9</v>
      </c>
      <c r="I330" s="41">
        <f t="shared" si="20"/>
        <v>9891.0499999999993</v>
      </c>
      <c r="J330" s="41">
        <f t="shared" si="20"/>
        <v>24448.93</v>
      </c>
      <c r="K330" s="41">
        <f t="shared" si="20"/>
        <v>1878.6599999999999</v>
      </c>
      <c r="L330" s="41">
        <f t="shared" si="20"/>
        <v>208131.13999999998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113231.76000000001</v>
      </c>
      <c r="G344" s="41">
        <f>G330</f>
        <v>37300.840000000011</v>
      </c>
      <c r="H344" s="41">
        <f>H330</f>
        <v>21379.9</v>
      </c>
      <c r="I344" s="41">
        <f>I330</f>
        <v>9891.0499999999993</v>
      </c>
      <c r="J344" s="41">
        <f>J330</f>
        <v>24448.93</v>
      </c>
      <c r="K344" s="47">
        <f>K330+K343</f>
        <v>1878.6599999999999</v>
      </c>
      <c r="L344" s="41">
        <f>L330+L343</f>
        <v>208131.13999999998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28366.9+1018.62</f>
        <v>29385.52</v>
      </c>
      <c r="G350" s="18">
        <f>2247.26+896.41+252</f>
        <v>3395.67</v>
      </c>
      <c r="H350" s="18">
        <f>1192.9+176.74</f>
        <v>1369.64</v>
      </c>
      <c r="I350" s="18">
        <f>3365.49+23811.3+590.25</f>
        <v>27767.040000000001</v>
      </c>
      <c r="J350" s="18">
        <f>533.19</f>
        <v>533.19000000000005</v>
      </c>
      <c r="K350" s="18">
        <v>673.25</v>
      </c>
      <c r="L350" s="13">
        <f>SUM(F350:K350)</f>
        <v>63124.310000000005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29385.52</v>
      </c>
      <c r="G354" s="47">
        <f t="shared" si="22"/>
        <v>3395.67</v>
      </c>
      <c r="H354" s="47">
        <f t="shared" si="22"/>
        <v>1369.64</v>
      </c>
      <c r="I354" s="47">
        <f t="shared" si="22"/>
        <v>27767.040000000001</v>
      </c>
      <c r="J354" s="47">
        <f t="shared" si="22"/>
        <v>533.19000000000005</v>
      </c>
      <c r="K354" s="47">
        <f t="shared" si="22"/>
        <v>673.25</v>
      </c>
      <c r="L354" s="47">
        <f t="shared" si="22"/>
        <v>63124.310000000005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23811.3</v>
      </c>
      <c r="G359" s="18"/>
      <c r="H359" s="18"/>
      <c r="I359" s="56">
        <f>SUM(F359:H359)</f>
        <v>23811.3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3365.49+590.25</f>
        <v>3955.74</v>
      </c>
      <c r="G360" s="63"/>
      <c r="H360" s="63"/>
      <c r="I360" s="56">
        <f>SUM(F360:H360)</f>
        <v>3955.74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27767.040000000001</v>
      </c>
      <c r="G361" s="47">
        <f>SUM(G359:G360)</f>
        <v>0</v>
      </c>
      <c r="H361" s="47">
        <f>SUM(H359:H360)</f>
        <v>0</v>
      </c>
      <c r="I361" s="47">
        <f>SUM(I359:I360)</f>
        <v>27767.040000000001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10000</v>
      </c>
      <c r="H382" s="18">
        <v>140.13999999999999</v>
      </c>
      <c r="I382" s="18"/>
      <c r="J382" s="24" t="s">
        <v>312</v>
      </c>
      <c r="K382" s="24" t="s">
        <v>312</v>
      </c>
      <c r="L382" s="56">
        <f t="shared" si="25"/>
        <v>10140.14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140.13999999999999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10140.14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5.22</v>
      </c>
      <c r="I388" s="18"/>
      <c r="J388" s="24" t="s">
        <v>312</v>
      </c>
      <c r="K388" s="24" t="s">
        <v>312</v>
      </c>
      <c r="L388" s="56">
        <f t="shared" si="26"/>
        <v>5.22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f>81.79+161.82+460.9</f>
        <v>704.51</v>
      </c>
      <c r="I390" s="18"/>
      <c r="J390" s="24" t="s">
        <v>312</v>
      </c>
      <c r="K390" s="24" t="s">
        <v>312</v>
      </c>
      <c r="L390" s="56">
        <f t="shared" si="26"/>
        <v>704.51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21.77</v>
      </c>
      <c r="I392" s="18"/>
      <c r="J392" s="24" t="s">
        <v>312</v>
      </c>
      <c r="K392" s="24" t="s">
        <v>312</v>
      </c>
      <c r="L392" s="56">
        <f t="shared" si="26"/>
        <v>21.77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731.5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731.5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871.64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10871.64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50</v>
      </c>
      <c r="L418" s="56">
        <f t="shared" si="29"/>
        <v>50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50</v>
      </c>
      <c r="L419" s="47">
        <f t="shared" si="30"/>
        <v>50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50</v>
      </c>
      <c r="L426" s="47">
        <f t="shared" si="32"/>
        <v>50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41785.050000000003</v>
      </c>
      <c r="G431" s="18">
        <f>11978.36+1193.8+20496.01+17247.7+40637.39+50</f>
        <v>91603.26</v>
      </c>
      <c r="H431" s="18"/>
      <c r="I431" s="56">
        <f t="shared" ref="I431:I437" si="33">SUM(F431:H431)</f>
        <v>133388.31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41785.050000000003</v>
      </c>
      <c r="G438" s="13">
        <f>SUM(G431:G437)</f>
        <v>91603.26</v>
      </c>
      <c r="H438" s="13">
        <f>SUM(H431:H437)</f>
        <v>0</v>
      </c>
      <c r="I438" s="13">
        <f>SUM(I431:I437)</f>
        <v>133388.31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 t="s">
        <v>310</v>
      </c>
      <c r="G442" s="18">
        <v>50</v>
      </c>
      <c r="H442" s="18"/>
      <c r="I442" s="56">
        <f>SUM(F442:H442)</f>
        <v>50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50</v>
      </c>
      <c r="H444" s="72">
        <f>SUM(H440:H443)</f>
        <v>0</v>
      </c>
      <c r="I444" s="72">
        <f>SUM(I440:I443)</f>
        <v>50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41785.050000000003</v>
      </c>
      <c r="G449" s="18">
        <f>11978.36+1193.8+20496.01+17247.7+40637.39</f>
        <v>91553.26</v>
      </c>
      <c r="H449" s="18"/>
      <c r="I449" s="56">
        <f>SUM(F449:H449)</f>
        <v>133338.31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41785.050000000003</v>
      </c>
      <c r="G450" s="83">
        <f>SUM(G446:G449)</f>
        <v>91553.26</v>
      </c>
      <c r="H450" s="83">
        <f>SUM(H446:H449)</f>
        <v>0</v>
      </c>
      <c r="I450" s="83">
        <f>SUM(I446:I449)</f>
        <v>133338.31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41785.050000000003</v>
      </c>
      <c r="G451" s="42">
        <f>G444+G450</f>
        <v>91603.26</v>
      </c>
      <c r="H451" s="42">
        <f>H444+H450</f>
        <v>0</v>
      </c>
      <c r="I451" s="42">
        <f>I444+I450</f>
        <v>133388.31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81868.2</v>
      </c>
      <c r="G455" s="18">
        <v>7616.06</v>
      </c>
      <c r="H455" s="18">
        <v>0</v>
      </c>
      <c r="I455" s="18">
        <v>0</v>
      </c>
      <c r="J455" s="18">
        <v>122516.67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1855639.58</v>
      </c>
      <c r="G458" s="18">
        <v>68640.98</v>
      </c>
      <c r="H458" s="18">
        <v>208131.14</v>
      </c>
      <c r="I458" s="18"/>
      <c r="J458" s="18">
        <f>10000+140.14+5.22+21.77+81.79+161.82+460.9</f>
        <v>10871.64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1855639.58</v>
      </c>
      <c r="G460" s="53">
        <f>SUM(G458:G459)</f>
        <v>68640.98</v>
      </c>
      <c r="H460" s="53">
        <f>SUM(H458:H459)</f>
        <v>208131.14</v>
      </c>
      <c r="I460" s="53">
        <f>SUM(I458:I459)</f>
        <v>0</v>
      </c>
      <c r="J460" s="53">
        <f>SUM(J458:J459)</f>
        <v>10871.64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1755353.85</v>
      </c>
      <c r="G462" s="18">
        <v>63124.31</v>
      </c>
      <c r="H462" s="18">
        <v>208131.14</v>
      </c>
      <c r="I462" s="18"/>
      <c r="J462" s="18">
        <v>50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f>876.94-12.05</f>
        <v>864.8900000000001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1755353.85</v>
      </c>
      <c r="G464" s="53">
        <f>SUM(G462:G463)</f>
        <v>63989.2</v>
      </c>
      <c r="H464" s="53">
        <f>SUM(H462:H463)</f>
        <v>208131.14</v>
      </c>
      <c r="I464" s="53">
        <f>SUM(I462:I463)</f>
        <v>0</v>
      </c>
      <c r="J464" s="53">
        <f>SUM(J462:J463)</f>
        <v>50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182153.92999999993</v>
      </c>
      <c r="G466" s="53">
        <f>(G455+G460)- G464</f>
        <v>12267.839999999997</v>
      </c>
      <c r="H466" s="53">
        <f>(H455+H460)- H464</f>
        <v>0</v>
      </c>
      <c r="I466" s="53">
        <f>(I455+I460)- I464</f>
        <v>0</v>
      </c>
      <c r="J466" s="53">
        <f>(J455+J460)- J464</f>
        <v>133338.31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>
        <v>20</v>
      </c>
      <c r="H480" s="154">
        <v>20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 t="s">
        <v>894</v>
      </c>
      <c r="H481" s="155" t="s">
        <v>896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 t="s">
        <v>895</v>
      </c>
      <c r="H482" s="155" t="s">
        <v>895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>
        <v>249438</v>
      </c>
      <c r="H483" s="18">
        <v>748312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>
        <v>5.01</v>
      </c>
      <c r="H484" s="18">
        <v>4.9800000000000004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>
        <v>90000</v>
      </c>
      <c r="H485" s="18">
        <v>315000</v>
      </c>
      <c r="I485" s="18"/>
      <c r="J485" s="18"/>
      <c r="K485" s="53">
        <f>SUM(F485:J485)</f>
        <v>405000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>
        <v>10000</v>
      </c>
      <c r="H487" s="18">
        <v>35000</v>
      </c>
      <c r="I487" s="18"/>
      <c r="J487" s="18"/>
      <c r="K487" s="53">
        <f t="shared" si="34"/>
        <v>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v>80000</v>
      </c>
      <c r="H488" s="205">
        <v>280000</v>
      </c>
      <c r="I488" s="205"/>
      <c r="J488" s="205"/>
      <c r="K488" s="206">
        <f t="shared" si="34"/>
        <v>360000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v>16772.5</v>
      </c>
      <c r="H489" s="18">
        <v>57916.25</v>
      </c>
      <c r="I489" s="18"/>
      <c r="J489" s="18"/>
      <c r="K489" s="53">
        <f t="shared" si="34"/>
        <v>74688.75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96772.5</v>
      </c>
      <c r="H490" s="42">
        <f>SUM(H488:H489)</f>
        <v>337916.25</v>
      </c>
      <c r="I490" s="42">
        <f>SUM(I488:I489)</f>
        <v>0</v>
      </c>
      <c r="J490" s="42">
        <f>SUM(J488:J489)</f>
        <v>0</v>
      </c>
      <c r="K490" s="42">
        <f t="shared" si="34"/>
        <v>434688.75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10000</v>
      </c>
      <c r="H491" s="205">
        <v>35000</v>
      </c>
      <c r="I491" s="205"/>
      <c r="J491" s="205"/>
      <c r="K491" s="206">
        <f t="shared" si="34"/>
        <v>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f>2077.5+1825</f>
        <v>3902.5</v>
      </c>
      <c r="H492" s="18">
        <f>7183.75+6308.75</f>
        <v>13492.5</v>
      </c>
      <c r="I492" s="18"/>
      <c r="J492" s="18"/>
      <c r="K492" s="53">
        <f t="shared" si="34"/>
        <v>17395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13902.5</v>
      </c>
      <c r="H493" s="42">
        <f>SUM(H491:H492)</f>
        <v>48492.5</v>
      </c>
      <c r="I493" s="42">
        <f>SUM(I491:I492)</f>
        <v>0</v>
      </c>
      <c r="J493" s="42">
        <f>SUM(J491:J492)</f>
        <v>0</v>
      </c>
      <c r="K493" s="42">
        <f t="shared" si="34"/>
        <v>62395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42962.5+26297.1</f>
        <v>69259.600000000006</v>
      </c>
      <c r="G511" s="18">
        <f>5812.32+5247.34+3232.73+709.24</f>
        <v>15001.63</v>
      </c>
      <c r="H511" s="18">
        <f>6366.8+118736.22</f>
        <v>125103.02</v>
      </c>
      <c r="I511" s="18">
        <f>556.91+384.73</f>
        <v>941.64</v>
      </c>
      <c r="J511" s="18"/>
      <c r="K511" s="18"/>
      <c r="L511" s="88">
        <f>SUM(F511:K511)</f>
        <v>210305.89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69259.600000000006</v>
      </c>
      <c r="G514" s="108">
        <f t="shared" ref="G514:L514" si="35">SUM(G511:G513)</f>
        <v>15001.63</v>
      </c>
      <c r="H514" s="108">
        <f t="shared" si="35"/>
        <v>125103.02</v>
      </c>
      <c r="I514" s="108">
        <f t="shared" si="35"/>
        <v>941.64</v>
      </c>
      <c r="J514" s="108">
        <f t="shared" si="35"/>
        <v>0</v>
      </c>
      <c r="K514" s="108">
        <f t="shared" si="35"/>
        <v>0</v>
      </c>
      <c r="L514" s="89">
        <f t="shared" si="35"/>
        <v>210305.89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>
        <f>135+88</f>
        <v>223</v>
      </c>
      <c r="H516" s="18">
        <f>12970.79+7357.6+9412+13433.54</f>
        <v>43173.93</v>
      </c>
      <c r="I516" s="18">
        <f>328.37+387.63+759.95+200.3</f>
        <v>1676.25</v>
      </c>
      <c r="J516" s="18">
        <v>332.98</v>
      </c>
      <c r="K516" s="18"/>
      <c r="L516" s="88">
        <f>SUM(F516:K516)</f>
        <v>45406.16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223</v>
      </c>
      <c r="H519" s="89">
        <f t="shared" si="36"/>
        <v>43173.93</v>
      </c>
      <c r="I519" s="89">
        <f t="shared" si="36"/>
        <v>1676.25</v>
      </c>
      <c r="J519" s="89">
        <f t="shared" si="36"/>
        <v>332.98</v>
      </c>
      <c r="K519" s="89">
        <f t="shared" si="36"/>
        <v>0</v>
      </c>
      <c r="L519" s="89">
        <f t="shared" si="36"/>
        <v>45406.16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17578.64*0.8</f>
        <v>14062.912</v>
      </c>
      <c r="I521" s="18"/>
      <c r="J521" s="18"/>
      <c r="K521" s="18"/>
      <c r="L521" s="88">
        <f>SUM(F521:K521)</f>
        <v>14062.912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17578.64-14062.91</f>
        <v>3515.7299999999996</v>
      </c>
      <c r="I523" s="18"/>
      <c r="J523" s="18"/>
      <c r="K523" s="18"/>
      <c r="L523" s="88">
        <f>SUM(F523:K523)</f>
        <v>3515.7299999999996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17578.642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17578.642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21279.63</v>
      </c>
      <c r="I531" s="18"/>
      <c r="J531" s="18"/>
      <c r="K531" s="18"/>
      <c r="L531" s="88">
        <f>SUM(F531:K531)</f>
        <v>21279.63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21279.63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21279.63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69259.600000000006</v>
      </c>
      <c r="G535" s="89">
        <f t="shared" ref="G535:L535" si="40">G514+G519+G524+G529+G534</f>
        <v>15224.63</v>
      </c>
      <c r="H535" s="89">
        <f t="shared" si="40"/>
        <v>207135.22200000001</v>
      </c>
      <c r="I535" s="89">
        <f t="shared" si="40"/>
        <v>2617.89</v>
      </c>
      <c r="J535" s="89">
        <f t="shared" si="40"/>
        <v>332.98</v>
      </c>
      <c r="K535" s="89">
        <f t="shared" si="40"/>
        <v>0</v>
      </c>
      <c r="L535" s="89">
        <f t="shared" si="40"/>
        <v>294570.32200000004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210305.89</v>
      </c>
      <c r="G539" s="87">
        <f>L516</f>
        <v>45406.16</v>
      </c>
      <c r="H539" s="87">
        <f>L521</f>
        <v>14062.912</v>
      </c>
      <c r="I539" s="87">
        <f>L526</f>
        <v>0</v>
      </c>
      <c r="J539" s="87">
        <f>L531</f>
        <v>21279.63</v>
      </c>
      <c r="K539" s="87">
        <f>SUM(F539:J539)</f>
        <v>291054.592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3515.7299999999996</v>
      </c>
      <c r="I541" s="87">
        <f>L528</f>
        <v>0</v>
      </c>
      <c r="J541" s="87">
        <f>L533</f>
        <v>0</v>
      </c>
      <c r="K541" s="87">
        <f>SUM(F541:J541)</f>
        <v>3515.7299999999996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210305.89</v>
      </c>
      <c r="G542" s="89">
        <f t="shared" si="41"/>
        <v>45406.16</v>
      </c>
      <c r="H542" s="89">
        <f t="shared" si="41"/>
        <v>17578.642</v>
      </c>
      <c r="I542" s="89">
        <f t="shared" si="41"/>
        <v>0</v>
      </c>
      <c r="J542" s="89">
        <f t="shared" si="41"/>
        <v>21279.63</v>
      </c>
      <c r="K542" s="89">
        <f t="shared" si="41"/>
        <v>294570.32199999999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11473</v>
      </c>
      <c r="G565" s="18"/>
      <c r="H565" s="18">
        <v>281733.34999999998</v>
      </c>
      <c r="I565" s="87">
        <f>SUM(F565:H565)</f>
        <v>293206.34999999998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215654.44</v>
      </c>
      <c r="I566" s="87">
        <f t="shared" ref="I566:I577" si="46">SUM(F566:H566)</f>
        <v>215654.44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118736.22</v>
      </c>
      <c r="G568" s="18"/>
      <c r="H568" s="18"/>
      <c r="I568" s="87">
        <f t="shared" si="46"/>
        <v>118736.22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51949.32</v>
      </c>
      <c r="I581" s="18"/>
      <c r="J581" s="18">
        <v>24178.63</v>
      </c>
      <c r="K581" s="104">
        <f t="shared" ref="K581:K587" si="47">SUM(H581:J581)</f>
        <v>76127.95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21279.63</v>
      </c>
      <c r="I582" s="18"/>
      <c r="J582" s="18"/>
      <c r="K582" s="104">
        <f t="shared" si="47"/>
        <v>21279.63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1172.78</v>
      </c>
      <c r="I585" s="18"/>
      <c r="J585" s="18"/>
      <c r="K585" s="104">
        <f t="shared" si="47"/>
        <v>1172.78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74401.73</v>
      </c>
      <c r="I588" s="108">
        <f>SUM(I581:I587)</f>
        <v>0</v>
      </c>
      <c r="J588" s="108">
        <f>SUM(J581:J587)</f>
        <v>24178.63</v>
      </c>
      <c r="K588" s="108">
        <f>SUM(K581:K587)</f>
        <v>98580.36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31765-533.19</f>
        <v>31231.81</v>
      </c>
      <c r="I594" s="18"/>
      <c r="J594" s="18"/>
      <c r="K594" s="104">
        <f>SUM(H594:J594)</f>
        <v>31231.81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31231.81</v>
      </c>
      <c r="I595" s="108">
        <f>SUM(I592:I594)</f>
        <v>0</v>
      </c>
      <c r="J595" s="108">
        <f>SUM(J592:J594)</f>
        <v>0</v>
      </c>
      <c r="K595" s="108">
        <f>SUM(K592:K594)</f>
        <v>31231.81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2456.25+422.76</f>
        <v>2879.01</v>
      </c>
      <c r="G601" s="18">
        <f>220.27+196.98</f>
        <v>417.25</v>
      </c>
      <c r="H601" s="18"/>
      <c r="I601" s="18"/>
      <c r="J601" s="18"/>
      <c r="K601" s="18"/>
      <c r="L601" s="88">
        <f>SUM(F601:K601)</f>
        <v>3296.26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2879.01</v>
      </c>
      <c r="G604" s="108">
        <f t="shared" si="48"/>
        <v>417.25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3296.26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218324.33</v>
      </c>
      <c r="H607" s="109">
        <f>SUM(F44)</f>
        <v>218324.32999999993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12819.619999999999</v>
      </c>
      <c r="H608" s="109">
        <f>SUM(G44)</f>
        <v>12819.620000000004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38799.93</v>
      </c>
      <c r="H609" s="109">
        <f>SUM(H44)</f>
        <v>38799.93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133388.31</v>
      </c>
      <c r="H611" s="109">
        <f>SUM(J44)</f>
        <v>133388.31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182153.92999999993</v>
      </c>
      <c r="H612" s="109">
        <f>F466</f>
        <v>182153.92999999993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12267.840000000004</v>
      </c>
      <c r="H613" s="109">
        <f>G466</f>
        <v>12267.839999999997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133338.31</v>
      </c>
      <c r="H616" s="109">
        <f>J466</f>
        <v>133338.31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1855639.5799999998</v>
      </c>
      <c r="H617" s="104">
        <f>SUM(F458)</f>
        <v>1855639.58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68640.98</v>
      </c>
      <c r="H618" s="104">
        <f>SUM(G458)</f>
        <v>68640.98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208131.13999999998</v>
      </c>
      <c r="H619" s="104">
        <f>SUM(H458)</f>
        <v>208131.14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10871.64</v>
      </c>
      <c r="H621" s="104">
        <f>SUM(J458)</f>
        <v>10871.64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1755353.85</v>
      </c>
      <c r="H622" s="104">
        <f>SUM(F462)</f>
        <v>1755353.85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208131.13999999998</v>
      </c>
      <c r="H623" s="104">
        <f>SUM(H462)</f>
        <v>208131.14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27767.040000000001</v>
      </c>
      <c r="H624" s="104">
        <f>I361</f>
        <v>27767.040000000001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63124.310000000005</v>
      </c>
      <c r="H625" s="104">
        <f>SUM(G462)</f>
        <v>63124.31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10871.64</v>
      </c>
      <c r="H627" s="164">
        <f>SUM(J458)</f>
        <v>10871.64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50</v>
      </c>
      <c r="H628" s="164">
        <f>SUM(J462)</f>
        <v>50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41785.050000000003</v>
      </c>
      <c r="H629" s="104">
        <f>SUM(F451)</f>
        <v>41785.050000000003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91603.26</v>
      </c>
      <c r="H630" s="104">
        <f>SUM(G451)</f>
        <v>91603.26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133388.31</v>
      </c>
      <c r="H632" s="104">
        <f>SUM(I451)</f>
        <v>133388.31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871.64</v>
      </c>
      <c r="H634" s="104">
        <f>H400</f>
        <v>871.64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10871.64</v>
      </c>
      <c r="H636" s="104">
        <f>L400</f>
        <v>10871.64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98580.36</v>
      </c>
      <c r="H637" s="104">
        <f>L200+L218+L236</f>
        <v>98580.360000000015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31231.81</v>
      </c>
      <c r="H638" s="104">
        <f>(J249+J330)-(J247+J328)</f>
        <v>31231.81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74401.73000000001</v>
      </c>
      <c r="H639" s="104">
        <f>H588</f>
        <v>74401.73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24178.629999999997</v>
      </c>
      <c r="H641" s="104">
        <f>J588</f>
        <v>24178.63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26000</v>
      </c>
      <c r="H642" s="104">
        <f>K255+K337</f>
        <v>26000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1361908.5300000003</v>
      </c>
      <c r="G650" s="19">
        <f>(L221+L301+L351)</f>
        <v>0</v>
      </c>
      <c r="H650" s="19">
        <f>(L239+L320+L352)</f>
        <v>562794.94000000006</v>
      </c>
      <c r="I650" s="19">
        <f>SUM(F650:H650)</f>
        <v>1924703.4700000002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13465.16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13465.16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76740.640000000014</v>
      </c>
      <c r="G652" s="19">
        <f>(L218+L298)-(J218+J298)</f>
        <v>0</v>
      </c>
      <c r="H652" s="19">
        <f>(L236+L317)-(J236+J317)</f>
        <v>24178.629999999997</v>
      </c>
      <c r="I652" s="19">
        <f>SUM(F652:H652)</f>
        <v>100919.27000000002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164737.29</v>
      </c>
      <c r="G653" s="200">
        <f>SUM(G565:G577)+SUM(I592:I594)+L602</f>
        <v>0</v>
      </c>
      <c r="H653" s="200">
        <f>SUM(H565:H577)+SUM(J592:J594)+L603</f>
        <v>497387.79</v>
      </c>
      <c r="I653" s="19">
        <f>SUM(F653:H653)</f>
        <v>662125.07999999996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1106965.4400000002</v>
      </c>
      <c r="G654" s="19">
        <f>G650-SUM(G651:G653)</f>
        <v>0</v>
      </c>
      <c r="H654" s="19">
        <f>H650-SUM(H651:H653)</f>
        <v>41228.520000000077</v>
      </c>
      <c r="I654" s="19">
        <f>I650-SUM(I651:I653)</f>
        <v>1148193.9600000002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77.489999999999995</v>
      </c>
      <c r="G655" s="249"/>
      <c r="H655" s="249"/>
      <c r="I655" s="19">
        <f>SUM(F655:H655)</f>
        <v>77.489999999999995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14285.27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14817.32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-41228.519999999997</v>
      </c>
      <c r="I659" s="19">
        <f>SUM(F659:H659)</f>
        <v>-41228.519999999997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14285.27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14285.27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B2A-24DA-4F35-8384-CEDB2A0DD5AA}">
  <sheetPr>
    <tabColor indexed="20"/>
  </sheetPr>
  <dimension ref="A1:C52"/>
  <sheetViews>
    <sheetView workbookViewId="0">
      <selection activeCell="E35" sqref="E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STEWARTSTOWN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229243.22999999998</v>
      </c>
      <c r="C9" s="230">
        <f>'DOE25'!G189+'DOE25'!G207+'DOE25'!G225+'DOE25'!G268+'DOE25'!G287+'DOE25'!G306</f>
        <v>105513.92000000001</v>
      </c>
    </row>
    <row r="10" spans="1:3" x14ac:dyDescent="0.2">
      <c r="A10" t="s">
        <v>813</v>
      </c>
      <c r="B10" s="241">
        <f>190479.96+19827</f>
        <v>210306.96</v>
      </c>
      <c r="C10" s="241">
        <f>C9-C11-C12</f>
        <v>104008.48653500002</v>
      </c>
    </row>
    <row r="11" spans="1:3" x14ac:dyDescent="0.2">
      <c r="A11" t="s">
        <v>814</v>
      </c>
      <c r="B11" s="241">
        <v>14816.27</v>
      </c>
      <c r="C11" s="241">
        <f>B11*0.0795</f>
        <v>1177.8934650000001</v>
      </c>
    </row>
    <row r="12" spans="1:3" x14ac:dyDescent="0.2">
      <c r="A12" t="s">
        <v>815</v>
      </c>
      <c r="B12" s="241">
        <v>4120</v>
      </c>
      <c r="C12" s="241">
        <f>B12*0.0795</f>
        <v>327.54000000000002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229243.22999999998</v>
      </c>
      <c r="C13" s="232">
        <f>SUM(C10:C12)</f>
        <v>105513.92000000001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151799.33000000002</v>
      </c>
      <c r="C18" s="230">
        <f>'DOE25'!G190+'DOE25'!G208+'DOE25'!G226+'DOE25'!G269+'DOE25'!G288+'DOE25'!G307</f>
        <v>48091.460000000006</v>
      </c>
    </row>
    <row r="19" spans="1:3" x14ac:dyDescent="0.2">
      <c r="A19" t="s">
        <v>813</v>
      </c>
      <c r="B19" s="241">
        <f>42962.5+68900</f>
        <v>111862.5</v>
      </c>
      <c r="C19" s="241">
        <f>C18-C20-C21</f>
        <v>44916.482015000009</v>
      </c>
    </row>
    <row r="20" spans="1:3" x14ac:dyDescent="0.2">
      <c r="A20" t="s">
        <v>814</v>
      </c>
      <c r="B20" s="241">
        <f>26297.1+12873.83</f>
        <v>39170.93</v>
      </c>
      <c r="C20" s="241">
        <f>B20*0.0795</f>
        <v>3114.0889350000002</v>
      </c>
    </row>
    <row r="21" spans="1:3" x14ac:dyDescent="0.2">
      <c r="A21" t="s">
        <v>815</v>
      </c>
      <c r="B21" s="241">
        <v>765.9</v>
      </c>
      <c r="C21" s="241">
        <f>B21*0.0795</f>
        <v>60.889049999999997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151799.32999999999</v>
      </c>
      <c r="C22" s="232">
        <f>SUM(C19:C21)</f>
        <v>48091.460000000006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12926.300000000001</v>
      </c>
      <c r="C36" s="236">
        <f>'DOE25'!G192+'DOE25'!G210+'DOE25'!G228+'DOE25'!G271+'DOE25'!G290+'DOE25'!G309</f>
        <v>1681.99</v>
      </c>
    </row>
    <row r="37" spans="1:3" x14ac:dyDescent="0.2">
      <c r="A37" t="s">
        <v>813</v>
      </c>
      <c r="B37" s="241">
        <f>2456.25+4082.77+1300.71</f>
        <v>7839.7300000000005</v>
      </c>
      <c r="C37" s="241">
        <f>C36-C38</f>
        <v>1277.6076849999999</v>
      </c>
    </row>
    <row r="38" spans="1:3" x14ac:dyDescent="0.2">
      <c r="A38" t="s">
        <v>814</v>
      </c>
      <c r="B38" s="241">
        <f>422.76+4381.25+281.41+1.15</f>
        <v>5086.57</v>
      </c>
      <c r="C38" s="241">
        <f>B38*0.0795</f>
        <v>404.38231500000001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12926.3</v>
      </c>
      <c r="C40" s="232">
        <f>SUM(C37:C39)</f>
        <v>1681.99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91A0-5472-446A-AFA4-DDB62A3F3E06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STEWARTSTOWN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1118890.48</v>
      </c>
      <c r="D5" s="20">
        <f>SUM('DOE25'!L189:L192)+SUM('DOE25'!L207:L210)+SUM('DOE25'!L225:L228)-F5-G5</f>
        <v>1116524.96</v>
      </c>
      <c r="E5" s="244"/>
      <c r="F5" s="256">
        <f>SUM('DOE25'!J189:J192)+SUM('DOE25'!J207:J210)+SUM('DOE25'!J225:J228)</f>
        <v>1944.27</v>
      </c>
      <c r="G5" s="53">
        <f>SUM('DOE25'!K189:K192)+SUM('DOE25'!K207:K210)+SUM('DOE25'!K225:K228)</f>
        <v>421.25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110416.81</v>
      </c>
      <c r="D6" s="20">
        <f>'DOE25'!L194+'DOE25'!L212+'DOE25'!L230-F6-G6</f>
        <v>107882.25</v>
      </c>
      <c r="E6" s="244"/>
      <c r="F6" s="256">
        <f>'DOE25'!J194+'DOE25'!J212+'DOE25'!J230</f>
        <v>1814.56</v>
      </c>
      <c r="G6" s="53">
        <f>'DOE25'!K194+'DOE25'!K212+'DOE25'!K230</f>
        <v>720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29783.119999999999</v>
      </c>
      <c r="D7" s="20">
        <f>'DOE25'!L195+'DOE25'!L213+'DOE25'!L231-F7-G7</f>
        <v>28548.12</v>
      </c>
      <c r="E7" s="244"/>
      <c r="F7" s="256">
        <f>'DOE25'!J195+'DOE25'!J213+'DOE25'!J231</f>
        <v>0</v>
      </c>
      <c r="G7" s="53">
        <f>'DOE25'!K195+'DOE25'!K213+'DOE25'!K231</f>
        <v>1235</v>
      </c>
      <c r="H7" s="260"/>
    </row>
    <row r="8" spans="1:9" x14ac:dyDescent="0.2">
      <c r="A8" s="32">
        <v>2300</v>
      </c>
      <c r="B8" t="s">
        <v>836</v>
      </c>
      <c r="C8" s="246">
        <f t="shared" si="0"/>
        <v>49365.77</v>
      </c>
      <c r="D8" s="244"/>
      <c r="E8" s="20">
        <f>'DOE25'!L196+'DOE25'!L214+'DOE25'!L232-F8-G8-D9-D11</f>
        <v>46484.289999999994</v>
      </c>
      <c r="F8" s="256">
        <f>'DOE25'!J196+'DOE25'!J214+'DOE25'!J232</f>
        <v>0</v>
      </c>
      <c r="G8" s="53">
        <f>'DOE25'!K196+'DOE25'!K214+'DOE25'!K232</f>
        <v>2881.48</v>
      </c>
      <c r="H8" s="260"/>
    </row>
    <row r="9" spans="1:9" x14ac:dyDescent="0.2">
      <c r="A9" s="32">
        <v>2310</v>
      </c>
      <c r="B9" t="s">
        <v>852</v>
      </c>
      <c r="C9" s="246">
        <f t="shared" si="0"/>
        <v>19671.150000000001</v>
      </c>
      <c r="D9" s="245">
        <v>19671.150000000001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6200</v>
      </c>
      <c r="D10" s="244"/>
      <c r="E10" s="245">
        <v>6200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22934.23</v>
      </c>
      <c r="D11" s="245">
        <v>22934.23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99562.790000000008</v>
      </c>
      <c r="D12" s="20">
        <f>'DOE25'!L197+'DOE25'!L215+'DOE25'!L233-F12-G12</f>
        <v>98187.790000000008</v>
      </c>
      <c r="E12" s="244"/>
      <c r="F12" s="256">
        <f>'DOE25'!J197+'DOE25'!J215+'DOE25'!J233</f>
        <v>0</v>
      </c>
      <c r="G12" s="53">
        <f>'DOE25'!K197+'DOE25'!K215+'DOE25'!K233</f>
        <v>1375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105521.64000000001</v>
      </c>
      <c r="D14" s="20">
        <f>'DOE25'!L199+'DOE25'!L217+'DOE25'!L235-F14-G14</f>
        <v>100830.09000000001</v>
      </c>
      <c r="E14" s="244"/>
      <c r="F14" s="256">
        <f>'DOE25'!J199+'DOE25'!J217+'DOE25'!J235</f>
        <v>3024.05</v>
      </c>
      <c r="G14" s="53">
        <f>'DOE25'!K199+'DOE25'!K217+'DOE25'!K235</f>
        <v>1667.5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98580.360000000015</v>
      </c>
      <c r="D15" s="20">
        <f>'DOE25'!L200+'DOE25'!L218+'DOE25'!L236-F15-G15</f>
        <v>98401.360000000015</v>
      </c>
      <c r="E15" s="244"/>
      <c r="F15" s="256">
        <f>'DOE25'!J200+'DOE25'!J218+'DOE25'!J236</f>
        <v>0</v>
      </c>
      <c r="G15" s="53">
        <f>'DOE25'!K200+'DOE25'!K218+'DOE25'!K236</f>
        <v>179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64627.5</v>
      </c>
      <c r="D25" s="244"/>
      <c r="E25" s="244"/>
      <c r="F25" s="259"/>
      <c r="G25" s="257"/>
      <c r="H25" s="258">
        <f>'DOE25'!L252+'DOE25'!L253+'DOE25'!L333+'DOE25'!L334</f>
        <v>64627.5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39313.010000000009</v>
      </c>
      <c r="D29" s="20">
        <f>'DOE25'!L350+'DOE25'!L351+'DOE25'!L352-'DOE25'!I359-F29-G29</f>
        <v>38106.570000000007</v>
      </c>
      <c r="E29" s="244"/>
      <c r="F29" s="256">
        <f>'DOE25'!J350+'DOE25'!J351+'DOE25'!J352</f>
        <v>533.19000000000005</v>
      </c>
      <c r="G29" s="53">
        <f>'DOE25'!K350+'DOE25'!K351+'DOE25'!K352</f>
        <v>673.25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208131.13999999998</v>
      </c>
      <c r="D31" s="20">
        <f>'DOE25'!L282+'DOE25'!L301+'DOE25'!L320+'DOE25'!L325+'DOE25'!L326+'DOE25'!L327-F31-G31</f>
        <v>181803.55</v>
      </c>
      <c r="E31" s="244"/>
      <c r="F31" s="256">
        <f>'DOE25'!J282+'DOE25'!J301+'DOE25'!J320+'DOE25'!J325+'DOE25'!J326+'DOE25'!J327</f>
        <v>24448.93</v>
      </c>
      <c r="G31" s="53">
        <f>'DOE25'!K282+'DOE25'!K301+'DOE25'!K320+'DOE25'!K325+'DOE25'!K326+'DOE25'!K327</f>
        <v>1878.6599999999999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1812890.0700000003</v>
      </c>
      <c r="E33" s="247">
        <f>SUM(E5:E31)</f>
        <v>52684.289999999994</v>
      </c>
      <c r="F33" s="247">
        <f>SUM(F5:F31)</f>
        <v>31765</v>
      </c>
      <c r="G33" s="247">
        <f>SUM(G5:G31)</f>
        <v>11031.14</v>
      </c>
      <c r="H33" s="247">
        <f>SUM(H5:H31)</f>
        <v>64627.5</v>
      </c>
    </row>
    <row r="35" spans="2:8" ht="12" thickBot="1" x14ac:dyDescent="0.25">
      <c r="B35" s="254" t="s">
        <v>881</v>
      </c>
      <c r="D35" s="255">
        <f>E33</f>
        <v>52684.289999999994</v>
      </c>
      <c r="E35" s="250"/>
    </row>
    <row r="36" spans="2:8" ht="12" thickTop="1" x14ac:dyDescent="0.2">
      <c r="B36" t="s">
        <v>849</v>
      </c>
      <c r="D36" s="20">
        <f>D33</f>
        <v>1812890.0700000003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56EA-6E47-4425-AECE-8080099FE09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183524.36</v>
      </c>
      <c r="D9" s="95">
        <f>'DOE25'!G9</f>
        <v>2179.19</v>
      </c>
      <c r="E9" s="95">
        <f>'DOE25'!H9</f>
        <v>0</v>
      </c>
      <c r="F9" s="95">
        <f>'DOE25'!I9</f>
        <v>0</v>
      </c>
      <c r="G9" s="95">
        <f>'DOE25'!J9</f>
        <v>133388.31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26755.439999999999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2384.61</v>
      </c>
      <c r="D13" s="95">
        <f>'DOE25'!G13</f>
        <v>7386.99</v>
      </c>
      <c r="E13" s="95">
        <f>'DOE25'!H13</f>
        <v>38799.93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5659.92</v>
      </c>
      <c r="D14" s="95">
        <f>'DOE25'!G14</f>
        <v>2.4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3251.04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218324.33</v>
      </c>
      <c r="D19" s="41">
        <f>SUM(D9:D18)</f>
        <v>12819.619999999999</v>
      </c>
      <c r="E19" s="41">
        <f>SUM(E9:E18)</f>
        <v>38799.93</v>
      </c>
      <c r="F19" s="41">
        <f>SUM(F9:F18)</f>
        <v>0</v>
      </c>
      <c r="G19" s="41">
        <f>SUM(G9:G18)</f>
        <v>133388.31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220.8</v>
      </c>
      <c r="E22" s="95">
        <f>'DOE25'!H23</f>
        <v>26534.639999999999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23395.31</v>
      </c>
      <c r="D24" s="95">
        <f>'DOE25'!G25</f>
        <v>330.98</v>
      </c>
      <c r="E24" s="95">
        <f>'DOE25'!H25</f>
        <v>0</v>
      </c>
      <c r="F24" s="95">
        <f>'DOE25'!I25</f>
        <v>0</v>
      </c>
      <c r="G24" s="95">
        <f>'DOE25'!J25</f>
        <v>50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12775.09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12265.29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36170.400000000001</v>
      </c>
      <c r="D32" s="41">
        <f>SUM(D22:D31)</f>
        <v>551.78</v>
      </c>
      <c r="E32" s="41">
        <f>SUM(E22:E31)</f>
        <v>38799.93</v>
      </c>
      <c r="F32" s="41">
        <f>SUM(F22:F31)</f>
        <v>0</v>
      </c>
      <c r="G32" s="41">
        <f>SUM(G22:G31)</f>
        <v>50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3251.04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5728.28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9016.8000000000029</v>
      </c>
      <c r="E40" s="95">
        <f>'DOE25'!H41</f>
        <v>0</v>
      </c>
      <c r="F40" s="95">
        <f>'DOE25'!I41</f>
        <v>0</v>
      </c>
      <c r="G40" s="95">
        <f>'DOE25'!J41</f>
        <v>133338.31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176425.64999999994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182153.92999999993</v>
      </c>
      <c r="D42" s="41">
        <f>SUM(D34:D41)</f>
        <v>12267.840000000004</v>
      </c>
      <c r="E42" s="41">
        <f>SUM(E34:E41)</f>
        <v>0</v>
      </c>
      <c r="F42" s="41">
        <f>SUM(F34:F41)</f>
        <v>0</v>
      </c>
      <c r="G42" s="41">
        <f>SUM(G34:G41)</f>
        <v>133338.31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218324.32999999993</v>
      </c>
      <c r="D43" s="41">
        <f>D42+D32</f>
        <v>12819.620000000004</v>
      </c>
      <c r="E43" s="41">
        <f>E42+E32</f>
        <v>38799.93</v>
      </c>
      <c r="F43" s="41">
        <f>F42+F32</f>
        <v>0</v>
      </c>
      <c r="G43" s="41">
        <f>G42+G32</f>
        <v>133388.31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1004160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337.88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871.64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13465.16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4285.29</v>
      </c>
      <c r="D53" s="95">
        <f>SUM('DOE25'!G90:G102)</f>
        <v>0</v>
      </c>
      <c r="E53" s="95">
        <f>SUM('DOE25'!H90:H102)</f>
        <v>9466.51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4623.17</v>
      </c>
      <c r="D54" s="130">
        <f>SUM(D49:D53)</f>
        <v>13465.16</v>
      </c>
      <c r="E54" s="130">
        <f>SUM(E49:E53)</f>
        <v>9466.51</v>
      </c>
      <c r="F54" s="130">
        <f>SUM(F49:F53)</f>
        <v>0</v>
      </c>
      <c r="G54" s="130">
        <f>SUM(G49:G53)</f>
        <v>871.64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1008783.17</v>
      </c>
      <c r="D55" s="22">
        <f>D48+D54</f>
        <v>13465.16</v>
      </c>
      <c r="E55" s="22">
        <f>E48+E54</f>
        <v>9466.51</v>
      </c>
      <c r="F55" s="22">
        <f>F48+F54</f>
        <v>0</v>
      </c>
      <c r="G55" s="22">
        <f>G48+G54</f>
        <v>871.64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419862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182330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161088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763280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14086.26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47486.42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816.59</v>
      </c>
      <c r="D69" s="95">
        <f>SUM('DOE25'!G123:G127)</f>
        <v>738.06</v>
      </c>
      <c r="E69" s="95">
        <f>SUM('DOE25'!H123:H127)</f>
        <v>3375.21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62389.27</v>
      </c>
      <c r="D70" s="130">
        <f>SUM(D64:D69)</f>
        <v>738.06</v>
      </c>
      <c r="E70" s="130">
        <f>SUM(E64:E69)</f>
        <v>3375.21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825669.27</v>
      </c>
      <c r="D73" s="130">
        <f>SUM(D71:D72)+D70+D62</f>
        <v>738.06</v>
      </c>
      <c r="E73" s="130">
        <f>SUM(E71:E72)+E70+E62</f>
        <v>3375.21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4993.1400000000003</v>
      </c>
      <c r="D80" s="95">
        <f>SUM('DOE25'!G145:G153)</f>
        <v>28437.759999999998</v>
      </c>
      <c r="E80" s="95">
        <f>SUM('DOE25'!H145:H153)</f>
        <v>195289.41999999998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4993.1400000000003</v>
      </c>
      <c r="D83" s="131">
        <f>SUM(D77:D82)</f>
        <v>28437.759999999998</v>
      </c>
      <c r="E83" s="131">
        <f>SUM(E77:E82)</f>
        <v>195289.41999999998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16194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26000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16194</v>
      </c>
      <c r="D95" s="86">
        <f>SUM(D85:D94)</f>
        <v>26000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1855639.5799999998</v>
      </c>
      <c r="D96" s="86">
        <f>D55+D73+D83+D95</f>
        <v>68640.98</v>
      </c>
      <c r="E96" s="86">
        <f>E55+E73+E83+E95</f>
        <v>208131.13999999998</v>
      </c>
      <c r="F96" s="86">
        <f>F55+F73+F83+F95</f>
        <v>0</v>
      </c>
      <c r="G96" s="86">
        <f>G55+G73+G95</f>
        <v>10871.64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907455.89</v>
      </c>
      <c r="D101" s="24" t="s">
        <v>312</v>
      </c>
      <c r="E101" s="95">
        <f>('DOE25'!L268)+('DOE25'!L287)+('DOE25'!L306)</f>
        <v>28917.800000000003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211130.41</v>
      </c>
      <c r="D102" s="24" t="s">
        <v>312</v>
      </c>
      <c r="E102" s="95">
        <f>('DOE25'!L269)+('DOE25'!L288)+('DOE25'!L307)</f>
        <v>115010.89000000001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304.18</v>
      </c>
      <c r="D104" s="24" t="s">
        <v>312</v>
      </c>
      <c r="E104" s="95">
        <f>+('DOE25'!L271)+('DOE25'!L290)+('DOE25'!L309)</f>
        <v>14463.690000000002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1278.33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1118890.48</v>
      </c>
      <c r="D107" s="86">
        <f>SUM(D101:D106)</f>
        <v>0</v>
      </c>
      <c r="E107" s="86">
        <f>SUM(E101:E106)</f>
        <v>159670.71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110416.81</v>
      </c>
      <c r="D110" s="24" t="s">
        <v>312</v>
      </c>
      <c r="E110" s="95">
        <f>+('DOE25'!L273)+('DOE25'!L292)+('DOE25'!L311)</f>
        <v>5453.34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29783.119999999999</v>
      </c>
      <c r="D111" s="24" t="s">
        <v>312</v>
      </c>
      <c r="E111" s="95">
        <f>+('DOE25'!L274)+('DOE25'!L293)+('DOE25'!L312)</f>
        <v>27520.780000000002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91971.15</v>
      </c>
      <c r="D112" s="24" t="s">
        <v>312</v>
      </c>
      <c r="E112" s="95">
        <f>+('DOE25'!L275)+('DOE25'!L294)+('DOE25'!L313)</f>
        <v>11647.4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99562.790000000008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1500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105521.64000000001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98580.360000000015</v>
      </c>
      <c r="D116" s="24" t="s">
        <v>312</v>
      </c>
      <c r="E116" s="95">
        <f>+('DOE25'!L279)+('DOE25'!L298)+('DOE25'!L317)</f>
        <v>2338.91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63124.310000000005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535835.87</v>
      </c>
      <c r="D120" s="86">
        <f>SUM(D110:D119)</f>
        <v>63124.310000000005</v>
      </c>
      <c r="E120" s="86">
        <f>SUM(E110:E119)</f>
        <v>48460.430000000008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19627.5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50</v>
      </c>
    </row>
    <row r="127" spans="1:7" x14ac:dyDescent="0.2">
      <c r="A127" t="s">
        <v>256</v>
      </c>
      <c r="B127" s="32" t="s">
        <v>257</v>
      </c>
      <c r="C127" s="95">
        <f>'DOE25'!L255</f>
        <v>26000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10140.14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731.5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-871.63999999999942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100627.5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50</v>
      </c>
    </row>
    <row r="137" spans="1:9" ht="12.75" thickTop="1" thickBot="1" x14ac:dyDescent="0.25">
      <c r="A137" s="33" t="s">
        <v>267</v>
      </c>
      <c r="C137" s="86">
        <f>(C107+C120+C136)</f>
        <v>1755353.85</v>
      </c>
      <c r="D137" s="86">
        <f>(D107+D120+D136)</f>
        <v>63124.310000000005</v>
      </c>
      <c r="E137" s="86">
        <f>(E107+E120+E136)</f>
        <v>208131.14</v>
      </c>
      <c r="F137" s="86">
        <f>(F107+F120+F136)</f>
        <v>0</v>
      </c>
      <c r="G137" s="86">
        <f>(G107+G120+G136)</f>
        <v>50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20</v>
      </c>
      <c r="D143" s="153">
        <f>'DOE25'!H480</f>
        <v>20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 t="str">
        <f>'DOE25'!G481</f>
        <v>08/1997</v>
      </c>
      <c r="D144" s="152" t="str">
        <f>'DOE25'!H481</f>
        <v>08-1997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 t="str">
        <f>'DOE25'!G482</f>
        <v>08-2017</v>
      </c>
      <c r="D145" s="152" t="str">
        <f>'DOE25'!H482</f>
        <v>08-2017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249438</v>
      </c>
      <c r="D146" s="137">
        <f>'DOE25'!H483</f>
        <v>748312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5.01</v>
      </c>
      <c r="D147" s="137">
        <f>'DOE25'!H484</f>
        <v>4.9800000000000004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90000</v>
      </c>
      <c r="D148" s="137">
        <f>'DOE25'!H485</f>
        <v>315000</v>
      </c>
      <c r="E148" s="137">
        <f>'DOE25'!I485</f>
        <v>0</v>
      </c>
      <c r="F148" s="137">
        <f>'DOE25'!J485</f>
        <v>0</v>
      </c>
      <c r="G148" s="138">
        <f>SUM(B148:F148)</f>
        <v>405000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10000</v>
      </c>
      <c r="D150" s="137">
        <f>'DOE25'!H487</f>
        <v>35000</v>
      </c>
      <c r="E150" s="137">
        <f>'DOE25'!I487</f>
        <v>0</v>
      </c>
      <c r="F150" s="137">
        <f>'DOE25'!J487</f>
        <v>0</v>
      </c>
      <c r="G150" s="138">
        <f t="shared" si="0"/>
        <v>45000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80000</v>
      </c>
      <c r="D151" s="137">
        <f>'DOE25'!H488</f>
        <v>280000</v>
      </c>
      <c r="E151" s="137">
        <f>'DOE25'!I488</f>
        <v>0</v>
      </c>
      <c r="F151" s="137">
        <f>'DOE25'!J488</f>
        <v>0</v>
      </c>
      <c r="G151" s="138">
        <f t="shared" si="0"/>
        <v>360000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16772.5</v>
      </c>
      <c r="D152" s="137">
        <f>'DOE25'!H489</f>
        <v>57916.25</v>
      </c>
      <c r="E152" s="137">
        <f>'DOE25'!I489</f>
        <v>0</v>
      </c>
      <c r="F152" s="137">
        <f>'DOE25'!J489</f>
        <v>0</v>
      </c>
      <c r="G152" s="138">
        <f t="shared" si="0"/>
        <v>74688.75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96772.5</v>
      </c>
      <c r="D153" s="137">
        <f>'DOE25'!H490</f>
        <v>337916.25</v>
      </c>
      <c r="E153" s="137">
        <f>'DOE25'!I490</f>
        <v>0</v>
      </c>
      <c r="F153" s="137">
        <f>'DOE25'!J490</f>
        <v>0</v>
      </c>
      <c r="G153" s="138">
        <f t="shared" si="0"/>
        <v>434688.75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10000</v>
      </c>
      <c r="D154" s="137">
        <f>'DOE25'!H491</f>
        <v>35000</v>
      </c>
      <c r="E154" s="137">
        <f>'DOE25'!I491</f>
        <v>0</v>
      </c>
      <c r="F154" s="137">
        <f>'DOE25'!J491</f>
        <v>0</v>
      </c>
      <c r="G154" s="138">
        <f t="shared" si="0"/>
        <v>45000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3902.5</v>
      </c>
      <c r="D155" s="137">
        <f>'DOE25'!H492</f>
        <v>13492.5</v>
      </c>
      <c r="E155" s="137">
        <f>'DOE25'!I492</f>
        <v>0</v>
      </c>
      <c r="F155" s="137">
        <f>'DOE25'!J492</f>
        <v>0</v>
      </c>
      <c r="G155" s="138">
        <f t="shared" si="0"/>
        <v>17395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13902.5</v>
      </c>
      <c r="D156" s="137">
        <f>'DOE25'!H493</f>
        <v>48492.5</v>
      </c>
      <c r="E156" s="137">
        <f>'DOE25'!I493</f>
        <v>0</v>
      </c>
      <c r="F156" s="137">
        <f>'DOE25'!J493</f>
        <v>0</v>
      </c>
      <c r="G156" s="138">
        <f t="shared" si="0"/>
        <v>62395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FC59-00D8-499C-88A8-852F32454AEC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STEWARTSTOWN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14285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14285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936374</v>
      </c>
      <c r="D10" s="182">
        <f>ROUND((C10/$C$28)*100,1)</f>
        <v>48.5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326141</v>
      </c>
      <c r="D11" s="182">
        <f>ROUND((C11/$C$28)*100,1)</f>
        <v>16.899999999999999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14768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115870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57304</v>
      </c>
      <c r="D16" s="182">
        <f t="shared" si="0"/>
        <v>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103619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99563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1500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105522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100919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1278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19628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49658.84</v>
      </c>
      <c r="D27" s="182">
        <f t="shared" si="0"/>
        <v>2.6</v>
      </c>
    </row>
    <row r="28" spans="1:4" x14ac:dyDescent="0.2">
      <c r="B28" s="187" t="s">
        <v>754</v>
      </c>
      <c r="C28" s="180">
        <f>SUM(C10:C27)</f>
        <v>1932144.84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1932144.84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1004160</v>
      </c>
      <c r="D35" s="182">
        <f t="shared" ref="D35:D40" si="1">ROUND((C35/$C$41)*100,1)</f>
        <v>48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31155.320000000065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602192</v>
      </c>
      <c r="D37" s="182">
        <f t="shared" si="1"/>
        <v>28.8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227591</v>
      </c>
      <c r="D38" s="182">
        <f t="shared" si="1"/>
        <v>10.9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228720</v>
      </c>
      <c r="D39" s="182">
        <f t="shared" si="1"/>
        <v>10.9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2093818.32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431F-6723-4335-BA2F-B6431A0CB07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STEWARTSTOWN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IC40:IM40"/>
    <mergeCell ref="CC40:CM40"/>
    <mergeCell ref="CP40:CZ40"/>
    <mergeCell ref="DC40:DM40"/>
    <mergeCell ref="DP40:DZ40"/>
    <mergeCell ref="FC40:F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FP39:FZ39"/>
    <mergeCell ref="EC38:EM38"/>
    <mergeCell ref="DP38:DZ38"/>
    <mergeCell ref="C51:M51"/>
    <mergeCell ref="P39:Z39"/>
    <mergeCell ref="AC39:AM39"/>
    <mergeCell ref="AP39:AZ39"/>
    <mergeCell ref="C50:M50"/>
    <mergeCell ref="C47:M47"/>
    <mergeCell ref="C48:M48"/>
    <mergeCell ref="C49:M49"/>
    <mergeCell ref="CC32:CM32"/>
    <mergeCell ref="AP32:AZ32"/>
    <mergeCell ref="CC38:CM38"/>
    <mergeCell ref="IC38:IM38"/>
    <mergeCell ref="EP38:EZ38"/>
    <mergeCell ref="FC38:FM38"/>
    <mergeCell ref="FP38:FZ38"/>
    <mergeCell ref="GC38:GM38"/>
    <mergeCell ref="CP38:CZ38"/>
    <mergeCell ref="DC38:DM38"/>
    <mergeCell ref="BP39:BZ39"/>
    <mergeCell ref="BC40:BM40"/>
    <mergeCell ref="BP40:BZ40"/>
    <mergeCell ref="AP40:AZ40"/>
    <mergeCell ref="P38:Z38"/>
    <mergeCell ref="P32:Z32"/>
    <mergeCell ref="AC32:AM32"/>
    <mergeCell ref="P40:Z40"/>
    <mergeCell ref="HC32:HM32"/>
    <mergeCell ref="DC32:DM32"/>
    <mergeCell ref="DP32:DZ32"/>
    <mergeCell ref="FC31:FM31"/>
    <mergeCell ref="EP32:EZ32"/>
    <mergeCell ref="GP32:GZ32"/>
    <mergeCell ref="EC32:EM32"/>
    <mergeCell ref="HP31:HZ31"/>
    <mergeCell ref="GC31:GM31"/>
    <mergeCell ref="GP31:GZ31"/>
    <mergeCell ref="HC31:HM31"/>
    <mergeCell ref="CP31:CZ31"/>
    <mergeCell ref="DC31:DM31"/>
    <mergeCell ref="EC31:EM31"/>
    <mergeCell ref="EP31:EZ31"/>
    <mergeCell ref="DP31:DZ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EC30:EM30"/>
    <mergeCell ref="EP30:EZ30"/>
    <mergeCell ref="BC31:BM31"/>
    <mergeCell ref="BC32:BM32"/>
    <mergeCell ref="BP32:BZ32"/>
    <mergeCell ref="BC39:BM39"/>
    <mergeCell ref="BP31:BZ31"/>
    <mergeCell ref="BC38:BM38"/>
    <mergeCell ref="BP38:BZ38"/>
    <mergeCell ref="CC31:CM31"/>
    <mergeCell ref="BC30:BM30"/>
    <mergeCell ref="BP30:BZ30"/>
    <mergeCell ref="CC30:CM30"/>
    <mergeCell ref="CP30:CZ30"/>
    <mergeCell ref="DC30:DM30"/>
    <mergeCell ref="DP30:DZ30"/>
    <mergeCell ref="IP30:IV30"/>
    <mergeCell ref="FC30:FM30"/>
    <mergeCell ref="FP30:FZ30"/>
    <mergeCell ref="GC30:GM30"/>
    <mergeCell ref="GP30:GZ30"/>
    <mergeCell ref="HP30:HZ30"/>
    <mergeCell ref="IC30:IM30"/>
    <mergeCell ref="HC30:H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AC40:AM4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P29:Z29"/>
    <mergeCell ref="C8:M8"/>
    <mergeCell ref="C9:M9"/>
    <mergeCell ref="C12:M12"/>
    <mergeCell ref="C13:M13"/>
    <mergeCell ref="C10:M10"/>
    <mergeCell ref="C11:M11"/>
    <mergeCell ref="A1:I1"/>
    <mergeCell ref="C3:M3"/>
    <mergeCell ref="C4:M4"/>
    <mergeCell ref="F2:I2"/>
    <mergeCell ref="C5:M5"/>
    <mergeCell ref="C6:M6"/>
    <mergeCell ref="C24:M24"/>
    <mergeCell ref="C28:M28"/>
    <mergeCell ref="C21:M21"/>
    <mergeCell ref="C22:M22"/>
    <mergeCell ref="C23:M23"/>
    <mergeCell ref="A2:E2"/>
    <mergeCell ref="C7:M7"/>
    <mergeCell ref="C14:M14"/>
    <mergeCell ref="C15:M15"/>
    <mergeCell ref="C16:M16"/>
    <mergeCell ref="C17:M17"/>
    <mergeCell ref="C18:M18"/>
    <mergeCell ref="C19:M19"/>
    <mergeCell ref="C57:M57"/>
    <mergeCell ref="C36:M36"/>
    <mergeCell ref="C43:M43"/>
    <mergeCell ref="C52:M52"/>
    <mergeCell ref="C44:M44"/>
    <mergeCell ref="C42:M42"/>
    <mergeCell ref="A72:E72"/>
    <mergeCell ref="C73:M73"/>
    <mergeCell ref="C34:M34"/>
    <mergeCell ref="C35:M35"/>
    <mergeCell ref="C65:M65"/>
    <mergeCell ref="C66:M66"/>
    <mergeCell ref="C53:M53"/>
    <mergeCell ref="C54:M54"/>
    <mergeCell ref="C55:M55"/>
    <mergeCell ref="C56:M56"/>
    <mergeCell ref="C67:M67"/>
    <mergeCell ref="C68:M68"/>
    <mergeCell ref="C69:M69"/>
    <mergeCell ref="C70:M70"/>
    <mergeCell ref="C58:M58"/>
    <mergeCell ref="C59:M59"/>
    <mergeCell ref="C61:M61"/>
    <mergeCell ref="C60:M60"/>
    <mergeCell ref="C20:M20"/>
    <mergeCell ref="C29:M29"/>
    <mergeCell ref="C25:M25"/>
    <mergeCell ref="C26:M26"/>
    <mergeCell ref="C27:M27"/>
    <mergeCell ref="C80:M80"/>
    <mergeCell ref="C74:M74"/>
    <mergeCell ref="C62:M62"/>
    <mergeCell ref="C63:M63"/>
    <mergeCell ref="C64:M64"/>
    <mergeCell ref="C88:M88"/>
    <mergeCell ref="C83:M83"/>
    <mergeCell ref="C84:M84"/>
    <mergeCell ref="C85:M85"/>
    <mergeCell ref="C89:M89"/>
    <mergeCell ref="C90:M90"/>
    <mergeCell ref="C75:M75"/>
    <mergeCell ref="C76:M76"/>
    <mergeCell ref="C86:M86"/>
    <mergeCell ref="C87:M87"/>
    <mergeCell ref="C77:M77"/>
    <mergeCell ref="C78:M78"/>
    <mergeCell ref="C79:M79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2010-09-08T19:02:07Z</cp:lastPrinted>
  <dcterms:created xsi:type="dcterms:W3CDTF">1997-12-04T19:04:30Z</dcterms:created>
  <dcterms:modified xsi:type="dcterms:W3CDTF">2025-01-09T20:23:39Z</dcterms:modified>
</cp:coreProperties>
</file>