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018210CE-FE0B-4C76-93E5-C48EBF7EA417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F2C030AE-3FB4-415A-9E1C-B86F4B51352C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G462" i="1"/>
  <c r="F462" i="1"/>
  <c r="H622" i="1" s="1"/>
  <c r="I350" i="1"/>
  <c r="I354" i="1" s="1"/>
  <c r="G624" i="1" s="1"/>
  <c r="H196" i="1"/>
  <c r="K196" i="1"/>
  <c r="F9" i="1"/>
  <c r="C39" i="12"/>
  <c r="C38" i="12"/>
  <c r="C37" i="12"/>
  <c r="C40" i="12" s="1"/>
  <c r="B37" i="12"/>
  <c r="B40" i="12" s="1"/>
  <c r="B39" i="12"/>
  <c r="B21" i="12"/>
  <c r="C20" i="12"/>
  <c r="C21" i="12"/>
  <c r="C19" i="12"/>
  <c r="D9" i="13"/>
  <c r="C12" i="12"/>
  <c r="C13" i="12" s="1"/>
  <c r="C10" i="12"/>
  <c r="B12" i="12"/>
  <c r="F601" i="1"/>
  <c r="H585" i="1"/>
  <c r="K585" i="1" s="1"/>
  <c r="H571" i="1"/>
  <c r="I571" i="1" s="1"/>
  <c r="H567" i="1"/>
  <c r="H653" i="1" s="1"/>
  <c r="H565" i="1"/>
  <c r="I516" i="1"/>
  <c r="G516" i="1"/>
  <c r="G519" i="1" s="1"/>
  <c r="F516" i="1"/>
  <c r="F519" i="1" s="1"/>
  <c r="H516" i="1"/>
  <c r="H513" i="1"/>
  <c r="L513" i="1" s="1"/>
  <c r="F541" i="1" s="1"/>
  <c r="J511" i="1"/>
  <c r="I511" i="1"/>
  <c r="H511" i="1"/>
  <c r="H226" i="1"/>
  <c r="L226" i="1" s="1"/>
  <c r="L239" i="1" s="1"/>
  <c r="H650" i="1" s="1"/>
  <c r="H654" i="1" s="1"/>
  <c r="H190" i="1"/>
  <c r="L190" i="1" s="1"/>
  <c r="F30" i="1"/>
  <c r="C29" i="2" s="1"/>
  <c r="G511" i="1"/>
  <c r="F190" i="1"/>
  <c r="F511" i="1"/>
  <c r="L511" i="1" s="1"/>
  <c r="F360" i="1"/>
  <c r="H350" i="1"/>
  <c r="H354" i="1" s="1"/>
  <c r="G350" i="1"/>
  <c r="F350" i="1"/>
  <c r="H200" i="1"/>
  <c r="H199" i="1"/>
  <c r="J199" i="1"/>
  <c r="G199" i="1"/>
  <c r="G203" i="1" s="1"/>
  <c r="G249" i="1" s="1"/>
  <c r="G263" i="1" s="1"/>
  <c r="F199" i="1"/>
  <c r="L199" i="1" s="1"/>
  <c r="I198" i="1"/>
  <c r="H198" i="1"/>
  <c r="G198" i="1"/>
  <c r="L198" i="1" s="1"/>
  <c r="K197" i="1"/>
  <c r="G12" i="13" s="1"/>
  <c r="I197" i="1"/>
  <c r="H197" i="1"/>
  <c r="L197" i="1" s="1"/>
  <c r="G197" i="1"/>
  <c r="F197" i="1"/>
  <c r="F196" i="1"/>
  <c r="G195" i="1"/>
  <c r="L195" i="1" s="1"/>
  <c r="J195" i="1"/>
  <c r="I195" i="1"/>
  <c r="H195" i="1"/>
  <c r="F195" i="1"/>
  <c r="K194" i="1"/>
  <c r="K203" i="1" s="1"/>
  <c r="K249" i="1" s="1"/>
  <c r="K263" i="1" s="1"/>
  <c r="I194" i="1"/>
  <c r="H194" i="1"/>
  <c r="G194" i="1"/>
  <c r="L194" i="1" s="1"/>
  <c r="F194" i="1"/>
  <c r="I192" i="1"/>
  <c r="G192" i="1"/>
  <c r="F192" i="1"/>
  <c r="B36" i="12" s="1"/>
  <c r="A40" i="12" s="1"/>
  <c r="I190" i="1"/>
  <c r="I203" i="1" s="1"/>
  <c r="I249" i="1" s="1"/>
  <c r="I263" i="1" s="1"/>
  <c r="J190" i="1"/>
  <c r="F5" i="13" s="1"/>
  <c r="G190" i="1"/>
  <c r="J189" i="1"/>
  <c r="I189" i="1"/>
  <c r="H189" i="1"/>
  <c r="H203" i="1" s="1"/>
  <c r="G189" i="1"/>
  <c r="C9" i="12" s="1"/>
  <c r="F189" i="1"/>
  <c r="L189" i="1" s="1"/>
  <c r="C60" i="2"/>
  <c r="B2" i="13"/>
  <c r="F8" i="13"/>
  <c r="G8" i="13"/>
  <c r="L196" i="1"/>
  <c r="C17" i="10" s="1"/>
  <c r="E8" i="13"/>
  <c r="L214" i="1"/>
  <c r="L232" i="1"/>
  <c r="D39" i="13"/>
  <c r="F13" i="13"/>
  <c r="G13" i="13"/>
  <c r="L216" i="1"/>
  <c r="L234" i="1"/>
  <c r="F16" i="13"/>
  <c r="G16" i="13"/>
  <c r="L201" i="1"/>
  <c r="E16" i="13" s="1"/>
  <c r="C16" i="13" s="1"/>
  <c r="L219" i="1"/>
  <c r="L237" i="1"/>
  <c r="G5" i="13"/>
  <c r="L191" i="1"/>
  <c r="L192" i="1"/>
  <c r="C13" i="10" s="1"/>
  <c r="L207" i="1"/>
  <c r="L221" i="1" s="1"/>
  <c r="L208" i="1"/>
  <c r="L209" i="1"/>
  <c r="L210" i="1"/>
  <c r="L225" i="1"/>
  <c r="L227" i="1"/>
  <c r="C103" i="2" s="1"/>
  <c r="L228" i="1"/>
  <c r="F6" i="13"/>
  <c r="L212" i="1"/>
  <c r="L230" i="1"/>
  <c r="F7" i="13"/>
  <c r="G7" i="13"/>
  <c r="L213" i="1"/>
  <c r="L231" i="1"/>
  <c r="F12" i="13"/>
  <c r="L215" i="1"/>
  <c r="L233" i="1"/>
  <c r="F14" i="13"/>
  <c r="G14" i="13"/>
  <c r="L217" i="1"/>
  <c r="L235" i="1"/>
  <c r="F15" i="13"/>
  <c r="G15" i="13"/>
  <c r="L200" i="1"/>
  <c r="L218" i="1"/>
  <c r="G652" i="1" s="1"/>
  <c r="L236" i="1"/>
  <c r="H652" i="1" s="1"/>
  <c r="F17" i="13"/>
  <c r="D17" i="13" s="1"/>
  <c r="C17" i="13" s="1"/>
  <c r="G17" i="13"/>
  <c r="L243" i="1"/>
  <c r="F18" i="13"/>
  <c r="D18" i="13" s="1"/>
  <c r="C18" i="13" s="1"/>
  <c r="G18" i="13"/>
  <c r="L244" i="1"/>
  <c r="F19" i="13"/>
  <c r="G19" i="13"/>
  <c r="L245" i="1"/>
  <c r="C24" i="10" s="1"/>
  <c r="D19" i="13"/>
  <c r="C19" i="13"/>
  <c r="F29" i="13"/>
  <c r="G29" i="13"/>
  <c r="L350" i="1"/>
  <c r="F651" i="1" s="1"/>
  <c r="L351" i="1"/>
  <c r="G651" i="1" s="1"/>
  <c r="L352" i="1"/>
  <c r="I359" i="1"/>
  <c r="J282" i="1"/>
  <c r="J301" i="1"/>
  <c r="J320" i="1"/>
  <c r="J330" i="1" s="1"/>
  <c r="J344" i="1" s="1"/>
  <c r="F31" i="13"/>
  <c r="K282" i="1"/>
  <c r="G31" i="13" s="1"/>
  <c r="K301" i="1"/>
  <c r="K320" i="1"/>
  <c r="L268" i="1"/>
  <c r="L282" i="1" s="1"/>
  <c r="L269" i="1"/>
  <c r="L270" i="1"/>
  <c r="L271" i="1"/>
  <c r="L273" i="1"/>
  <c r="L274" i="1"/>
  <c r="L275" i="1"/>
  <c r="E112" i="2" s="1"/>
  <c r="L276" i="1"/>
  <c r="E113" i="2" s="1"/>
  <c r="L277" i="1"/>
  <c r="L278" i="1"/>
  <c r="L279" i="1"/>
  <c r="E116" i="2" s="1"/>
  <c r="L280" i="1"/>
  <c r="E117" i="2" s="1"/>
  <c r="L287" i="1"/>
  <c r="L288" i="1"/>
  <c r="L301" i="1" s="1"/>
  <c r="L289" i="1"/>
  <c r="L290" i="1"/>
  <c r="L292" i="1"/>
  <c r="L293" i="1"/>
  <c r="L294" i="1"/>
  <c r="L295" i="1"/>
  <c r="L296" i="1"/>
  <c r="L297" i="1"/>
  <c r="L298" i="1"/>
  <c r="L299" i="1"/>
  <c r="L306" i="1"/>
  <c r="L320" i="1" s="1"/>
  <c r="L307" i="1"/>
  <c r="L308" i="1"/>
  <c r="L309" i="1"/>
  <c r="L311" i="1"/>
  <c r="E110" i="2" s="1"/>
  <c r="E120" i="2" s="1"/>
  <c r="L312" i="1"/>
  <c r="E111" i="2" s="1"/>
  <c r="L313" i="1"/>
  <c r="L314" i="1"/>
  <c r="L315" i="1"/>
  <c r="L316" i="1"/>
  <c r="E115" i="2" s="1"/>
  <c r="L317" i="1"/>
  <c r="L318" i="1"/>
  <c r="L325" i="1"/>
  <c r="L326" i="1"/>
  <c r="L327" i="1"/>
  <c r="L252" i="1"/>
  <c r="H25" i="13" s="1"/>
  <c r="L253" i="1"/>
  <c r="C25" i="10" s="1"/>
  <c r="L333" i="1"/>
  <c r="L334" i="1"/>
  <c r="L247" i="1"/>
  <c r="F22" i="13" s="1"/>
  <c r="C22" i="13" s="1"/>
  <c r="L328" i="1"/>
  <c r="C11" i="13"/>
  <c r="C10" i="13"/>
  <c r="C9" i="13"/>
  <c r="L353" i="1"/>
  <c r="L354" i="1" s="1"/>
  <c r="B4" i="12"/>
  <c r="C36" i="12"/>
  <c r="B27" i="12"/>
  <c r="A31" i="12" s="1"/>
  <c r="C27" i="12"/>
  <c r="B31" i="12"/>
  <c r="C31" i="12"/>
  <c r="B9" i="12"/>
  <c r="A13" i="12" s="1"/>
  <c r="B13" i="12"/>
  <c r="B18" i="12"/>
  <c r="A22" i="12" s="1"/>
  <c r="B22" i="12"/>
  <c r="C18" i="12"/>
  <c r="C22" i="12"/>
  <c r="B1" i="12"/>
  <c r="L379" i="1"/>
  <c r="L380" i="1"/>
  <c r="L385" i="1" s="1"/>
  <c r="L381" i="1"/>
  <c r="L382" i="1"/>
  <c r="L383" i="1"/>
  <c r="L384" i="1"/>
  <c r="L387" i="1"/>
  <c r="L388" i="1"/>
  <c r="L389" i="1"/>
  <c r="L390" i="1"/>
  <c r="L391" i="1"/>
  <c r="L392" i="1"/>
  <c r="L393" i="1"/>
  <c r="C131" i="2"/>
  <c r="L395" i="1"/>
  <c r="L396" i="1"/>
  <c r="L397" i="1"/>
  <c r="L399" i="1" s="1"/>
  <c r="C132" i="2" s="1"/>
  <c r="L398" i="1"/>
  <c r="L258" i="1"/>
  <c r="J52" i="1"/>
  <c r="G48" i="2"/>
  <c r="G51" i="2"/>
  <c r="G53" i="2"/>
  <c r="G54" i="2"/>
  <c r="G55" i="2" s="1"/>
  <c r="F2" i="11"/>
  <c r="L603" i="1"/>
  <c r="L602" i="1"/>
  <c r="G653" i="1" s="1"/>
  <c r="L601" i="1"/>
  <c r="F653" i="1" s="1"/>
  <c r="C40" i="10"/>
  <c r="F52" i="1"/>
  <c r="C35" i="10" s="1"/>
  <c r="G52" i="1"/>
  <c r="D48" i="2" s="1"/>
  <c r="H52" i="1"/>
  <c r="H104" i="1" s="1"/>
  <c r="I52" i="1"/>
  <c r="F71" i="1"/>
  <c r="F86" i="1"/>
  <c r="C50" i="2" s="1"/>
  <c r="F103" i="1"/>
  <c r="G103" i="1"/>
  <c r="H71" i="1"/>
  <c r="E49" i="2" s="1"/>
  <c r="H86" i="1"/>
  <c r="E50" i="2" s="1"/>
  <c r="H103" i="1"/>
  <c r="I103" i="1"/>
  <c r="I104" i="1"/>
  <c r="I185" i="1" s="1"/>
  <c r="G620" i="1" s="1"/>
  <c r="J620" i="1" s="1"/>
  <c r="J103" i="1"/>
  <c r="J104" i="1" s="1"/>
  <c r="C37" i="10"/>
  <c r="F113" i="1"/>
  <c r="F128" i="1"/>
  <c r="F132" i="1"/>
  <c r="G113" i="1"/>
  <c r="G128" i="1"/>
  <c r="G132" i="1"/>
  <c r="C38" i="10" s="1"/>
  <c r="H113" i="1"/>
  <c r="H128" i="1"/>
  <c r="H132" i="1"/>
  <c r="I113" i="1"/>
  <c r="I128" i="1"/>
  <c r="I132" i="1"/>
  <c r="J113" i="1"/>
  <c r="J128" i="1"/>
  <c r="J132" i="1"/>
  <c r="F139" i="1"/>
  <c r="C77" i="2" s="1"/>
  <c r="C83" i="2" s="1"/>
  <c r="F154" i="1"/>
  <c r="F161" i="1"/>
  <c r="C39" i="10" s="1"/>
  <c r="G139" i="1"/>
  <c r="G154" i="1"/>
  <c r="G161" i="1"/>
  <c r="H139" i="1"/>
  <c r="H154" i="1"/>
  <c r="H161" i="1"/>
  <c r="I139" i="1"/>
  <c r="I154" i="1"/>
  <c r="I161" i="1"/>
  <c r="C12" i="10"/>
  <c r="L242" i="1"/>
  <c r="L324" i="1"/>
  <c r="C23" i="10"/>
  <c r="L246" i="1"/>
  <c r="L260" i="1"/>
  <c r="C26" i="10" s="1"/>
  <c r="L261" i="1"/>
  <c r="C135" i="2" s="1"/>
  <c r="L341" i="1"/>
  <c r="L342" i="1"/>
  <c r="I655" i="1"/>
  <c r="I659" i="1"/>
  <c r="I660" i="1"/>
  <c r="H651" i="1"/>
  <c r="F652" i="1"/>
  <c r="I652" i="1" s="1"/>
  <c r="C6" i="10"/>
  <c r="C5" i="10"/>
  <c r="C42" i="10"/>
  <c r="L366" i="1"/>
  <c r="F122" i="2" s="1"/>
  <c r="F136" i="2" s="1"/>
  <c r="L367" i="1"/>
  <c r="L368" i="1"/>
  <c r="L369" i="1"/>
  <c r="L370" i="1"/>
  <c r="L371" i="1"/>
  <c r="L372" i="1"/>
  <c r="B2" i="10"/>
  <c r="L336" i="1"/>
  <c r="L337" i="1"/>
  <c r="L338" i="1"/>
  <c r="E129" i="2" s="1"/>
  <c r="L339" i="1"/>
  <c r="K343" i="1"/>
  <c r="L512" i="1"/>
  <c r="F540" i="1"/>
  <c r="L517" i="1"/>
  <c r="G540" i="1"/>
  <c r="L518" i="1"/>
  <c r="G541" i="1" s="1"/>
  <c r="L521" i="1"/>
  <c r="L524" i="1" s="1"/>
  <c r="L522" i="1"/>
  <c r="H540" i="1" s="1"/>
  <c r="L523" i="1"/>
  <c r="H541" i="1"/>
  <c r="L526" i="1"/>
  <c r="L529" i="1" s="1"/>
  <c r="I539" i="1"/>
  <c r="L527" i="1"/>
  <c r="I540" i="1" s="1"/>
  <c r="L528" i="1"/>
  <c r="I541" i="1" s="1"/>
  <c r="L531" i="1"/>
  <c r="J539" i="1"/>
  <c r="J542" i="1" s="1"/>
  <c r="L532" i="1"/>
  <c r="J540" i="1"/>
  <c r="L533" i="1"/>
  <c r="L534" i="1" s="1"/>
  <c r="J541" i="1"/>
  <c r="E124" i="2"/>
  <c r="E123" i="2"/>
  <c r="K262" i="1"/>
  <c r="J262" i="1"/>
  <c r="I262" i="1"/>
  <c r="H262" i="1"/>
  <c r="G262" i="1"/>
  <c r="L262" i="1" s="1"/>
  <c r="F262" i="1"/>
  <c r="A1" i="2"/>
  <c r="A2" i="2"/>
  <c r="C9" i="2"/>
  <c r="C19" i="2" s="1"/>
  <c r="D9" i="2"/>
  <c r="E9" i="2"/>
  <c r="F9" i="2"/>
  <c r="F19" i="2" s="1"/>
  <c r="I431" i="1"/>
  <c r="J9" i="1" s="1"/>
  <c r="C10" i="2"/>
  <c r="D10" i="2"/>
  <c r="E10" i="2"/>
  <c r="F10" i="2"/>
  <c r="I432" i="1"/>
  <c r="J10" i="1"/>
  <c r="G10" i="2"/>
  <c r="C11" i="2"/>
  <c r="C12" i="2"/>
  <c r="D12" i="2"/>
  <c r="D19" i="2" s="1"/>
  <c r="E12" i="2"/>
  <c r="F12" i="2"/>
  <c r="I433" i="1"/>
  <c r="J12" i="1" s="1"/>
  <c r="G12" i="2" s="1"/>
  <c r="C13" i="2"/>
  <c r="D13" i="2"/>
  <c r="E13" i="2"/>
  <c r="E19" i="2" s="1"/>
  <c r="F13" i="2"/>
  <c r="I434" i="1"/>
  <c r="J13" i="1"/>
  <c r="G13" i="2"/>
  <c r="C14" i="2"/>
  <c r="D14" i="2"/>
  <c r="D16" i="2"/>
  <c r="D17" i="2"/>
  <c r="D18" i="2"/>
  <c r="E14" i="2"/>
  <c r="F14" i="2"/>
  <c r="I435" i="1"/>
  <c r="J14" i="1" s="1"/>
  <c r="G14" i="2" s="1"/>
  <c r="F15" i="2"/>
  <c r="C16" i="2"/>
  <c r="E16" i="2"/>
  <c r="F16" i="2"/>
  <c r="C17" i="2"/>
  <c r="E17" i="2"/>
  <c r="F17" i="2"/>
  <c r="I436" i="1"/>
  <c r="J17" i="1"/>
  <c r="G17" i="2"/>
  <c r="C18" i="2"/>
  <c r="E18" i="2"/>
  <c r="F18" i="2"/>
  <c r="I437" i="1"/>
  <c r="J18" i="1" s="1"/>
  <c r="G18" i="2" s="1"/>
  <c r="C22" i="2"/>
  <c r="D22" i="2"/>
  <c r="E22" i="2"/>
  <c r="E32" i="2" s="1"/>
  <c r="F22" i="2"/>
  <c r="F32" i="2" s="1"/>
  <c r="I440" i="1"/>
  <c r="J23" i="1" s="1"/>
  <c r="C23" i="2"/>
  <c r="D23" i="2"/>
  <c r="E23" i="2"/>
  <c r="F23" i="2"/>
  <c r="I441" i="1"/>
  <c r="J24" i="1" s="1"/>
  <c r="G23" i="2" s="1"/>
  <c r="C24" i="2"/>
  <c r="D24" i="2"/>
  <c r="E24" i="2"/>
  <c r="F24" i="2"/>
  <c r="I442" i="1"/>
  <c r="J25" i="1" s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D34" i="2"/>
  <c r="E34" i="2"/>
  <c r="E42" i="2" s="1"/>
  <c r="E43" i="2" s="1"/>
  <c r="F34" i="2"/>
  <c r="F42" i="2" s="1"/>
  <c r="C35" i="2"/>
  <c r="D35" i="2"/>
  <c r="E35" i="2"/>
  <c r="F35" i="2"/>
  <c r="C36" i="2"/>
  <c r="C42" i="2" s="1"/>
  <c r="D36" i="2"/>
  <c r="E36" i="2"/>
  <c r="F36" i="2"/>
  <c r="I446" i="1"/>
  <c r="J37" i="1"/>
  <c r="J43" i="1" s="1"/>
  <c r="G36" i="2"/>
  <c r="G42" i="2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I450" i="1" s="1"/>
  <c r="J40" i="1"/>
  <c r="G39" i="2"/>
  <c r="C40" i="2"/>
  <c r="D40" i="2"/>
  <c r="E40" i="2"/>
  <c r="F40" i="2"/>
  <c r="I449" i="1"/>
  <c r="J41" i="1"/>
  <c r="G40" i="2" s="1"/>
  <c r="C41" i="2"/>
  <c r="D41" i="2"/>
  <c r="E41" i="2"/>
  <c r="F41" i="2"/>
  <c r="D42" i="2"/>
  <c r="F48" i="2"/>
  <c r="C49" i="2"/>
  <c r="C54" i="2" s="1"/>
  <c r="C51" i="2"/>
  <c r="D51" i="2"/>
  <c r="D54" i="2" s="1"/>
  <c r="E51" i="2"/>
  <c r="F51" i="2"/>
  <c r="D52" i="2"/>
  <c r="C53" i="2"/>
  <c r="D53" i="2"/>
  <c r="E53" i="2"/>
  <c r="F53" i="2"/>
  <c r="C58" i="2"/>
  <c r="C62" i="2" s="1"/>
  <c r="C59" i="2"/>
  <c r="C61" i="2"/>
  <c r="D61" i="2"/>
  <c r="E61" i="2"/>
  <c r="E62" i="2"/>
  <c r="F61" i="2"/>
  <c r="F62" i="2" s="1"/>
  <c r="G61" i="2"/>
  <c r="G62" i="2" s="1"/>
  <c r="D62" i="2"/>
  <c r="C64" i="2"/>
  <c r="C70" i="2" s="1"/>
  <c r="F64" i="2"/>
  <c r="F70" i="2" s="1"/>
  <c r="F73" i="2" s="1"/>
  <c r="C65" i="2"/>
  <c r="F65" i="2"/>
  <c r="C66" i="2"/>
  <c r="C67" i="2"/>
  <c r="C68" i="2"/>
  <c r="E68" i="2"/>
  <c r="E70" i="2" s="1"/>
  <c r="E73" i="2" s="1"/>
  <c r="F68" i="2"/>
  <c r="C69" i="2"/>
  <c r="D69" i="2"/>
  <c r="D70" i="2"/>
  <c r="E69" i="2"/>
  <c r="F69" i="2"/>
  <c r="G69" i="2"/>
  <c r="G70" i="2" s="1"/>
  <c r="G73" i="2" s="1"/>
  <c r="C71" i="2"/>
  <c r="D71" i="2"/>
  <c r="E71" i="2"/>
  <c r="C72" i="2"/>
  <c r="E72" i="2"/>
  <c r="D77" i="2"/>
  <c r="D83" i="2" s="1"/>
  <c r="E77" i="2"/>
  <c r="E83" i="2" s="1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C95" i="2" s="1"/>
  <c r="F85" i="2"/>
  <c r="C86" i="2"/>
  <c r="F86" i="2"/>
  <c r="D88" i="2"/>
  <c r="E88" i="2"/>
  <c r="F88" i="2"/>
  <c r="G88" i="2"/>
  <c r="G95" i="2" s="1"/>
  <c r="C89" i="2"/>
  <c r="D89" i="2"/>
  <c r="D95" i="2" s="1"/>
  <c r="E89" i="2"/>
  <c r="F89" i="2"/>
  <c r="G89" i="2"/>
  <c r="C90" i="2"/>
  <c r="D90" i="2"/>
  <c r="E90" i="2"/>
  <c r="E95" i="2" s="1"/>
  <c r="G90" i="2"/>
  <c r="C91" i="2"/>
  <c r="D91" i="2"/>
  <c r="E91" i="2"/>
  <c r="F91" i="2"/>
  <c r="F95" i="2" s="1"/>
  <c r="C92" i="2"/>
  <c r="D92" i="2"/>
  <c r="E92" i="2"/>
  <c r="F92" i="2"/>
  <c r="C93" i="2"/>
  <c r="D93" i="2"/>
  <c r="E93" i="2"/>
  <c r="E94" i="2"/>
  <c r="F93" i="2"/>
  <c r="C94" i="2"/>
  <c r="D94" i="2"/>
  <c r="F94" i="2"/>
  <c r="E101" i="2"/>
  <c r="E107" i="2" s="1"/>
  <c r="E102" i="2"/>
  <c r="E103" i="2"/>
  <c r="E104" i="2"/>
  <c r="C105" i="2"/>
  <c r="E105" i="2"/>
  <c r="E106" i="2"/>
  <c r="D107" i="2"/>
  <c r="D137" i="2" s="1"/>
  <c r="F107" i="2"/>
  <c r="F137" i="2" s="1"/>
  <c r="G107" i="2"/>
  <c r="C112" i="2"/>
  <c r="C128" i="2"/>
  <c r="C129" i="2"/>
  <c r="C134" i="2"/>
  <c r="E114" i="2"/>
  <c r="D119" i="2"/>
  <c r="D120" i="2"/>
  <c r="F120" i="2"/>
  <c r="G120" i="2"/>
  <c r="E122" i="2"/>
  <c r="F126" i="2"/>
  <c r="D126" i="2"/>
  <c r="E126" i="2"/>
  <c r="K411" i="1"/>
  <c r="K426" i="1"/>
  <c r="G126" i="2"/>
  <c r="G136" i="2" s="1"/>
  <c r="K419" i="1"/>
  <c r="K425" i="1"/>
  <c r="L255" i="1"/>
  <c r="C127" i="2" s="1"/>
  <c r="E127" i="2"/>
  <c r="L256" i="1"/>
  <c r="L257" i="1"/>
  <c r="E134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B150" i="2"/>
  <c r="C150" i="2"/>
  <c r="D150" i="2"/>
  <c r="G150" i="2" s="1"/>
  <c r="E150" i="2"/>
  <c r="F150" i="2"/>
  <c r="B151" i="2"/>
  <c r="C151" i="2"/>
  <c r="D151" i="2"/>
  <c r="E151" i="2"/>
  <c r="F151" i="2"/>
  <c r="B152" i="2"/>
  <c r="C152" i="2"/>
  <c r="D152" i="2"/>
  <c r="E152" i="2"/>
  <c r="F152" i="2"/>
  <c r="F490" i="1"/>
  <c r="B153" i="2" s="1"/>
  <c r="G490" i="1"/>
  <c r="C153" i="2" s="1"/>
  <c r="H490" i="1"/>
  <c r="D153" i="2"/>
  <c r="I490" i="1"/>
  <c r="K490" i="1" s="1"/>
  <c r="E153" i="2"/>
  <c r="J490" i="1"/>
  <c r="F153" i="2" s="1"/>
  <c r="B154" i="2"/>
  <c r="C154" i="2"/>
  <c r="G154" i="2" s="1"/>
  <c r="D154" i="2"/>
  <c r="E154" i="2"/>
  <c r="F154" i="2"/>
  <c r="B155" i="2"/>
  <c r="G155" i="2" s="1"/>
  <c r="C155" i="2"/>
  <c r="D155" i="2"/>
  <c r="E155" i="2"/>
  <c r="F155" i="2"/>
  <c r="F493" i="1"/>
  <c r="B156" i="2"/>
  <c r="G493" i="1"/>
  <c r="C156" i="2" s="1"/>
  <c r="G156" i="2" s="1"/>
  <c r="H493" i="1"/>
  <c r="D156" i="2" s="1"/>
  <c r="I493" i="1"/>
  <c r="E156" i="2" s="1"/>
  <c r="J493" i="1"/>
  <c r="F156" i="2"/>
  <c r="F19" i="1"/>
  <c r="G607" i="1" s="1"/>
  <c r="G19" i="1"/>
  <c r="H19" i="1"/>
  <c r="G609" i="1"/>
  <c r="J609" i="1" s="1"/>
  <c r="I19" i="1"/>
  <c r="G33" i="1"/>
  <c r="H33" i="1"/>
  <c r="I33" i="1"/>
  <c r="F43" i="1"/>
  <c r="G612" i="1" s="1"/>
  <c r="J612" i="1" s="1"/>
  <c r="G43" i="1"/>
  <c r="H43" i="1"/>
  <c r="H44" i="1"/>
  <c r="H609" i="1"/>
  <c r="I43" i="1"/>
  <c r="G615" i="1" s="1"/>
  <c r="G44" i="1"/>
  <c r="H608" i="1" s="1"/>
  <c r="F169" i="1"/>
  <c r="F184" i="1" s="1"/>
  <c r="I169" i="1"/>
  <c r="F175" i="1"/>
  <c r="G175" i="1"/>
  <c r="G184" i="1" s="1"/>
  <c r="H175" i="1"/>
  <c r="I175" i="1"/>
  <c r="J175" i="1"/>
  <c r="J184" i="1" s="1"/>
  <c r="F180" i="1"/>
  <c r="G180" i="1"/>
  <c r="H180" i="1"/>
  <c r="H184" i="1" s="1"/>
  <c r="I180" i="1"/>
  <c r="I184" i="1"/>
  <c r="F221" i="1"/>
  <c r="G221" i="1"/>
  <c r="H221" i="1"/>
  <c r="I221" i="1"/>
  <c r="J221" i="1"/>
  <c r="K221" i="1"/>
  <c r="F239" i="1"/>
  <c r="G239" i="1"/>
  <c r="I239" i="1"/>
  <c r="J239" i="1"/>
  <c r="K239" i="1"/>
  <c r="F248" i="1"/>
  <c r="G248" i="1"/>
  <c r="L248" i="1"/>
  <c r="H248" i="1"/>
  <c r="I248" i="1"/>
  <c r="J248" i="1"/>
  <c r="K248" i="1"/>
  <c r="F282" i="1"/>
  <c r="F330" i="1" s="1"/>
  <c r="F344" i="1" s="1"/>
  <c r="G282" i="1"/>
  <c r="G330" i="1"/>
  <c r="G344" i="1" s="1"/>
  <c r="H282" i="1"/>
  <c r="I282" i="1"/>
  <c r="F301" i="1"/>
  <c r="G301" i="1"/>
  <c r="H301" i="1"/>
  <c r="I301" i="1"/>
  <c r="F320" i="1"/>
  <c r="G320" i="1"/>
  <c r="H320" i="1"/>
  <c r="H330" i="1" s="1"/>
  <c r="H344" i="1" s="1"/>
  <c r="I320" i="1"/>
  <c r="F329" i="1"/>
  <c r="G329" i="1"/>
  <c r="H329" i="1"/>
  <c r="L329" i="1" s="1"/>
  <c r="I329" i="1"/>
  <c r="I330" i="1" s="1"/>
  <c r="I344" i="1" s="1"/>
  <c r="J329" i="1"/>
  <c r="K329" i="1"/>
  <c r="F354" i="1"/>
  <c r="G354" i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I400" i="1" s="1"/>
  <c r="F393" i="1"/>
  <c r="F400" i="1" s="1"/>
  <c r="H633" i="1" s="1"/>
  <c r="J633" i="1" s="1"/>
  <c r="G393" i="1"/>
  <c r="G400" i="1" s="1"/>
  <c r="H635" i="1" s="1"/>
  <c r="J635" i="1" s="1"/>
  <c r="H393" i="1"/>
  <c r="I393" i="1"/>
  <c r="F399" i="1"/>
  <c r="G399" i="1"/>
  <c r="H399" i="1"/>
  <c r="H400" i="1" s="1"/>
  <c r="H634" i="1" s="1"/>
  <c r="I399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G411" i="1"/>
  <c r="H411" i="1"/>
  <c r="I411" i="1"/>
  <c r="I426" i="1" s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F426" i="1"/>
  <c r="G426" i="1"/>
  <c r="H426" i="1"/>
  <c r="F438" i="1"/>
  <c r="G629" i="1"/>
  <c r="J629" i="1" s="1"/>
  <c r="G438" i="1"/>
  <c r="G630" i="1" s="1"/>
  <c r="J630" i="1" s="1"/>
  <c r="H438" i="1"/>
  <c r="G631" i="1" s="1"/>
  <c r="J631" i="1" s="1"/>
  <c r="F444" i="1"/>
  <c r="F451" i="1" s="1"/>
  <c r="H629" i="1" s="1"/>
  <c r="G444" i="1"/>
  <c r="G451" i="1" s="1"/>
  <c r="H630" i="1" s="1"/>
  <c r="H444" i="1"/>
  <c r="F450" i="1"/>
  <c r="G450" i="1"/>
  <c r="H450" i="1"/>
  <c r="H451" i="1" s="1"/>
  <c r="H631" i="1" s="1"/>
  <c r="F460" i="1"/>
  <c r="F466" i="1" s="1"/>
  <c r="H612" i="1" s="1"/>
  <c r="G460" i="1"/>
  <c r="G466" i="1" s="1"/>
  <c r="H613" i="1" s="1"/>
  <c r="H460" i="1"/>
  <c r="I460" i="1"/>
  <c r="J460" i="1"/>
  <c r="F464" i="1"/>
  <c r="G464" i="1"/>
  <c r="G613" i="1"/>
  <c r="H464" i="1"/>
  <c r="I464" i="1"/>
  <c r="I466" i="1"/>
  <c r="H615" i="1" s="1"/>
  <c r="J464" i="1"/>
  <c r="H466" i="1"/>
  <c r="H614" i="1" s="1"/>
  <c r="J614" i="1" s="1"/>
  <c r="J466" i="1"/>
  <c r="H616" i="1"/>
  <c r="K485" i="1"/>
  <c r="K486" i="1"/>
  <c r="K487" i="1"/>
  <c r="K488" i="1"/>
  <c r="K489" i="1"/>
  <c r="K491" i="1"/>
  <c r="K492" i="1"/>
  <c r="F507" i="1"/>
  <c r="G507" i="1"/>
  <c r="H507" i="1"/>
  <c r="I507" i="1"/>
  <c r="G514" i="1"/>
  <c r="G535" i="1" s="1"/>
  <c r="H514" i="1"/>
  <c r="I514" i="1"/>
  <c r="J514" i="1"/>
  <c r="J535" i="1" s="1"/>
  <c r="K514" i="1"/>
  <c r="K535" i="1" s="1"/>
  <c r="H519" i="1"/>
  <c r="I519" i="1"/>
  <c r="I535" i="1" s="1"/>
  <c r="J519" i="1"/>
  <c r="K519" i="1"/>
  <c r="F524" i="1"/>
  <c r="G524" i="1"/>
  <c r="H524" i="1"/>
  <c r="H535" i="1" s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50" i="1" s="1"/>
  <c r="L548" i="1"/>
  <c r="L549" i="1"/>
  <c r="F550" i="1"/>
  <c r="F561" i="1" s="1"/>
  <c r="G550" i="1"/>
  <c r="G561" i="1" s="1"/>
  <c r="H550" i="1"/>
  <c r="I550" i="1"/>
  <c r="I561" i="1" s="1"/>
  <c r="J550" i="1"/>
  <c r="J561" i="1" s="1"/>
  <c r="K550" i="1"/>
  <c r="L552" i="1"/>
  <c r="L553" i="1"/>
  <c r="L555" i="1" s="1"/>
  <c r="L554" i="1"/>
  <c r="F555" i="1"/>
  <c r="G555" i="1"/>
  <c r="H555" i="1"/>
  <c r="I555" i="1"/>
  <c r="J555" i="1"/>
  <c r="K555" i="1"/>
  <c r="K561" i="1" s="1"/>
  <c r="L557" i="1"/>
  <c r="L558" i="1"/>
  <c r="L559" i="1"/>
  <c r="L560" i="1" s="1"/>
  <c r="F560" i="1"/>
  <c r="G560" i="1"/>
  <c r="H560" i="1"/>
  <c r="I560" i="1"/>
  <c r="J560" i="1"/>
  <c r="K560" i="1"/>
  <c r="H561" i="1"/>
  <c r="I565" i="1"/>
  <c r="I566" i="1"/>
  <c r="I568" i="1"/>
  <c r="I569" i="1"/>
  <c r="I570" i="1"/>
  <c r="I572" i="1"/>
  <c r="I573" i="1"/>
  <c r="I574" i="1"/>
  <c r="I575" i="1"/>
  <c r="I576" i="1"/>
  <c r="I577" i="1"/>
  <c r="K581" i="1"/>
  <c r="K582" i="1"/>
  <c r="K583" i="1"/>
  <c r="K584" i="1"/>
  <c r="K586" i="1"/>
  <c r="K587" i="1"/>
  <c r="I588" i="1"/>
  <c r="H640" i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8" i="1"/>
  <c r="J608" i="1" s="1"/>
  <c r="G610" i="1"/>
  <c r="G614" i="1"/>
  <c r="H617" i="1"/>
  <c r="H618" i="1"/>
  <c r="H619" i="1"/>
  <c r="H620" i="1"/>
  <c r="H621" i="1"/>
  <c r="H623" i="1"/>
  <c r="H625" i="1"/>
  <c r="H626" i="1"/>
  <c r="H627" i="1"/>
  <c r="H628" i="1"/>
  <c r="G633" i="1"/>
  <c r="G634" i="1"/>
  <c r="G639" i="1"/>
  <c r="H641" i="1"/>
  <c r="G642" i="1"/>
  <c r="J642" i="1" s="1"/>
  <c r="H642" i="1"/>
  <c r="G643" i="1"/>
  <c r="H643" i="1"/>
  <c r="J643" i="1" s="1"/>
  <c r="G644" i="1"/>
  <c r="J644" i="1" s="1"/>
  <c r="H644" i="1"/>
  <c r="G645" i="1"/>
  <c r="H645" i="1"/>
  <c r="J645" i="1"/>
  <c r="G152" i="2"/>
  <c r="D73" i="2"/>
  <c r="D32" i="2"/>
  <c r="D43" i="2"/>
  <c r="G151" i="2"/>
  <c r="G149" i="2"/>
  <c r="F54" i="2"/>
  <c r="F55" i="2"/>
  <c r="F96" i="2" s="1"/>
  <c r="G635" i="1"/>
  <c r="D29" i="13"/>
  <c r="C29" i="13"/>
  <c r="F33" i="13" l="1"/>
  <c r="D5" i="13"/>
  <c r="D14" i="13"/>
  <c r="C14" i="13" s="1"/>
  <c r="C115" i="2"/>
  <c r="C20" i="10"/>
  <c r="L561" i="1"/>
  <c r="G137" i="2"/>
  <c r="F43" i="2"/>
  <c r="I542" i="1"/>
  <c r="I653" i="1"/>
  <c r="C102" i="2"/>
  <c r="C11" i="10"/>
  <c r="E136" i="2"/>
  <c r="G616" i="1"/>
  <c r="J616" i="1" s="1"/>
  <c r="G22" i="2"/>
  <c r="G32" i="2" s="1"/>
  <c r="G43" i="2" s="1"/>
  <c r="J33" i="1"/>
  <c r="J44" i="1" s="1"/>
  <c r="H611" i="1" s="1"/>
  <c r="E54" i="2"/>
  <c r="H33" i="13"/>
  <c r="C25" i="13"/>
  <c r="C32" i="2"/>
  <c r="H657" i="1"/>
  <c r="H662" i="1"/>
  <c r="G96" i="2"/>
  <c r="I651" i="1"/>
  <c r="C130" i="2"/>
  <c r="C133" i="2" s="1"/>
  <c r="L400" i="1"/>
  <c r="C73" i="2"/>
  <c r="G625" i="1"/>
  <c r="J625" i="1" s="1"/>
  <c r="C27" i="10"/>
  <c r="L330" i="1"/>
  <c r="D31" i="13"/>
  <c r="C31" i="13" s="1"/>
  <c r="L203" i="1"/>
  <c r="C101" i="2"/>
  <c r="C10" i="10"/>
  <c r="C15" i="10"/>
  <c r="C110" i="2"/>
  <c r="C120" i="2" s="1"/>
  <c r="D6" i="13"/>
  <c r="C6" i="13" s="1"/>
  <c r="C113" i="2"/>
  <c r="C18" i="10"/>
  <c r="D12" i="13"/>
  <c r="C12" i="13" s="1"/>
  <c r="K541" i="1"/>
  <c r="D7" i="13"/>
  <c r="C7" i="13" s="1"/>
  <c r="C16" i="10"/>
  <c r="C111" i="2"/>
  <c r="J615" i="1"/>
  <c r="C43" i="2"/>
  <c r="K540" i="1"/>
  <c r="G650" i="1"/>
  <c r="G654" i="1" s="1"/>
  <c r="H249" i="1"/>
  <c r="H263" i="1" s="1"/>
  <c r="J624" i="1"/>
  <c r="K588" i="1"/>
  <c r="G637" i="1" s="1"/>
  <c r="G153" i="2"/>
  <c r="H185" i="1"/>
  <c r="G619" i="1" s="1"/>
  <c r="J619" i="1" s="1"/>
  <c r="C114" i="2"/>
  <c r="E13" i="13"/>
  <c r="C13" i="13" s="1"/>
  <c r="C19" i="10"/>
  <c r="F539" i="1"/>
  <c r="L514" i="1"/>
  <c r="G9" i="2"/>
  <c r="G19" i="2" s="1"/>
  <c r="J19" i="1"/>
  <c r="G611" i="1" s="1"/>
  <c r="J634" i="1"/>
  <c r="E137" i="2"/>
  <c r="J185" i="1"/>
  <c r="D55" i="2"/>
  <c r="D96" i="2" s="1"/>
  <c r="J613" i="1"/>
  <c r="C36" i="10"/>
  <c r="L343" i="1"/>
  <c r="C32" i="10"/>
  <c r="G641" i="1"/>
  <c r="J641" i="1" s="1"/>
  <c r="K493" i="1"/>
  <c r="I44" i="1"/>
  <c r="H610" i="1" s="1"/>
  <c r="J610" i="1" s="1"/>
  <c r="C104" i="2"/>
  <c r="C123" i="2"/>
  <c r="L516" i="1"/>
  <c r="G104" i="1"/>
  <c r="G185" i="1" s="1"/>
  <c r="G618" i="1" s="1"/>
  <c r="J618" i="1" s="1"/>
  <c r="C8" i="13"/>
  <c r="G640" i="1"/>
  <c r="J640" i="1" s="1"/>
  <c r="C124" i="2"/>
  <c r="C21" i="10"/>
  <c r="G6" i="13"/>
  <c r="G33" i="13" s="1"/>
  <c r="C122" i="2"/>
  <c r="F104" i="1"/>
  <c r="F185" i="1" s="1"/>
  <c r="G617" i="1" s="1"/>
  <c r="J617" i="1" s="1"/>
  <c r="L374" i="1"/>
  <c r="G626" i="1" s="1"/>
  <c r="J626" i="1" s="1"/>
  <c r="H239" i="1"/>
  <c r="J203" i="1"/>
  <c r="J249" i="1" s="1"/>
  <c r="F33" i="1"/>
  <c r="F44" i="1" s="1"/>
  <c r="H607" i="1" s="1"/>
  <c r="J607" i="1" s="1"/>
  <c r="C29" i="10"/>
  <c r="C117" i="2"/>
  <c r="H539" i="1"/>
  <c r="H542" i="1" s="1"/>
  <c r="I567" i="1"/>
  <c r="F203" i="1"/>
  <c r="F249" i="1" s="1"/>
  <c r="F263" i="1" s="1"/>
  <c r="D15" i="13"/>
  <c r="C15" i="13" s="1"/>
  <c r="H637" i="1"/>
  <c r="H588" i="1"/>
  <c r="H639" i="1" s="1"/>
  <c r="J639" i="1" s="1"/>
  <c r="C116" i="2"/>
  <c r="E48" i="2"/>
  <c r="E55" i="2" s="1"/>
  <c r="E96" i="2" s="1"/>
  <c r="I438" i="1"/>
  <c r="G632" i="1" s="1"/>
  <c r="K330" i="1"/>
  <c r="K344" i="1" s="1"/>
  <c r="F514" i="1"/>
  <c r="F535" i="1" s="1"/>
  <c r="I444" i="1"/>
  <c r="I451" i="1" s="1"/>
  <c r="H632" i="1" s="1"/>
  <c r="C48" i="2"/>
  <c r="C55" i="2" s="1"/>
  <c r="C96" i="2" s="1"/>
  <c r="C106" i="2"/>
  <c r="J632" i="1" l="1"/>
  <c r="J263" i="1"/>
  <c r="H638" i="1"/>
  <c r="J638" i="1" s="1"/>
  <c r="C107" i="2"/>
  <c r="C137" i="2" s="1"/>
  <c r="F542" i="1"/>
  <c r="K539" i="1"/>
  <c r="K542" i="1" s="1"/>
  <c r="D19" i="10"/>
  <c r="L519" i="1"/>
  <c r="L535" i="1" s="1"/>
  <c r="G539" i="1"/>
  <c r="G542" i="1" s="1"/>
  <c r="G621" i="1"/>
  <c r="J621" i="1" s="1"/>
  <c r="G636" i="1"/>
  <c r="L249" i="1"/>
  <c r="L263" i="1" s="1"/>
  <c r="G622" i="1" s="1"/>
  <c r="J622" i="1" s="1"/>
  <c r="F650" i="1"/>
  <c r="G662" i="1"/>
  <c r="G657" i="1"/>
  <c r="C28" i="10"/>
  <c r="D10" i="10"/>
  <c r="D16" i="10"/>
  <c r="L344" i="1"/>
  <c r="G623" i="1" s="1"/>
  <c r="J623" i="1" s="1"/>
  <c r="C136" i="2"/>
  <c r="J611" i="1"/>
  <c r="C5" i="13"/>
  <c r="D33" i="13"/>
  <c r="D36" i="13" s="1"/>
  <c r="H636" i="1"/>
  <c r="G627" i="1"/>
  <c r="J627" i="1" s="1"/>
  <c r="J637" i="1"/>
  <c r="D21" i="10"/>
  <c r="D18" i="10"/>
  <c r="E33" i="13"/>
  <c r="D35" i="13" s="1"/>
  <c r="C41" i="10"/>
  <c r="D40" i="10" l="1"/>
  <c r="D37" i="10"/>
  <c r="D38" i="10"/>
  <c r="D39" i="10"/>
  <c r="D35" i="10"/>
  <c r="D22" i="10"/>
  <c r="C30" i="10"/>
  <c r="D26" i="10"/>
  <c r="D17" i="10"/>
  <c r="D23" i="10"/>
  <c r="D25" i="10"/>
  <c r="D12" i="10"/>
  <c r="D13" i="10"/>
  <c r="D28" i="10" s="1"/>
  <c r="D24" i="10"/>
  <c r="D20" i="10"/>
  <c r="D11" i="10"/>
  <c r="D15" i="10"/>
  <c r="F654" i="1"/>
  <c r="I650" i="1"/>
  <c r="I654" i="1" s="1"/>
  <c r="D27" i="10"/>
  <c r="J636" i="1"/>
  <c r="D36" i="10"/>
  <c r="H646" i="1"/>
  <c r="F657" i="1" l="1"/>
  <c r="F662" i="1"/>
  <c r="C4" i="10" s="1"/>
  <c r="D41" i="10"/>
  <c r="I657" i="1"/>
  <c r="I662" i="1"/>
  <c r="C7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40551E37-F888-4B6B-8D63-A2FA1C7C10FD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A3F4425E-0817-4164-B079-BDDE83413A81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331A3A26-9450-4915-AC57-018EA818D1BC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B6B40C4E-F6D1-4B1C-A529-02D27F2ADADD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DB841A87-04E3-40E4-8D4C-6A93827685F7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3A2F3219-B959-4A59-A961-878FD5FA9DD3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B7CC1E1B-B7B3-4D65-A175-5FBAEC8E970C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72C9686C-6852-46D5-BB92-18CCEB77A441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CABDBADE-DFA2-4620-86D3-AB8FC0AEE3D1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CDDFD15A-7FB9-43CE-A9A9-6FA6B7F8D84B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7E03BF61-DEFB-4D6E-9AED-1428B7309320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88E2771F-0BEA-426C-ABE1-C5C92608B56F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<sst xmlns="http://schemas.openxmlformats.org/spreadsheetml/2006/main" count="3860" uniqueCount="897">
  <si>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</si>
  <si>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</si>
  <si>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</si>
  <si>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</si>
  <si>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</si>
  <si>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</si>
  <si>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</si>
  <si>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</si>
  <si>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</si>
  <si>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</si>
  <si>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</si>
  <si>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</si>
  <si>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</si>
  <si>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</si>
  <si>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</si>
  <si>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</si>
  <si>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</si>
  <si>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</si>
  <si>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</si>
  <si>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</si>
  <si>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</si>
  <si>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</si>
  <si>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</si>
  <si>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</si>
  <si>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</si>
  <si>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</si>
  <si>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</si>
  <si>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</si>
  <si>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</si>
  <si>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</si>
  <si>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</si>
  <si>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</si>
  <si>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</si>
  <si>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</si>
  <si>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</si>
  <si>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</si>
  <si>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</si>
  <si>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</si>
  <si>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</si>
  <si>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</si>
  <si>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</si>
  <si>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</si>
  <si>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</si>
  <si>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</si>
  <si>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</si>
  <si>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</si>
  <si>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</si>
  <si>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</si>
  <si>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</si>
  <si>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</si>
  <si>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</si>
  <si>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</si>
  <si>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</si>
  <si>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</si>
  <si>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</si>
  <si>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</si>
  <si>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</si>
  <si>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</si>
  <si>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</si>
  <si>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</si>
  <si>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</si>
  <si>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</si>
  <si>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</si>
  <si>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</si>
  <si>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</si>
  <si>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</si>
  <si>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</si>
  <si>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</si>
  <si>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</si>
  <si>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</si>
  <si>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</si>
  <si>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</si>
  <si>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</si>
  <si>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</si>
  <si>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</si>
  <si>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</si>
  <si>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</si>
  <si>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</si>
  <si>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</si>
  <si>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</si>
  <si>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</si>
  <si>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</si>
  <si>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</si>
  <si>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</si>
  <si>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</si>
  <si>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</si>
  <si>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</si>
  <si>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</si>
  <si>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</si>
  <si>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</si>
  <si>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</si>
  <si>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</si>
  <si>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</si>
  <si>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</si>
  <si>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</si>
  <si>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</si>
  <si>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</si>
  <si>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</si>
  <si>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</si>
  <si>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</si>
  <si>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</si>
  <si>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</si>
  <si>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</si>
  <si>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</si>
  <si>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</si>
  <si>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</si>
  <si>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</si>
  <si>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</si>
  <si>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</si>
  <si>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</si>
  <si>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</si>
  <si>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</si>
  <si>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</si>
  <si>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</si>
  <si>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</si>
  <si>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</si>
  <si>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</si>
  <si>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</si>
  <si>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</si>
  <si>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</si>
  <si>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</si>
  <si>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</si>
  <si>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</si>
  <si>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</si>
  <si>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</si>
  <si>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</si>
  <si>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</si>
  <si>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</si>
  <si>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</si>
  <si>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</si>
  <si>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</si>
  <si>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</si>
  <si>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</si>
  <si>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</si>
  <si>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</si>
  <si>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</si>
  <si>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</si>
  <si>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</si>
  <si>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</si>
  <si>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</si>
  <si>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</si>
  <si>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</si>
  <si>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</si>
  <si>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</si>
  <si>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</si>
  <si>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</si>
  <si>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</si>
  <si>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</si>
  <si>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</si>
  <si>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</si>
  <si>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</si>
  <si>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</si>
  <si>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</si>
  <si>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</si>
  <si>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</si>
  <si>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</si>
  <si>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</si>
  <si>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</si>
  <si>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</si>
  <si>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</si>
  <si>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</si>
  <si>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</si>
  <si>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</si>
  <si>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</si>
  <si>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</si>
  <si>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</si>
  <si>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</si>
  <si>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</si>
  <si>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</si>
  <si>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</si>
  <si>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</si>
  <si>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</si>
  <si>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</si>
  <si>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</si>
  <si>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</si>
  <si>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</si>
  <si>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</si>
  <si>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</si>
  <si>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</si>
  <si>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</si>
  <si>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</si>
  <si>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</si>
  <si>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</si>
  <si>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</si>
  <si>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</si>
  <si>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</si>
  <si>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</si>
  <si>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</si>
  <si>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</si>
  <si>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</si>
  <si>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</si>
  <si>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</si>
  <si>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</si>
  <si>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</si>
  <si>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</si>
  <si>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</si>
  <si>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</si>
  <si>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</si>
  <si>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</si>
  <si>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</si>
  <si>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</si>
  <si>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</si>
  <si>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</si>
  <si>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</si>
  <si>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</si>
  <si>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</si>
  <si>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</si>
  <si>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</si>
  <si>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</si>
  <si>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</si>
  <si>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</si>
  <si>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</si>
  <si>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</si>
  <si>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</si>
  <si>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</si>
  <si>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</si>
  <si>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</si>
  <si>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</si>
  <si>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</si>
  <si>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</si>
  <si>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</si>
  <si>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</si>
  <si>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</si>
  <si>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</si>
  <si>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</si>
  <si>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</si>
  <si>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</si>
  <si>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</si>
  <si>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</si>
  <si>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</si>
  <si>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</si>
  <si>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</si>
  <si>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</si>
  <si>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</si>
  <si>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</si>
  <si>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</si>
  <si>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</si>
  <si>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</si>
  <si>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</si>
  <si>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</si>
  <si>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</si>
  <si>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</si>
  <si>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</si>
  <si>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</si>
  <si>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</si>
  <si>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</si>
  <si>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</si>
  <si>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</si>
  <si>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</si>
  <si>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</si>
  <si>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</si>
  <si>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</si>
  <si>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</si>
  <si>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</si>
  <si>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</si>
  <si>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</si>
  <si>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</si>
  <si>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</si>
  <si>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</si>
  <si>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</si>
  <si>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</si>
  <si>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</si>
  <si>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</si>
  <si>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</si>
  <si>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</si>
  <si>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</si>
  <si>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</si>
  <si>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</si>
  <si>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</si>
  <si>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</si>
  <si>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</si>
  <si>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</si>
  <si>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</si>
  <si>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</si>
  <si>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</si>
  <si>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</si>
  <si>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</si>
  <si>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</si>
  <si>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</si>
  <si>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</si>
  <si>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</si>
  <si>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</si>
  <si>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</si>
  <si>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</si>
  <si>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</si>
  <si>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</si>
  <si>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</si>
  <si>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</si>
  <si>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</si>
  <si>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</si>
  <si>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</si>
  <si>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</si>
  <si>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</si>
  <si>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</si>
  <si>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</si>
  <si>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</si>
  <si>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</si>
  <si>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</si>
  <si>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</si>
  <si>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</si>
  <si>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</si>
  <si>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</si>
  <si>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</si>
  <si>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</si>
  <si>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</si>
  <si>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</si>
  <si>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</si>
  <si>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</si>
  <si>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</si>
  <si>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</si>
  <si>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</si>
  <si>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</si>
  <si>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</si>
  <si>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</si>
  <si>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</si>
  <si>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</si>
  <si>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</si>
  <si>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</si>
  <si>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</si>
  <si>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</si>
  <si>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</si>
  <si>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</si>
  <si>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</si>
  <si>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</si>
  <si>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</si>
  <si>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</si>
  <si>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</si>
  <si>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</si>
  <si>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</si>
  <si>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</si>
  <si>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</si>
  <si>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</si>
  <si>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</si>
  <si>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</si>
  <si>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</si>
  <si>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</si>
  <si>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</si>
  <si>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</si>
  <si>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</si>
  <si>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</si>
  <si>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</si>
  <si>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</si>
  <si>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</si>
  <si>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</si>
  <si>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</si>
  <si>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</si>
  <si>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</si>
  <si>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</si>
  <si>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</si>
  <si>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</si>
  <si>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</si>
  <si>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</si>
  <si>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</si>
  <si>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</si>
  <si>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</si>
  <si>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</si>
  <si>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</si>
  <si>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</si>
  <si>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</si>
  <si>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</si>
  <si>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</si>
  <si>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</si>
  <si>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</si>
  <si>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</si>
  <si>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</si>
  <si>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</si>
  <si>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</si>
  <si>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</si>
  <si>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</si>
  <si>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</si>
  <si>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</si>
  <si>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</si>
  <si>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</si>
  <si>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</si>
  <si>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</si>
  <si>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</si>
  <si>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</si>
  <si>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</si>
  <si>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</si>
  <si>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</si>
  <si>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</si>
  <si>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</si>
  <si>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</si>
  <si>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</si>
  <si>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</si>
  <si>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</si>
  <si>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</si>
  <si>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</si>
  <si>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</si>
  <si>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</si>
  <si>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</si>
  <si>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</si>
  <si>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</si>
  <si>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</si>
  <si>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</si>
  <si>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</si>
  <si>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</si>
  <si>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</si>
  <si>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</si>
  <si>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</si>
  <si>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</si>
  <si>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</si>
  <si>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</si>
  <si>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</si>
  <si>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</si>
  <si>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</si>
  <si>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</si>
  <si>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</si>
  <si>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</si>
  <si>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</si>
  <si>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</si>
  <si>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</si>
  <si>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</si>
  <si>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</si>
  <si>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</si>
  <si>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</si>
  <si>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</si>
  <si>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</si>
  <si>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</si>
  <si>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</si>
  <si>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</si>
  <si>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</si>
  <si>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</si>
  <si>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</si>
  <si>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</si>
  <si>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</si>
  <si>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</si>
  <si>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</si>
  <si>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</si>
  <si>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</si>
  <si>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</si>
  <si>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</si>
  <si>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</si>
  <si>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</si>
  <si>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</si>
  <si>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</si>
  <si>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</si>
  <si>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</si>
  <si>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</si>
  <si>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</si>
  <si>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</si>
  <si>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</si>
  <si>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</si>
  <si>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</si>
  <si>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</si>
  <si>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</si>
  <si>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</si>
  <si>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</si>
  <si>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</si>
  <si>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</si>
  <si>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</si>
  <si>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</si>
  <si>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</si>
  <si>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</si>
  <si>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</si>
  <si>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</si>
  <si>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</si>
  <si>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</si>
  <si>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</si>
  <si>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</si>
  <si>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</si>
  <si>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</si>
  <si>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</si>
  <si>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</si>
  <si>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</si>
  <si>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</si>
  <si>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</si>
  <si>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</si>
  <si>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</si>
  <si>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</si>
  <si>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</si>
  <si>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</si>
  <si>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</si>
  <si>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</si>
  <si>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</si>
  <si>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</si>
  <si>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</si>
  <si>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</si>
  <si>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</si>
  <si>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</si>
  <si>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</si>
  <si>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</si>
  <si>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</si>
  <si>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</si>
  <si>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</si>
  <si>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</si>
  <si>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</si>
  <si>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</si>
  <si>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</si>
  <si>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</si>
  <si>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</si>
  <si>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</si>
  <si>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</si>
  <si>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</si>
  <si>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</si>
  <si>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</si>
  <si>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</si>
  <si>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</si>
  <si>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</si>
  <si>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</si>
  <si>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</si>
  <si>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</si>
  <si>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</si>
  <si>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</si>
  <si>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</si>
  <si>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</si>
  <si>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</si>
  <si>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</si>
  <si>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</si>
  <si>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</si>
  <si>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</si>
  <si>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</si>
  <si>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</si>
  <si>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</si>
  <si>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</si>
  <si>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</si>
  <si>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</si>
  <si>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</si>
  <si>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</si>
  <si>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</si>
  <si>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</si>
  <si>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</si>
  <si>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</si>
  <si>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</si>
  <si>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</si>
  <si>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</si>
  <si>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</si>
  <si>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</si>
  <si>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</si>
  <si>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</si>
  <si>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</si>
  <si>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</si>
  <si>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</si>
  <si>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</si>
  <si>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</si>
  <si>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</si>
  <si>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</si>
  <si>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</si>
  <si>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</si>
  <si>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</si>
  <si>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</si>
  <si>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</si>
  <si>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</si>
  <si>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</si>
  <si>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</si>
  <si>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</si>
  <si>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</si>
  <si>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</si>
  <si>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</si>
  <si>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</si>
  <si>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</si>
  <si>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</si>
  <si>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</si>
  <si>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</si>
  <si>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</si>
  <si>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</si>
  <si>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</si>
  <si>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</si>
  <si>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</si>
  <si>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</si>
  <si>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</si>
  <si>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</si>
  <si>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</si>
  <si>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</si>
  <si>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</si>
  <si>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</si>
  <si>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</si>
  <si>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</si>
  <si>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</si>
  <si>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</si>
  <si>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</si>
  <si>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</si>
  <si>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</si>
  <si>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</si>
  <si>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</si>
  <si>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</si>
  <si>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</si>
  <si>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</si>
  <si>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</si>
  <si>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</si>
  <si>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</si>
  <si>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</si>
  <si>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</si>
  <si>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</si>
  <si>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</si>
  <si>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</si>
  <si>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</si>
  <si>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</si>
  <si>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</si>
  <si>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</si>
  <si>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</si>
  <si>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</si>
  <si>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</si>
  <si>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</si>
  <si>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</si>
  <si>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</si>
  <si>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</si>
  <si>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</si>
  <si>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</si>
  <si>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</si>
  <si>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</si>
  <si>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</si>
  <si>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</si>
  <si>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</si>
  <si>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</si>
  <si>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</si>
  <si>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</si>
  <si>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</si>
  <si>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</si>
  <si>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</si>
  <si>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</si>
  <si>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</si>
  <si>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</si>
  <si>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</si>
  <si>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</si>
  <si>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</si>
  <si>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</si>
  <si>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</si>
  <si>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</si>
  <si>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</si>
  <si>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</si>
  <si>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</si>
  <si>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</si>
  <si>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</si>
  <si>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</si>
  <si>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</si>
  <si>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</si>
  <si>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</si>
  <si>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</si>
  <si>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</si>
  <si>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</si>
  <si>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</si>
  <si>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</si>
  <si>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</si>
  <si>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</si>
  <si>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</si>
  <si>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</si>
  <si>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</si>
  <si>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</si>
  <si>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</si>
  <si>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</si>
  <si>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</si>
  <si>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</si>
  <si>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</si>
  <si>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</si>
  <si>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</si>
  <si>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</si>
  <si>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</si>
  <si>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</si>
  <si>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</si>
  <si>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</si>
  <si>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</si>
  <si>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</si>
  <si>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</si>
  <si>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</si>
  <si>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</si>
  <si>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</si>
  <si>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</si>
  <si>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</si>
  <si>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</si>
  <si>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</si>
  <si>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</si>
  <si>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</si>
  <si>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</si>
  <si>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</si>
  <si>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</si>
  <si>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</si>
  <si>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</si>
  <si>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</si>
  <si>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</si>
  <si>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</si>
  <si>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</si>
  <si>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</si>
  <si>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</si>
  <si>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</si>
  <si>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</si>
  <si>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</si>
  <si>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</si>
  <si>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</si>
  <si>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</si>
  <si>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</si>
  <si>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</si>
  <si>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</si>
  <si>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</si>
  <si>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</si>
  <si>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</si>
  <si>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</si>
  <si>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</si>
  <si>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</si>
  <si>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</si>
  <si>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</si>
  <si>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</si>
  <si>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</si>
  <si>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</si>
  <si>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</si>
  <si>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</si>
  <si>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</si>
  <si>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</si>
  <si>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</si>
  <si>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</si>
  <si>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</si>
  <si>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</si>
  <si>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</si>
  <si>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</si>
  <si>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</si>
  <si>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</si>
  <si>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</si>
  <si>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</si>
  <si>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</si>
  <si>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</si>
  <si>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</si>
  <si>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</si>
  <si>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</si>
  <si>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</si>
  <si>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</si>
  <si>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</si>
  <si>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</si>
  <si>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</si>
  <si>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</si>
  <si>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</si>
  <si>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</si>
  <si>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</si>
  <si>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</si>
  <si>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</si>
  <si>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</si>
  <si>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</si>
  <si>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</si>
  <si>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</si>
  <si>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</si>
  <si>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</si>
  <si>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</si>
  <si>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</si>
  <si>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</si>
  <si>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</si>
  <si>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</si>
  <si>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</si>
  <si>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</si>
  <si>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</si>
  <si>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</si>
  <si>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</si>
  <si>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</si>
  <si>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</si>
  <si>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</si>
  <si>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</si>
  <si>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</si>
  <si>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</si>
  <si>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</si>
  <si>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</si>
  <si>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</si>
  <si>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</si>
  <si>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</si>
  <si>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</si>
  <si>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</si>
  <si>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</si>
  <si>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</si>
  <si>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</si>
  <si>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</si>
  <si>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</si>
  <si>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</si>
  <si>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</si>
  <si>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</si>
  <si>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</si>
  <si>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</si>
  <si>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</si>
  <si>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</si>
  <si>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</si>
  <si>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</si>
  <si>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</si>
  <si>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</si>
  <si>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</si>
  <si>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</si>
  <si>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</si>
  <si>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</si>
  <si>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</si>
  <si>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</si>
  <si>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</si>
  <si>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</si>
  <si>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</si>
  <si>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</si>
  <si>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</si>
  <si>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</si>
  <si>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</si>
  <si>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</si>
  <si>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</si>
  <si>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</si>
  <si>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</si>
  <si>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</si>
  <si>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</si>
  <si>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</si>
  <si>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</si>
  <si>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</si>
  <si>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</si>
  <si>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</si>
  <si>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</si>
  <si>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</si>
  <si>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</si>
  <si>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</si>
  <si>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</si>
  <si>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</si>
  <si>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</si>
  <si>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</si>
  <si>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</si>
  <si>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</si>
  <si>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</si>
  <si>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</si>
  <si>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</si>
  <si>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</si>
  <si>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</si>
  <si>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</si>
  <si>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</si>
  <si>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</si>
  <si>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</si>
  <si>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</si>
  <si>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</si>
  <si>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</si>
  <si>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</si>
  <si>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</si>
  <si>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</si>
  <si>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</si>
  <si>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</si>
  <si>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</si>
  <si>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</si>
  <si>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</si>
  <si>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</si>
  <si>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</si>
  <si>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</si>
  <si>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</si>
  <si>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</si>
  <si>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</si>
  <si>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</si>
  <si>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</si>
  <si>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</si>
  <si>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</si>
  <si>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</si>
  <si>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</si>
  <si>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</si>
  <si>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</si>
  <si>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</si>
  <si>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</si>
  <si>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</si>
  <si>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</si>
  <si>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</si>
  <si>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</si>
  <si>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</si>
  <si>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</si>
  <si>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</si>
  <si>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</si>
  <si>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</si>
  <si>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</si>
  <si>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</si>
  <si>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</si>
  <si>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</si>
  <si>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</si>
  <si>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</si>
  <si>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</si>
  <si>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</si>
  <si>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</si>
  <si>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</si>
  <si>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</si>
  <si>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</si>
  <si>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</si>
  <si>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</si>
  <si>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</si>
  <si>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</si>
  <si>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</si>
  <si>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</si>
  <si>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</si>
  <si>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</si>
  <si>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</si>
  <si>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</si>
  <si>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</si>
  <si>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</si>
  <si>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</si>
  <si>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</si>
  <si>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</si>
  <si>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</si>
  <si>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</si>
  <si>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</si>
  <si>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</si>
  <si>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</si>
  <si>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</si>
  <si>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</si>
  <si>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</si>
  <si>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</si>
  <si>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</si>
  <si>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</si>
  <si>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</si>
  <si>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</si>
  <si>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</si>
  <si>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</si>
  <si>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</si>
  <si>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</si>
  <si>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</si>
  <si>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</si>
  <si>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STRAFFORD SCHOOL DISTRICT</t>
  </si>
  <si>
    <t>This figure represents the amount paid by employees of the district who do not live in district and have opted to</t>
  </si>
  <si>
    <t>have their children attend Strafford district, the parent/employee pays a percentage of pupil cost as tuition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</si>
</sst>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7971-9546-4EC4-973B-4C5249893B1E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414" activePane="bottomRight" state="frozen"/>
      <selection pane="topRight" activeCell="F1" sqref="F1"/>
      <selection pane="bottomLeft" activeCell="A4" sqref="A4"/>
      <selection pane="bottomRight" activeCell="F43" sqref="F4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507</v>
      </c>
      <c r="C2" s="21">
        <v>507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742887.27+75000</f>
        <v>817887.27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>
        <v>318430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111323.84</v>
      </c>
      <c r="G13" s="18">
        <v>45804</v>
      </c>
      <c r="H13" s="18"/>
      <c r="I13" s="18"/>
      <c r="J13" s="67">
        <f>SUM(I434)</f>
        <v>318430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30478.42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1129.94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959689.53</v>
      </c>
      <c r="G19" s="41">
        <f>SUM(G9:G18)</f>
        <v>46933.94</v>
      </c>
      <c r="H19" s="41">
        <f>SUM(H9:H18)</f>
        <v>0</v>
      </c>
      <c r="I19" s="41">
        <f>SUM(I9:I18)</f>
        <v>318430</v>
      </c>
      <c r="J19" s="41">
        <f>SUM(J9:J18)</f>
        <v>318430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312862.65999999997</v>
      </c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>
        <v>5567.34</v>
      </c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69420.53</v>
      </c>
      <c r="G25" s="18">
        <v>104.49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68208.51+4446.83</f>
        <v>72655.34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454938.52999999991</v>
      </c>
      <c r="G33" s="41">
        <f>SUM(G23:G32)</f>
        <v>5671.83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1129.94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41900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50000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40132.17</v>
      </c>
      <c r="H41" s="18"/>
      <c r="I41" s="18">
        <v>318430</v>
      </c>
      <c r="J41" s="13">
        <f>SUM(I449)</f>
        <v>318430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387851+25000</f>
        <v>412851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504751</v>
      </c>
      <c r="G43" s="41">
        <f>SUM(G35:G42)</f>
        <v>41262.11</v>
      </c>
      <c r="H43" s="41">
        <f>SUM(H35:H42)</f>
        <v>0</v>
      </c>
      <c r="I43" s="41">
        <f>SUM(I35:I42)</f>
        <v>318430</v>
      </c>
      <c r="J43" s="41">
        <f>SUM(J35:J42)</f>
        <v>318430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959689.52999999991</v>
      </c>
      <c r="G44" s="41">
        <f>G43+G33</f>
        <v>46933.94</v>
      </c>
      <c r="H44" s="41">
        <f>H43+H33</f>
        <v>0</v>
      </c>
      <c r="I44" s="41">
        <f>I43+I33</f>
        <v>318430</v>
      </c>
      <c r="J44" s="41">
        <f>J43+J33</f>
        <v>318430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6021761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6021761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3298.04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3298.04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1496.47</v>
      </c>
      <c r="G88" s="18">
        <v>88</v>
      </c>
      <c r="H88" s="18"/>
      <c r="I88" s="18"/>
      <c r="J88" s="18">
        <v>803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112102.43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900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3079.11</v>
      </c>
      <c r="G102" s="18">
        <v>17245</v>
      </c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5475.58</v>
      </c>
      <c r="G103" s="41">
        <f>SUM(G88:G102)</f>
        <v>129435.43</v>
      </c>
      <c r="H103" s="41">
        <f>SUM(H88:H102)</f>
        <v>0</v>
      </c>
      <c r="I103" s="41">
        <f>SUM(I88:I102)</f>
        <v>0</v>
      </c>
      <c r="J103" s="41">
        <f>SUM(J88:J102)</f>
        <v>803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6030534.6200000001</v>
      </c>
      <c r="G104" s="41">
        <f>G52+G103</f>
        <v>129435.43</v>
      </c>
      <c r="H104" s="41">
        <f>H52+H71+H86+H103</f>
        <v>0</v>
      </c>
      <c r="I104" s="41">
        <f>I52+I103</f>
        <v>0</v>
      </c>
      <c r="J104" s="41">
        <f>J52+J103</f>
        <v>803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1671155.84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1042273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641170.16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3354599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2872.9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35573.74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1980.68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38446.639999999999</v>
      </c>
      <c r="G128" s="41">
        <f>SUM(G115:G127)</f>
        <v>1980.68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3393045.64</v>
      </c>
      <c r="G132" s="41">
        <f>G113+SUM(G128:G129)</f>
        <v>1980.68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37662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54705.99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54705.99</v>
      </c>
      <c r="G154" s="41">
        <f>SUM(G142:G153)</f>
        <v>37662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54705.99</v>
      </c>
      <c r="G161" s="41">
        <f>G139+G154+SUM(G155:G160)</f>
        <v>37662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>
        <v>500000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500000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25000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25000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500000</v>
      </c>
      <c r="J184" s="41">
        <f>J175</f>
        <v>25000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9478286.25</v>
      </c>
      <c r="G185" s="47">
        <f>G104+G132+G161+G184</f>
        <v>169078.11</v>
      </c>
      <c r="H185" s="47">
        <f>H104+H132+H161+H184</f>
        <v>0</v>
      </c>
      <c r="I185" s="47">
        <f>I104+I132+I161+I184</f>
        <v>500000</v>
      </c>
      <c r="J185" s="47">
        <f>J104+J132+J184</f>
        <v>25803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13649.45+1380+1622499.69+58349.5+3795+83827.78</f>
        <v>1783501.42</v>
      </c>
      <c r="G189" s="18">
        <f>342885.65+14789.39+2741.13+6438.53+7000+131291.95+6761.8+116718.85+2814+3600.12+2875</f>
        <v>637916.42000000004</v>
      </c>
      <c r="H189" s="18">
        <f>1633.75+555+12857.8+25.9+4811.68</f>
        <v>19884.129999999997</v>
      </c>
      <c r="I189" s="18">
        <f>2501.22+4329.13+866.03+352.43+1036.45+1573.63+465.18+1570.37+6766.08+1339.33+1914.52+1660.94+13000+2430.73+156.99+3000+4000+908.82+600+10370.44+5618.49+745.55</f>
        <v>65206.33</v>
      </c>
      <c r="J189" s="18">
        <f>993.8+462.92+97.8+47185.91</f>
        <v>48740.43</v>
      </c>
      <c r="K189" s="18">
        <v>1870.18</v>
      </c>
      <c r="L189" s="19">
        <f>SUM(F189:K189)</f>
        <v>2557118.91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266823.11+309676.9+20748+19538.4+20378.72+940.52</f>
        <v>638105.65</v>
      </c>
      <c r="G190" s="18">
        <f>181189.31+5504.14+475.65+9000+1000+46565.19+30406.09+20059.97+1430+2463.24</f>
        <v>298093.58999999997</v>
      </c>
      <c r="H190" s="18">
        <f>187.5+4430.26+1043.57+802.65+201077.56</f>
        <v>207541.54</v>
      </c>
      <c r="I190" s="18">
        <f>452.88+2300+230.88+789.66+476.12+29.97+277.86+95.31+800+800</f>
        <v>6252.68</v>
      </c>
      <c r="J190" s="18">
        <f>44.01+55.99+481.38</f>
        <v>581.38</v>
      </c>
      <c r="K190" s="18">
        <v>200</v>
      </c>
      <c r="L190" s="19">
        <f>SUM(F190:K190)</f>
        <v>1150774.8399999999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700+2600+5600+2500+1350+2081.25+10000+9100+5400</f>
        <v>39331.25</v>
      </c>
      <c r="G192" s="18">
        <f>838.19+123.66+1109.27+771.09+787.58+731.74+194.65+1134.68</f>
        <v>5690.86</v>
      </c>
      <c r="H192" s="18">
        <v>1245</v>
      </c>
      <c r="I192" s="18">
        <f>1419.35+176.31+113.5</f>
        <v>1709.1599999999999</v>
      </c>
      <c r="J192" s="18"/>
      <c r="K192" s="18">
        <v>1140</v>
      </c>
      <c r="L192" s="19">
        <f>SUM(F192:K192)</f>
        <v>49116.270000000004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500+94216.98+48472.98+1150+85702.98+21849.1</f>
        <v>251892.04</v>
      </c>
      <c r="G194" s="18">
        <f>38.25+45.8+11488.2+732.9+124.8+6909.08+4364.62+110+205.48+75.6+1000+3872.62+3705.54+110+189.48+21178.82+916.24+151.2+1000+7910.36+2092.94+6419.14+165+284.22</f>
        <v>73090.289999999994</v>
      </c>
      <c r="H194" s="18">
        <f>4463.5+644.26+94253.19</f>
        <v>99360.95</v>
      </c>
      <c r="I194" s="18">
        <f>340.74+100+227.21+1218.66+100+400+996.95+164.27</f>
        <v>3547.8300000000004</v>
      </c>
      <c r="J194" s="18"/>
      <c r="K194" s="18">
        <f>250+2000</f>
        <v>2250</v>
      </c>
      <c r="L194" s="19">
        <f t="shared" ref="L194:L200" si="0">SUM(F194:K194)</f>
        <v>430141.11000000004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56752.98+16434.6+1015</f>
        <v>74202.58</v>
      </c>
      <c r="G195" s="18">
        <f>160.65+45.8+119.84+23084.83+25235.29+916.16+63+5372.75+1505.46+4250.74+110+189.48</f>
        <v>61054.000000000007</v>
      </c>
      <c r="H195" s="18">
        <f>1600+500+9283.74+2348+4083.02</f>
        <v>17814.759999999998</v>
      </c>
      <c r="I195" s="18">
        <f>359.45+775+1399.03+7515.73+1926.07+18400</f>
        <v>30375.279999999999</v>
      </c>
      <c r="J195" s="18">
        <f>248.97+449</f>
        <v>697.97</v>
      </c>
      <c r="K195" s="18"/>
      <c r="L195" s="19">
        <f t="shared" si="0"/>
        <v>184144.59000000003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3100+100+4160+300+2624.3</f>
        <v>10284.299999999999</v>
      </c>
      <c r="G196" s="18">
        <v>786.77</v>
      </c>
      <c r="H196" s="18">
        <f>4964.78+7600+26898.37+274892.95</f>
        <v>314356.09999999998</v>
      </c>
      <c r="I196" s="18"/>
      <c r="J196" s="18"/>
      <c r="K196" s="18">
        <f>1727.16+3831.3</f>
        <v>5558.46</v>
      </c>
      <c r="L196" s="19">
        <f t="shared" si="0"/>
        <v>330985.63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83822.92+68848.29+52785</f>
        <v>205456.21</v>
      </c>
      <c r="G197" s="18">
        <f>36543+1924.52+693+405.8+1000+15619.34+4926.56+11148.8+220+378.96</f>
        <v>72859.98000000001</v>
      </c>
      <c r="H197" s="18">
        <f>4912.5+2142.47+2097.59+305.99+71.4</f>
        <v>9529.9499999999989</v>
      </c>
      <c r="I197" s="18">
        <f>311.52+1000</f>
        <v>1311.52</v>
      </c>
      <c r="J197" s="18"/>
      <c r="K197" s="18">
        <f>2500+1638.89</f>
        <v>4138.8900000000003</v>
      </c>
      <c r="L197" s="19">
        <f t="shared" si="0"/>
        <v>293296.55000000005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34849.5</v>
      </c>
      <c r="G198" s="18">
        <f>14744.85+579.2+56.7+2485.44+3192.28+55+94.74</f>
        <v>21208.210000000003</v>
      </c>
      <c r="H198" s="18">
        <f>2144.55+79.85+693.75</f>
        <v>2918.15</v>
      </c>
      <c r="I198" s="18">
        <f>558.38+490.38+2000</f>
        <v>3048.76</v>
      </c>
      <c r="J198" s="18"/>
      <c r="K198" s="18"/>
      <c r="L198" s="19">
        <f t="shared" si="0"/>
        <v>62024.62000000001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40925.41+92860.64+222.5+3944.5+7767.57</f>
        <v>145720.62</v>
      </c>
      <c r="G199" s="18">
        <f>37889.28+477.11+75.6+10801.58+11272.36+58.15+275+947.84</f>
        <v>61796.92</v>
      </c>
      <c r="H199" s="18">
        <f>466.55+170.01+9968.49+4817.12+1741.45+2785.88+189345.68+2500+120+2400+1480+27478+482.35+6235.18+1392.73+1647+2537.39+500+800+2705.6+9586.52</f>
        <v>269159.95</v>
      </c>
      <c r="I199" s="18">
        <v>116490.89</v>
      </c>
      <c r="J199" s="18">
        <f>2000+1814.47+350.89</f>
        <v>4165.3600000000006</v>
      </c>
      <c r="K199" s="18"/>
      <c r="L199" s="19">
        <f t="shared" si="0"/>
        <v>597333.74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210501.89+95394.11+3140.16+348.75+3185</f>
        <v>312569.90999999997</v>
      </c>
      <c r="I200" s="18"/>
      <c r="J200" s="18"/>
      <c r="K200" s="18"/>
      <c r="L200" s="19">
        <f t="shared" si="0"/>
        <v>312569.90999999997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3183343.57</v>
      </c>
      <c r="G203" s="41">
        <f t="shared" si="1"/>
        <v>1232497.04</v>
      </c>
      <c r="H203" s="41">
        <f t="shared" si="1"/>
        <v>1254380.44</v>
      </c>
      <c r="I203" s="41">
        <f t="shared" si="1"/>
        <v>227942.45</v>
      </c>
      <c r="J203" s="41">
        <f t="shared" si="1"/>
        <v>54185.14</v>
      </c>
      <c r="K203" s="41">
        <f t="shared" si="1"/>
        <v>15157.529999999999</v>
      </c>
      <c r="L203" s="41">
        <f t="shared" si="1"/>
        <v>5967506.1699999999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3255457.27</v>
      </c>
      <c r="I225" s="18"/>
      <c r="J225" s="18"/>
      <c r="K225" s="18"/>
      <c r="L225" s="19">
        <f>SUM(F225:K225)</f>
        <v>3255457.27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300</v>
      </c>
      <c r="G226" s="18"/>
      <c r="H226" s="18">
        <f>305247.9+87943.09+6537.36</f>
        <v>399728.35</v>
      </c>
      <c r="I226" s="18"/>
      <c r="J226" s="18"/>
      <c r="K226" s="18"/>
      <c r="L226" s="19">
        <f>SUM(F226:K226)</f>
        <v>400028.35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>
        <v>22364.1</v>
      </c>
      <c r="I230" s="18"/>
      <c r="J230" s="18"/>
      <c r="K230" s="18"/>
      <c r="L230" s="19">
        <f t="shared" ref="L230:L236" si="4">SUM(F230:K230)</f>
        <v>22364.1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78938.11</v>
      </c>
      <c r="I236" s="18"/>
      <c r="J236" s="18"/>
      <c r="K236" s="18"/>
      <c r="L236" s="19">
        <f t="shared" si="4"/>
        <v>78938.11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300</v>
      </c>
      <c r="G239" s="41">
        <f t="shared" si="5"/>
        <v>0</v>
      </c>
      <c r="H239" s="41">
        <f t="shared" si="5"/>
        <v>3756487.83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3756787.83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3183643.57</v>
      </c>
      <c r="G249" s="41">
        <f t="shared" si="8"/>
        <v>1232497.04</v>
      </c>
      <c r="H249" s="41">
        <f t="shared" si="8"/>
        <v>5010868.2699999996</v>
      </c>
      <c r="I249" s="41">
        <f t="shared" si="8"/>
        <v>227942.45</v>
      </c>
      <c r="J249" s="41">
        <f t="shared" si="8"/>
        <v>54185.14</v>
      </c>
      <c r="K249" s="41">
        <f t="shared" si="8"/>
        <v>15157.529999999999</v>
      </c>
      <c r="L249" s="41">
        <f t="shared" si="8"/>
        <v>9724294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25000</v>
      </c>
      <c r="L258" s="19">
        <f t="shared" si="9"/>
        <v>25000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25000</v>
      </c>
      <c r="L262" s="41">
        <f t="shared" si="9"/>
        <v>25000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3183643.57</v>
      </c>
      <c r="G263" s="42">
        <f t="shared" si="11"/>
        <v>1232497.04</v>
      </c>
      <c r="H263" s="42">
        <f t="shared" si="11"/>
        <v>5010868.2699999996</v>
      </c>
      <c r="I263" s="42">
        <f t="shared" si="11"/>
        <v>227942.45</v>
      </c>
      <c r="J263" s="42">
        <f t="shared" si="11"/>
        <v>54185.14</v>
      </c>
      <c r="K263" s="42">
        <f t="shared" si="11"/>
        <v>40157.53</v>
      </c>
      <c r="L263" s="42">
        <f t="shared" si="11"/>
        <v>9749294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30425.85+34872.65+1949.11</f>
        <v>67247.61</v>
      </c>
      <c r="G350" s="18">
        <f>13940.28+4879.92+2786.91+220+768.44</f>
        <v>22595.55</v>
      </c>
      <c r="H350" s="18">
        <f>62.5+12.9</f>
        <v>75.400000000000006</v>
      </c>
      <c r="I350" s="18">
        <f>1496.39+606.56+65064.34+1610.98</f>
        <v>68778.26999999999</v>
      </c>
      <c r="J350" s="18"/>
      <c r="K350" s="18">
        <v>7849.17</v>
      </c>
      <c r="L350" s="13">
        <f>SUM(F350:K350)</f>
        <v>166546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67247.61</v>
      </c>
      <c r="G354" s="47">
        <f t="shared" si="22"/>
        <v>22595.55</v>
      </c>
      <c r="H354" s="47">
        <f t="shared" si="22"/>
        <v>75.400000000000006</v>
      </c>
      <c r="I354" s="47">
        <f t="shared" si="22"/>
        <v>68778.26999999999</v>
      </c>
      <c r="J354" s="47">
        <f t="shared" si="22"/>
        <v>0</v>
      </c>
      <c r="K354" s="47">
        <f t="shared" si="22"/>
        <v>7849.17</v>
      </c>
      <c r="L354" s="47">
        <f t="shared" si="22"/>
        <v>166546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65064.34</v>
      </c>
      <c r="G359" s="18"/>
      <c r="H359" s="18"/>
      <c r="I359" s="56">
        <f>SUM(F359:H359)</f>
        <v>65064.34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1496.39+606.56+1610.98</f>
        <v>3713.93</v>
      </c>
      <c r="G360" s="63"/>
      <c r="H360" s="63"/>
      <c r="I360" s="56">
        <f>SUM(F360:H360)</f>
        <v>3713.93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68778.26999999999</v>
      </c>
      <c r="G361" s="47">
        <f>SUM(G359:G360)</f>
        <v>0</v>
      </c>
      <c r="H361" s="47">
        <f>SUM(H359:H360)</f>
        <v>0</v>
      </c>
      <c r="I361" s="47">
        <f>SUM(I359:I360)</f>
        <v>68778.26999999999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v>181570</v>
      </c>
      <c r="I368" s="18"/>
      <c r="J368" s="18"/>
      <c r="K368" s="18"/>
      <c r="L368" s="13">
        <f t="shared" si="23"/>
        <v>181570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181570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181570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>
        <v>25000</v>
      </c>
      <c r="H384" s="18">
        <v>803</v>
      </c>
      <c r="I384" s="18"/>
      <c r="J384" s="24" t="s">
        <v>312</v>
      </c>
      <c r="K384" s="24" t="s">
        <v>312</v>
      </c>
      <c r="L384" s="56">
        <f t="shared" si="25"/>
        <v>25803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25000</v>
      </c>
      <c r="H385" s="139">
        <f>SUM(H379:H384)</f>
        <v>803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25803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25000</v>
      </c>
      <c r="H400" s="47">
        <f>H385+H393+H399</f>
        <v>803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25803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318430</v>
      </c>
      <c r="G434" s="18"/>
      <c r="H434" s="18"/>
      <c r="I434" s="56">
        <f t="shared" si="33"/>
        <v>318430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318430</v>
      </c>
      <c r="G438" s="13">
        <f>SUM(G431:G437)</f>
        <v>0</v>
      </c>
      <c r="H438" s="13">
        <f>SUM(H431:H437)</f>
        <v>0</v>
      </c>
      <c r="I438" s="13">
        <f>SUM(I431:I437)</f>
        <v>318430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318430</v>
      </c>
      <c r="G449" s="18"/>
      <c r="H449" s="18"/>
      <c r="I449" s="56">
        <f>SUM(F449:H449)</f>
        <v>318430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318430</v>
      </c>
      <c r="G450" s="83">
        <f>SUM(G446:G449)</f>
        <v>0</v>
      </c>
      <c r="H450" s="83">
        <f>SUM(H446:H449)</f>
        <v>0</v>
      </c>
      <c r="I450" s="83">
        <f>SUM(I446:I449)</f>
        <v>318430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318430</v>
      </c>
      <c r="G451" s="42">
        <f>G444+G450</f>
        <v>0</v>
      </c>
      <c r="H451" s="42">
        <f>H444+H450</f>
        <v>0</v>
      </c>
      <c r="I451" s="42">
        <f>I444+I450</f>
        <v>318430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775758.75</v>
      </c>
      <c r="G455" s="18">
        <v>38730</v>
      </c>
      <c r="H455" s="18"/>
      <c r="I455" s="18">
        <v>0</v>
      </c>
      <c r="J455" s="18">
        <v>292627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9478286.25</v>
      </c>
      <c r="G458" s="18">
        <v>169078.11</v>
      </c>
      <c r="H458" s="18"/>
      <c r="I458" s="18">
        <v>500000</v>
      </c>
      <c r="J458" s="18">
        <v>25803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9478286.25</v>
      </c>
      <c r="G460" s="53">
        <f>SUM(G458:G459)</f>
        <v>169078.11</v>
      </c>
      <c r="H460" s="53">
        <f>SUM(H458:H459)</f>
        <v>0</v>
      </c>
      <c r="I460" s="53">
        <f>SUM(I458:I459)</f>
        <v>500000</v>
      </c>
      <c r="J460" s="53">
        <f>SUM(J458:J459)</f>
        <v>25803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9749294</f>
        <v>9749294</v>
      </c>
      <c r="G462" s="18">
        <f>166546</f>
        <v>166546</v>
      </c>
      <c r="H462" s="18"/>
      <c r="I462" s="18">
        <v>181570</v>
      </c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9749294</v>
      </c>
      <c r="G464" s="53">
        <f>SUM(G462:G463)</f>
        <v>166546</v>
      </c>
      <c r="H464" s="53">
        <f>SUM(H462:H463)</f>
        <v>0</v>
      </c>
      <c r="I464" s="53">
        <f>SUM(I462:I463)</f>
        <v>181570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504751</v>
      </c>
      <c r="G466" s="53">
        <f>(G455+G460)- G464</f>
        <v>41262.109999999986</v>
      </c>
      <c r="H466" s="53">
        <f>(H455+H460)- H464</f>
        <v>0</v>
      </c>
      <c r="I466" s="53">
        <f>(I455+I460)- I464</f>
        <v>318430</v>
      </c>
      <c r="J466" s="53">
        <f>(J455+J460)- J464</f>
        <v>318430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266823.11+309676.9+20748+19538.4+20378.72+940.52</f>
        <v>638105.65</v>
      </c>
      <c r="G511" s="18">
        <f>181189.31+5504.14+475.65+9000+1000+46565.19+30406.09+20059.97+1430+2463.24</f>
        <v>298093.58999999997</v>
      </c>
      <c r="H511" s="18">
        <f>187.5+4430.26+1043.57+802.65+201077.56</f>
        <v>207541.54</v>
      </c>
      <c r="I511" s="18">
        <f>800+800+95.31+277.86+29.97+476.12+789.66+230.88+2300+452.88</f>
        <v>6252.68</v>
      </c>
      <c r="J511" s="18">
        <f>481.38+55.99+44.01</f>
        <v>581.38</v>
      </c>
      <c r="K511" s="18">
        <v>200</v>
      </c>
      <c r="L511" s="88">
        <f>SUM(F511:K511)</f>
        <v>1150774.8399999999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300</v>
      </c>
      <c r="G513" s="18"/>
      <c r="H513" s="18">
        <f>6537.36+305247.9+87943.09</f>
        <v>399728.35</v>
      </c>
      <c r="I513" s="18"/>
      <c r="J513" s="18"/>
      <c r="K513" s="18"/>
      <c r="L513" s="88">
        <f>SUM(F513:K513)</f>
        <v>400028.35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638405.65</v>
      </c>
      <c r="G514" s="108">
        <f t="shared" ref="G514:L514" si="35">SUM(G511:G513)</f>
        <v>298093.58999999997</v>
      </c>
      <c r="H514" s="108">
        <f t="shared" si="35"/>
        <v>607269.89</v>
      </c>
      <c r="I514" s="108">
        <f t="shared" si="35"/>
        <v>6252.68</v>
      </c>
      <c r="J514" s="108">
        <f t="shared" si="35"/>
        <v>581.38</v>
      </c>
      <c r="K514" s="108">
        <f t="shared" si="35"/>
        <v>200</v>
      </c>
      <c r="L514" s="89">
        <f t="shared" si="35"/>
        <v>1550803.19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85702.98+21849.1</f>
        <v>107552.07999999999</v>
      </c>
      <c r="G516" s="18">
        <f>21178.82+916.24+151.2+1000+7910.36+2092.94+6419.14+165+284.22</f>
        <v>40117.920000000006</v>
      </c>
      <c r="H516" s="18">
        <f>25467.7+3264.6+7896.89+48775.8+8848.2</f>
        <v>94253.19</v>
      </c>
      <c r="I516" s="18">
        <f>400+996.95+164.27</f>
        <v>1561.22</v>
      </c>
      <c r="J516" s="18"/>
      <c r="K516" s="18"/>
      <c r="L516" s="88">
        <f>SUM(F516:K516)</f>
        <v>243484.41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22364.1</v>
      </c>
      <c r="I518" s="18"/>
      <c r="J518" s="18"/>
      <c r="K518" s="18"/>
      <c r="L518" s="88">
        <f>SUM(F518:K518)</f>
        <v>22364.1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107552.07999999999</v>
      </c>
      <c r="G519" s="89">
        <f t="shared" ref="G519:L519" si="36">SUM(G516:G518)</f>
        <v>40117.920000000006</v>
      </c>
      <c r="H519" s="89">
        <f t="shared" si="36"/>
        <v>116617.29000000001</v>
      </c>
      <c r="I519" s="89">
        <f t="shared" si="36"/>
        <v>1561.22</v>
      </c>
      <c r="J519" s="89">
        <f t="shared" si="36"/>
        <v>0</v>
      </c>
      <c r="K519" s="89">
        <f t="shared" si="36"/>
        <v>0</v>
      </c>
      <c r="L519" s="89">
        <f t="shared" si="36"/>
        <v>265848.51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36787.56</v>
      </c>
      <c r="G521" s="18">
        <v>16032.66</v>
      </c>
      <c r="H521" s="18">
        <v>1009.61</v>
      </c>
      <c r="I521" s="18">
        <v>886.17</v>
      </c>
      <c r="J521" s="18"/>
      <c r="K521" s="18"/>
      <c r="L521" s="88">
        <f>SUM(F521:K521)</f>
        <v>54716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22677.26</v>
      </c>
      <c r="G523" s="18">
        <v>9883.15</v>
      </c>
      <c r="H523" s="18">
        <v>622.36</v>
      </c>
      <c r="I523" s="18">
        <v>546.27</v>
      </c>
      <c r="J523" s="18"/>
      <c r="K523" s="18"/>
      <c r="L523" s="88">
        <f>SUM(F523:K523)</f>
        <v>33729.039999999994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59464.819999999992</v>
      </c>
      <c r="G524" s="89">
        <f t="shared" ref="G524:L524" si="37">SUM(G521:G523)</f>
        <v>25915.809999999998</v>
      </c>
      <c r="H524" s="89">
        <f t="shared" si="37"/>
        <v>1631.97</v>
      </c>
      <c r="I524" s="89">
        <f t="shared" si="37"/>
        <v>1432.44</v>
      </c>
      <c r="J524" s="89">
        <f t="shared" si="37"/>
        <v>0</v>
      </c>
      <c r="K524" s="89">
        <f t="shared" si="37"/>
        <v>0</v>
      </c>
      <c r="L524" s="89">
        <f t="shared" si="37"/>
        <v>88445.04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4964.78</v>
      </c>
      <c r="I526" s="18"/>
      <c r="J526" s="18"/>
      <c r="K526" s="18"/>
      <c r="L526" s="88">
        <f>SUM(F526:K526)</f>
        <v>4964.78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4964.78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4964.78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95394.11</v>
      </c>
      <c r="I531" s="18"/>
      <c r="J531" s="18"/>
      <c r="K531" s="18"/>
      <c r="L531" s="88">
        <f>SUM(F531:K531)</f>
        <v>95394.11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95394.11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95394.11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805422.54999999993</v>
      </c>
      <c r="G535" s="89">
        <f t="shared" ref="G535:L535" si="40">G514+G519+G524+G529+G534</f>
        <v>364127.31999999995</v>
      </c>
      <c r="H535" s="89">
        <f t="shared" si="40"/>
        <v>825878.04</v>
      </c>
      <c r="I535" s="89">
        <f t="shared" si="40"/>
        <v>9246.34</v>
      </c>
      <c r="J535" s="89">
        <f t="shared" si="40"/>
        <v>581.38</v>
      </c>
      <c r="K535" s="89">
        <f t="shared" si="40"/>
        <v>200</v>
      </c>
      <c r="L535" s="89">
        <f t="shared" si="40"/>
        <v>2005455.6300000001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1150774.8399999999</v>
      </c>
      <c r="G539" s="87">
        <f>L516</f>
        <v>243484.41</v>
      </c>
      <c r="H539" s="87">
        <f>L521</f>
        <v>54716</v>
      </c>
      <c r="I539" s="87">
        <f>L526</f>
        <v>4964.78</v>
      </c>
      <c r="J539" s="87">
        <f>L531</f>
        <v>95394.11</v>
      </c>
      <c r="K539" s="87">
        <f>SUM(F539:J539)</f>
        <v>1549334.14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400028.35</v>
      </c>
      <c r="G541" s="87">
        <f>L518</f>
        <v>22364.1</v>
      </c>
      <c r="H541" s="87">
        <f>L523</f>
        <v>33729.039999999994</v>
      </c>
      <c r="I541" s="87">
        <f>L528</f>
        <v>0</v>
      </c>
      <c r="J541" s="87">
        <f>L533</f>
        <v>0</v>
      </c>
      <c r="K541" s="87">
        <f>SUM(F541:J541)</f>
        <v>456121.48999999993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1550803.19</v>
      </c>
      <c r="G542" s="89">
        <f t="shared" si="41"/>
        <v>265848.51</v>
      </c>
      <c r="H542" s="89">
        <f t="shared" si="41"/>
        <v>88445.04</v>
      </c>
      <c r="I542" s="89">
        <f t="shared" si="41"/>
        <v>4964.78</v>
      </c>
      <c r="J542" s="89">
        <f t="shared" si="41"/>
        <v>95394.11</v>
      </c>
      <c r="K542" s="89">
        <f t="shared" si="41"/>
        <v>2005455.63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f>3099.09+3099.09+4993.79+3732.42</f>
        <v>14924.390000000001</v>
      </c>
      <c r="I565" s="87">
        <f>SUM(F565:H565)</f>
        <v>14924.390000000001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f>1317276.8+1293431.87+608774.47+17269.74</f>
        <v>3236752.88</v>
      </c>
      <c r="I567" s="87">
        <f t="shared" si="46"/>
        <v>3236752.88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6537.36</v>
      </c>
      <c r="I569" s="87">
        <f t="shared" si="46"/>
        <v>6537.36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f>94584+84434.99+41706.93+82603.1+1918.88</f>
        <v>305247.90000000002</v>
      </c>
      <c r="I571" s="87">
        <f t="shared" si="46"/>
        <v>305247.90000000002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201077.56</v>
      </c>
      <c r="G572" s="18"/>
      <c r="H572" s="18">
        <v>87943.09</v>
      </c>
      <c r="I572" s="87">
        <f t="shared" si="46"/>
        <v>289020.65000000002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210501.89</v>
      </c>
      <c r="I581" s="18"/>
      <c r="J581" s="18">
        <v>78938.11</v>
      </c>
      <c r="K581" s="104">
        <f t="shared" ref="K581:K587" si="47">SUM(H581:J581)</f>
        <v>289440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95394.11</v>
      </c>
      <c r="I582" s="18"/>
      <c r="J582" s="18"/>
      <c r="K582" s="104">
        <f t="shared" si="47"/>
        <v>95394.11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3140.16</v>
      </c>
      <c r="I584" s="18"/>
      <c r="J584" s="18"/>
      <c r="K584" s="104">
        <f t="shared" si="47"/>
        <v>3140.16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f>348.75+3185</f>
        <v>3533.75</v>
      </c>
      <c r="I585" s="18"/>
      <c r="J585" s="18"/>
      <c r="K585" s="104">
        <f t="shared" si="47"/>
        <v>3533.75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312569.90999999997</v>
      </c>
      <c r="I588" s="108">
        <f>SUM(I581:I587)</f>
        <v>0</v>
      </c>
      <c r="J588" s="108">
        <f>SUM(J581:J587)</f>
        <v>78938.11</v>
      </c>
      <c r="K588" s="108">
        <f>SUM(K581:K587)</f>
        <v>391508.01999999996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54185.14</v>
      </c>
      <c r="I594" s="18"/>
      <c r="J594" s="18"/>
      <c r="K594" s="104">
        <f>SUM(H594:J594)</f>
        <v>54185.14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54185.14</v>
      </c>
      <c r="I595" s="108">
        <f>SUM(I592:I594)</f>
        <v>0</v>
      </c>
      <c r="J595" s="108">
        <f>SUM(J592:J594)</f>
        <v>0</v>
      </c>
      <c r="K595" s="108">
        <f>SUM(K592:K594)</f>
        <v>54185.14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940.52+9100+5400</f>
        <v>15440.52</v>
      </c>
      <c r="G601" s="18"/>
      <c r="H601" s="18"/>
      <c r="I601" s="18"/>
      <c r="J601" s="18"/>
      <c r="K601" s="18"/>
      <c r="L601" s="88">
        <f>SUM(F601:K601)</f>
        <v>15440.52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300</v>
      </c>
      <c r="G603" s="18"/>
      <c r="H603" s="18"/>
      <c r="I603" s="18"/>
      <c r="J603" s="18"/>
      <c r="K603" s="18"/>
      <c r="L603" s="88">
        <f>SUM(F603:K603)</f>
        <v>300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15740.52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15740.52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959689.53</v>
      </c>
      <c r="H607" s="109">
        <f>SUM(F44)</f>
        <v>959689.52999999991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46933.94</v>
      </c>
      <c r="H608" s="109">
        <f>SUM(G44)</f>
        <v>46933.94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318430</v>
      </c>
      <c r="H610" s="109">
        <f>SUM(I44)</f>
        <v>318430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318430</v>
      </c>
      <c r="H611" s="109">
        <f>SUM(J44)</f>
        <v>318430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504751</v>
      </c>
      <c r="H612" s="109">
        <f>F466</f>
        <v>504751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41262.11</v>
      </c>
      <c r="H613" s="109">
        <f>G466</f>
        <v>41262.109999999986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318430</v>
      </c>
      <c r="H615" s="109">
        <f>I466</f>
        <v>318430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318430</v>
      </c>
      <c r="H616" s="109">
        <f>J466</f>
        <v>318430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9478286.25</v>
      </c>
      <c r="H617" s="104">
        <f>SUM(F458)</f>
        <v>9478286.25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169078.11</v>
      </c>
      <c r="H618" s="104">
        <f>SUM(G458)</f>
        <v>169078.11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500000</v>
      </c>
      <c r="H620" s="104">
        <f>SUM(I458)</f>
        <v>500000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25803</v>
      </c>
      <c r="H621" s="104">
        <f>SUM(J458)</f>
        <v>25803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9749294</v>
      </c>
      <c r="H622" s="104">
        <f>SUM(F462)</f>
        <v>9749294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68778.26999999999</v>
      </c>
      <c r="H624" s="104">
        <f>I361</f>
        <v>68778.26999999999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166546</v>
      </c>
      <c r="H625" s="104">
        <f>SUM(G462)</f>
        <v>166546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181570</v>
      </c>
      <c r="H626" s="104">
        <f>SUM(I462)</f>
        <v>181570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25803</v>
      </c>
      <c r="H627" s="164">
        <f>SUM(J458)</f>
        <v>25803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318430</v>
      </c>
      <c r="H629" s="104">
        <f>SUM(F451)</f>
        <v>318430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318430</v>
      </c>
      <c r="H632" s="104">
        <f>SUM(I451)</f>
        <v>318430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803</v>
      </c>
      <c r="H634" s="104">
        <f>H400</f>
        <v>803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25000</v>
      </c>
      <c r="H635" s="104">
        <f>G400</f>
        <v>25000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25803</v>
      </c>
      <c r="H636" s="104">
        <f>L400</f>
        <v>25803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391508.01999999996</v>
      </c>
      <c r="H637" s="104">
        <f>L200+L218+L236</f>
        <v>391508.01999999996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54185.14</v>
      </c>
      <c r="H638" s="104">
        <f>(J249+J330)-(J247+J328)</f>
        <v>54185.14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312569.90999999997</v>
      </c>
      <c r="H639" s="104">
        <f>H588</f>
        <v>312569.90999999997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78938.11</v>
      </c>
      <c r="H641" s="104">
        <f>J588</f>
        <v>78938.11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25000</v>
      </c>
      <c r="H645" s="104">
        <f>K258+K339</f>
        <v>25000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6134052.1699999999</v>
      </c>
      <c r="G650" s="19">
        <f>(L221+L301+L351)</f>
        <v>0</v>
      </c>
      <c r="H650" s="19">
        <f>(L239+L320+L352)</f>
        <v>3756787.83</v>
      </c>
      <c r="I650" s="19">
        <f>SUM(F650:H650)</f>
        <v>9890840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129347.43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129347.43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312569.90999999997</v>
      </c>
      <c r="G652" s="19">
        <f>(L218+L298)-(J218+J298)</f>
        <v>0</v>
      </c>
      <c r="H652" s="19">
        <f>(L236+L317)-(J236+J317)</f>
        <v>78938.11</v>
      </c>
      <c r="I652" s="19">
        <f>SUM(F652:H652)</f>
        <v>391508.01999999996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270703.22000000003</v>
      </c>
      <c r="G653" s="200">
        <f>SUM(G565:G577)+SUM(I592:I594)+L602</f>
        <v>0</v>
      </c>
      <c r="H653" s="200">
        <f>SUM(H565:H577)+SUM(J592:J594)+L603</f>
        <v>3651705.6199999996</v>
      </c>
      <c r="I653" s="19">
        <f>SUM(F653:H653)</f>
        <v>3922408.84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5421431.6099999994</v>
      </c>
      <c r="G654" s="19">
        <f>G650-SUM(G651:G653)</f>
        <v>0</v>
      </c>
      <c r="H654" s="19">
        <f>H650-SUM(H651:H653)</f>
        <v>26144.100000000559</v>
      </c>
      <c r="I654" s="19">
        <f>I650-SUM(I651:I653)</f>
        <v>5447575.71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431.58</v>
      </c>
      <c r="G655" s="249"/>
      <c r="H655" s="249"/>
      <c r="I655" s="19">
        <f>SUM(F655:H655)</f>
        <v>431.58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12561.82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12622.4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-26144.1</v>
      </c>
      <c r="I659" s="19">
        <f>SUM(F659:H659)</f>
        <v>-26144.1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12561.82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12561.82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75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BC8EA-6AE9-4DD5-B8BF-E8A7A82E5FD0}">
  <sheetPr>
    <tabColor indexed="20"/>
  </sheetPr>
  <dimension ref="A1:C52"/>
  <sheetViews>
    <sheetView workbookViewId="0">
      <selection activeCell="H45" sqref="H4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STRAFFORD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1783501.42</v>
      </c>
      <c r="C9" s="230">
        <f>'DOE25'!G189+'DOE25'!G207+'DOE25'!G225+'DOE25'!G268+'DOE25'!G287+'DOE25'!G306</f>
        <v>637916.42000000004</v>
      </c>
    </row>
    <row r="10" spans="1:3" x14ac:dyDescent="0.2">
      <c r="A10" t="s">
        <v>813</v>
      </c>
      <c r="B10" s="241">
        <v>1622499.69</v>
      </c>
      <c r="C10" s="241">
        <f>330431.4+14331.47+2741.13+6438.53+7000+116718.85+2814+3600.12+2875+118975.32-250</f>
        <v>605675.82000000007</v>
      </c>
    </row>
    <row r="11" spans="1:3" x14ac:dyDescent="0.2">
      <c r="A11" t="s">
        <v>814</v>
      </c>
      <c r="B11" s="241"/>
      <c r="C11" s="241"/>
    </row>
    <row r="12" spans="1:3" x14ac:dyDescent="0.2">
      <c r="A12" t="s">
        <v>815</v>
      </c>
      <c r="B12" s="241">
        <f>13649.45+1380+58349.5+3795+83827.78</f>
        <v>161001.72999999998</v>
      </c>
      <c r="C12" s="241">
        <f>12454.25+457.92+12316.63+6761.8+250</f>
        <v>32240.6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1783501.42</v>
      </c>
      <c r="C13" s="232">
        <f>SUM(C10:C12)</f>
        <v>637916.42000000004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638405.65</v>
      </c>
      <c r="C18" s="230">
        <f>'DOE25'!G190+'DOE25'!G208+'DOE25'!G226+'DOE25'!G269+'DOE25'!G288+'DOE25'!G307</f>
        <v>298093.58999999997</v>
      </c>
    </row>
    <row r="19" spans="1:3" x14ac:dyDescent="0.2">
      <c r="A19" t="s">
        <v>813</v>
      </c>
      <c r="B19" s="241">
        <v>266823.11</v>
      </c>
      <c r="C19" s="241">
        <f>475.65+1000+20059.97+1000+2000+20411.96+3672.46+61371.85</f>
        <v>109991.89</v>
      </c>
    </row>
    <row r="20" spans="1:3" x14ac:dyDescent="0.2">
      <c r="A20" t="s">
        <v>814</v>
      </c>
      <c r="B20" s="241">
        <v>309676.90000000002</v>
      </c>
      <c r="C20" s="241">
        <f>9000+29406.09+430+463.24+23690.28+1831.68+119817.46-14456.16</f>
        <v>170182.59</v>
      </c>
    </row>
    <row r="21" spans="1:3" x14ac:dyDescent="0.2">
      <c r="A21" t="s">
        <v>815</v>
      </c>
      <c r="B21" s="241">
        <f>20748+19538.4+20378.72+940.52+300</f>
        <v>61905.64</v>
      </c>
      <c r="C21" s="241">
        <f>1000+2462.95+14456.16</f>
        <v>17919.11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638405.65</v>
      </c>
      <c r="C22" s="232">
        <f>SUM(C19:C21)</f>
        <v>298093.58999999997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39331.25</v>
      </c>
      <c r="C36" s="236">
        <f>'DOE25'!G192+'DOE25'!G210+'DOE25'!G228+'DOE25'!G271+'DOE25'!G290+'DOE25'!G309</f>
        <v>5690.86</v>
      </c>
    </row>
    <row r="37" spans="1:3" x14ac:dyDescent="0.2">
      <c r="A37" t="s">
        <v>813</v>
      </c>
      <c r="B37" s="241">
        <f>6400+5400</f>
        <v>11800</v>
      </c>
      <c r="C37" s="241">
        <f>731.74+123.66+902.7</f>
        <v>1758.1</v>
      </c>
    </row>
    <row r="38" spans="1:3" x14ac:dyDescent="0.2">
      <c r="A38" t="s">
        <v>814</v>
      </c>
      <c r="B38" s="241">
        <v>2700</v>
      </c>
      <c r="C38" s="241">
        <f>71.09+206.55</f>
        <v>277.64</v>
      </c>
    </row>
    <row r="39" spans="1:3" x14ac:dyDescent="0.2">
      <c r="A39" t="s">
        <v>815</v>
      </c>
      <c r="B39" s="241">
        <f>700+2600+5600+2500+1350+2081.25+10000</f>
        <v>24831.25</v>
      </c>
      <c r="C39" s="241">
        <f>1134.68+194.65+123.66+1899.59+302.54</f>
        <v>3655.12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39331.25</v>
      </c>
      <c r="C40" s="232">
        <f>SUM(C37:C39)</f>
        <v>5690.86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9419F-66CB-4B07-A0F5-22A5F2B257A0}">
  <sheetPr>
    <tabColor indexed="11"/>
  </sheetPr>
  <dimension ref="A1:I51"/>
  <sheetViews>
    <sheetView workbookViewId="0">
      <pane ySplit="4" topLeftCell="A5" activePane="bottomLeft" state="frozen"/>
      <selection pane="bottomLeft" activeCell="B42" sqref="B4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STRAFFORD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7412495.6400000006</v>
      </c>
      <c r="D5" s="20">
        <f>SUM('DOE25'!L189:L192)+SUM('DOE25'!L207:L210)+SUM('DOE25'!L225:L228)-F5-G5</f>
        <v>7359963.6500000013</v>
      </c>
      <c r="E5" s="244"/>
      <c r="F5" s="256">
        <f>SUM('DOE25'!J189:J192)+SUM('DOE25'!J207:J210)+SUM('DOE25'!J225:J228)</f>
        <v>49321.81</v>
      </c>
      <c r="G5" s="53">
        <f>SUM('DOE25'!K189:K192)+SUM('DOE25'!K207:K210)+SUM('DOE25'!K225:K228)</f>
        <v>3210.1800000000003</v>
      </c>
      <c r="H5" s="260"/>
    </row>
    <row r="6" spans="1:9" x14ac:dyDescent="0.2">
      <c r="A6" s="32">
        <v>2100</v>
      </c>
      <c r="B6" t="s">
        <v>835</v>
      </c>
      <c r="C6" s="246">
        <f t="shared" si="0"/>
        <v>452505.21</v>
      </c>
      <c r="D6" s="20">
        <f>'DOE25'!L194+'DOE25'!L212+'DOE25'!L230-F6-G6</f>
        <v>450255.21</v>
      </c>
      <c r="E6" s="244"/>
      <c r="F6" s="256">
        <f>'DOE25'!J194+'DOE25'!J212+'DOE25'!J230</f>
        <v>0</v>
      </c>
      <c r="G6" s="53">
        <f>'DOE25'!K194+'DOE25'!K212+'DOE25'!K230</f>
        <v>2250</v>
      </c>
      <c r="H6" s="260"/>
    </row>
    <row r="7" spans="1:9" x14ac:dyDescent="0.2">
      <c r="A7" s="32">
        <v>2200</v>
      </c>
      <c r="B7" t="s">
        <v>868</v>
      </c>
      <c r="C7" s="246">
        <f t="shared" si="0"/>
        <v>184144.59000000003</v>
      </c>
      <c r="D7" s="20">
        <f>'DOE25'!L195+'DOE25'!L213+'DOE25'!L231-F7-G7</f>
        <v>183446.62000000002</v>
      </c>
      <c r="E7" s="244"/>
      <c r="F7" s="256">
        <f>'DOE25'!J195+'DOE25'!J213+'DOE25'!J231</f>
        <v>697.97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198451.05999999994</v>
      </c>
      <c r="D8" s="244"/>
      <c r="E8" s="20">
        <f>'DOE25'!L196+'DOE25'!L214+'DOE25'!L232-F8-G8-D9-D11</f>
        <v>192892.59999999995</v>
      </c>
      <c r="F8" s="256">
        <f>'DOE25'!J196+'DOE25'!J214+'DOE25'!J232</f>
        <v>0</v>
      </c>
      <c r="G8" s="53">
        <f>'DOE25'!K196+'DOE25'!K214+'DOE25'!K232</f>
        <v>5558.46</v>
      </c>
      <c r="H8" s="260"/>
    </row>
    <row r="9" spans="1:9" x14ac:dyDescent="0.2">
      <c r="A9" s="32">
        <v>2310</v>
      </c>
      <c r="B9" t="s">
        <v>852</v>
      </c>
      <c r="C9" s="246">
        <f t="shared" si="0"/>
        <v>50534.22</v>
      </c>
      <c r="D9" s="245">
        <f>3100+100+4160+300+2624.3+786.77+4964.78+7600+26898.37</f>
        <v>50534.22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7600</v>
      </c>
      <c r="D10" s="244"/>
      <c r="E10" s="245">
        <v>7600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82000.350000000006</v>
      </c>
      <c r="D11" s="245">
        <v>82000.350000000006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293296.55000000005</v>
      </c>
      <c r="D12" s="20">
        <f>'DOE25'!L197+'DOE25'!L215+'DOE25'!L233-F12-G12</f>
        <v>289157.66000000003</v>
      </c>
      <c r="E12" s="244"/>
      <c r="F12" s="256">
        <f>'DOE25'!J197+'DOE25'!J215+'DOE25'!J233</f>
        <v>0</v>
      </c>
      <c r="G12" s="53">
        <f>'DOE25'!K197+'DOE25'!K215+'DOE25'!K233</f>
        <v>4138.8900000000003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62024.62000000001</v>
      </c>
      <c r="D13" s="244"/>
      <c r="E13" s="20">
        <f>'DOE25'!L198+'DOE25'!L216+'DOE25'!L234-F13-G13</f>
        <v>62024.62000000001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597333.74</v>
      </c>
      <c r="D14" s="20">
        <f>'DOE25'!L199+'DOE25'!L217+'DOE25'!L235-F14-G14</f>
        <v>593168.38</v>
      </c>
      <c r="E14" s="244"/>
      <c r="F14" s="256">
        <f>'DOE25'!J199+'DOE25'!J217+'DOE25'!J235</f>
        <v>4165.3600000000006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391508.01999999996</v>
      </c>
      <c r="D15" s="20">
        <f>'DOE25'!L200+'DOE25'!L218+'DOE25'!L236-F15-G15</f>
        <v>391508.01999999996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101481.66</v>
      </c>
      <c r="D29" s="20">
        <f>'DOE25'!L350+'DOE25'!L351+'DOE25'!L352-'DOE25'!I359-F29-G29</f>
        <v>93632.49</v>
      </c>
      <c r="E29" s="244"/>
      <c r="F29" s="256">
        <f>'DOE25'!J350+'DOE25'!J351+'DOE25'!J352</f>
        <v>0</v>
      </c>
      <c r="G29" s="53">
        <f>'DOE25'!K350+'DOE25'!K351+'DOE25'!K352</f>
        <v>7849.17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9493666.6000000015</v>
      </c>
      <c r="E33" s="247">
        <f>SUM(E5:E31)</f>
        <v>262517.21999999997</v>
      </c>
      <c r="F33" s="247">
        <f>SUM(F5:F31)</f>
        <v>54185.14</v>
      </c>
      <c r="G33" s="247">
        <f>SUM(G5:G31)</f>
        <v>23006.699999999997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262517.21999999997</v>
      </c>
      <c r="E35" s="250"/>
    </row>
    <row r="36" spans="2:8" ht="12" thickTop="1" x14ac:dyDescent="0.2">
      <c r="B36" t="s">
        <v>849</v>
      </c>
      <c r="D36" s="20">
        <f>D33</f>
        <v>9493666.6000000015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43DAF-93E4-4864-92B3-F0DED414D6C1}">
  <sheetPr transitionEvaluation="1" codeName="Sheet2">
    <tabColor indexed="10"/>
  </sheetPr>
  <dimension ref="A1:I156"/>
  <sheetViews>
    <sheetView zoomScale="75" workbookViewId="0">
      <pane ySplit="2" topLeftCell="A73" activePane="bottomLeft" state="frozen"/>
      <selection pane="bottomLeft" activeCell="I115" sqref="I115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STRAFFORD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817887.27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318430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111323.84</v>
      </c>
      <c r="D13" s="95">
        <f>'DOE25'!G13</f>
        <v>45804</v>
      </c>
      <c r="E13" s="95">
        <f>'DOE25'!H13</f>
        <v>0</v>
      </c>
      <c r="F13" s="95">
        <f>'DOE25'!I13</f>
        <v>0</v>
      </c>
      <c r="G13" s="95">
        <f>'DOE25'!J13</f>
        <v>318430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30478.42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1129.94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959689.53</v>
      </c>
      <c r="D19" s="41">
        <f>SUM(D9:D18)</f>
        <v>46933.94</v>
      </c>
      <c r="E19" s="41">
        <f>SUM(E9:E18)</f>
        <v>0</v>
      </c>
      <c r="F19" s="41">
        <f>SUM(F9:F18)</f>
        <v>318430</v>
      </c>
      <c r="G19" s="41">
        <f>SUM(G9:G18)</f>
        <v>318430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312862.65999999997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5567.34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69420.53</v>
      </c>
      <c r="D24" s="95">
        <f>'DOE25'!G25</f>
        <v>104.49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72655.34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454938.52999999991</v>
      </c>
      <c r="D32" s="41">
        <f>SUM(D22:D31)</f>
        <v>5671.83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1129.94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41900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50000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40132.17</v>
      </c>
      <c r="E40" s="95">
        <f>'DOE25'!H41</f>
        <v>0</v>
      </c>
      <c r="F40" s="95">
        <f>'DOE25'!I41</f>
        <v>318430</v>
      </c>
      <c r="G40" s="95">
        <f>'DOE25'!J41</f>
        <v>318430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412851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504751</v>
      </c>
      <c r="D42" s="41">
        <f>SUM(D34:D41)</f>
        <v>41262.11</v>
      </c>
      <c r="E42" s="41">
        <f>SUM(E34:E41)</f>
        <v>0</v>
      </c>
      <c r="F42" s="41">
        <f>SUM(F34:F41)</f>
        <v>318430</v>
      </c>
      <c r="G42" s="41">
        <f>SUM(G34:G41)</f>
        <v>318430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959689.52999999991</v>
      </c>
      <c r="D43" s="41">
        <f>D42+D32</f>
        <v>46933.94</v>
      </c>
      <c r="E43" s="41">
        <f>E42+E32</f>
        <v>0</v>
      </c>
      <c r="F43" s="41">
        <f>F42+F32</f>
        <v>318430</v>
      </c>
      <c r="G43" s="41">
        <f>G42+G32</f>
        <v>318430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6021761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3298.04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1496.47</v>
      </c>
      <c r="D51" s="95">
        <f>'DOE25'!G88</f>
        <v>88</v>
      </c>
      <c r="E51" s="95">
        <f>'DOE25'!H88</f>
        <v>0</v>
      </c>
      <c r="F51" s="95">
        <f>'DOE25'!I88</f>
        <v>0</v>
      </c>
      <c r="G51" s="95">
        <f>'DOE25'!J88</f>
        <v>803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112102.43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3979.11</v>
      </c>
      <c r="D53" s="95">
        <f>SUM('DOE25'!G90:G102)</f>
        <v>17245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8773.6200000000008</v>
      </c>
      <c r="D54" s="130">
        <f>SUM(D49:D53)</f>
        <v>129435.43</v>
      </c>
      <c r="E54" s="130">
        <f>SUM(E49:E53)</f>
        <v>0</v>
      </c>
      <c r="F54" s="130">
        <f>SUM(F49:F53)</f>
        <v>0</v>
      </c>
      <c r="G54" s="130">
        <f>SUM(G49:G53)</f>
        <v>803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6030534.6200000001</v>
      </c>
      <c r="D55" s="22">
        <f>D48+D54</f>
        <v>129435.43</v>
      </c>
      <c r="E55" s="22">
        <f>E48+E54</f>
        <v>0</v>
      </c>
      <c r="F55" s="22">
        <f>F48+F54</f>
        <v>0</v>
      </c>
      <c r="G55" s="22">
        <f>G48+G54</f>
        <v>803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1671155.84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1042273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641170.16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3354599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2872.9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35573.74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1980.68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38446.639999999999</v>
      </c>
      <c r="D70" s="130">
        <f>SUM(D64:D69)</f>
        <v>1980.68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3393045.64</v>
      </c>
      <c r="D73" s="130">
        <f>SUM(D71:D72)+D70+D62</f>
        <v>1980.68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54705.99</v>
      </c>
      <c r="D80" s="95">
        <f>SUM('DOE25'!G145:G153)</f>
        <v>37662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54705.99</v>
      </c>
      <c r="D83" s="131">
        <f>SUM(D77:D82)</f>
        <v>37662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500000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25000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500000</v>
      </c>
      <c r="G95" s="86">
        <f>SUM(G85:G94)</f>
        <v>25000</v>
      </c>
    </row>
    <row r="96" spans="1:7" ht="12.75" thickTop="1" thickBot="1" x14ac:dyDescent="0.25">
      <c r="A96" s="33" t="s">
        <v>797</v>
      </c>
      <c r="C96" s="86">
        <f>C55+C73+C83+C95</f>
        <v>9478286.25</v>
      </c>
      <c r="D96" s="86">
        <f>D55+D73+D83+D95</f>
        <v>169078.11</v>
      </c>
      <c r="E96" s="86">
        <f>E55+E73+E83+E95</f>
        <v>0</v>
      </c>
      <c r="F96" s="86">
        <f>F55+F73+F83+F95</f>
        <v>500000</v>
      </c>
      <c r="G96" s="86">
        <f>G55+G73+G95</f>
        <v>25803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5812576.1799999997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1550803.19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49116.270000000004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7412495.6399999987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452505.21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184144.59000000003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330985.63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293296.55000000005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62024.62000000001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597333.74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391508.01999999996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166546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2311798.36</v>
      </c>
      <c r="D120" s="86">
        <f>SUM(D110:D119)</f>
        <v>166546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181570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25803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-803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25000</v>
      </c>
      <c r="D136" s="141">
        <f>SUM(D122:D135)</f>
        <v>0</v>
      </c>
      <c r="E136" s="141">
        <f>SUM(E122:E135)</f>
        <v>0</v>
      </c>
      <c r="F136" s="141">
        <f>SUM(F122:F135)</f>
        <v>181570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9749293.9999999981</v>
      </c>
      <c r="D137" s="86">
        <f>(D107+D120+D136)</f>
        <v>166546</v>
      </c>
      <c r="E137" s="86">
        <f>(E107+E120+E136)</f>
        <v>0</v>
      </c>
      <c r="F137" s="86">
        <f>(F107+F120+F136)</f>
        <v>181570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454C-304A-4059-A617-A849FC182741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STRAFFORD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12562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12562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5812576</v>
      </c>
      <c r="D10" s="182">
        <f>ROUND((C10/$C$28)*100,1)</f>
        <v>59.5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1550803</v>
      </c>
      <c r="D11" s="182">
        <f>ROUND((C11/$C$28)*100,1)</f>
        <v>15.9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49116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452505</v>
      </c>
      <c r="D15" s="182">
        <f t="shared" ref="D15:D27" si="0">ROUND((C15/$C$28)*100,1)</f>
        <v>4.5999999999999996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184145</v>
      </c>
      <c r="D16" s="182">
        <f t="shared" si="0"/>
        <v>1.9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330986</v>
      </c>
      <c r="D17" s="182">
        <f t="shared" si="0"/>
        <v>3.4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293297</v>
      </c>
      <c r="D18" s="182">
        <f t="shared" si="0"/>
        <v>3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62025</v>
      </c>
      <c r="D19" s="182">
        <f t="shared" si="0"/>
        <v>0.6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597334</v>
      </c>
      <c r="D20" s="182">
        <f t="shared" si="0"/>
        <v>6.1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391508</v>
      </c>
      <c r="D21" s="182">
        <f t="shared" si="0"/>
        <v>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37198.570000000007</v>
      </c>
      <c r="D27" s="182">
        <f t="shared" si="0"/>
        <v>0.4</v>
      </c>
    </row>
    <row r="28" spans="1:4" x14ac:dyDescent="0.2">
      <c r="B28" s="187" t="s">
        <v>754</v>
      </c>
      <c r="C28" s="180">
        <f>SUM(C10:C27)</f>
        <v>9761493.5700000003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181570</v>
      </c>
    </row>
    <row r="30" spans="1:4" x14ac:dyDescent="0.2">
      <c r="B30" s="187" t="s">
        <v>760</v>
      </c>
      <c r="C30" s="180">
        <f>SUM(C28:C29)</f>
        <v>9943063.5700000003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6021761</v>
      </c>
      <c r="D35" s="182">
        <f t="shared" ref="D35:D40" si="1">ROUND((C35/$C$41)*100,1)</f>
        <v>63.3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9664.6200000001118</v>
      </c>
      <c r="D36" s="182">
        <f t="shared" si="1"/>
        <v>0.1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2713429</v>
      </c>
      <c r="D37" s="182">
        <f t="shared" si="1"/>
        <v>28.5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681597</v>
      </c>
      <c r="D38" s="182">
        <f t="shared" si="1"/>
        <v>7.2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92368</v>
      </c>
      <c r="D39" s="182">
        <f t="shared" si="1"/>
        <v>1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9518819.620000001</v>
      </c>
      <c r="D41" s="184">
        <f>SUM(D35:D40)</f>
        <v>100.10000000000001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500000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E4D5-6ABE-42A2-8632-7586EB255729}">
  <sheetPr>
    <tabColor indexed="17"/>
  </sheetPr>
  <dimension ref="A1:IV90"/>
  <sheetViews>
    <sheetView workbookViewId="0">
      <pane ySplit="3" topLeftCell="A4" activePane="bottomLeft" state="frozen"/>
      <selection pane="bottomLeft" activeCell="A4" sqref="A4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STRAFFORD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2</v>
      </c>
      <c r="B4" s="220">
        <v>5</v>
      </c>
      <c r="C4" s="280" t="s">
        <v>895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 t="s">
        <v>896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15:M15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62:M62"/>
    <mergeCell ref="C63:M63"/>
    <mergeCell ref="C64:M64"/>
    <mergeCell ref="C65:M65"/>
    <mergeCell ref="C34:M34"/>
    <mergeCell ref="C35:M35"/>
    <mergeCell ref="C36:M36"/>
    <mergeCell ref="A2:E2"/>
    <mergeCell ref="A1:I1"/>
    <mergeCell ref="C3:M3"/>
    <mergeCell ref="C4:M4"/>
    <mergeCell ref="F2:I2"/>
    <mergeCell ref="C19:M19"/>
    <mergeCell ref="C9:M9"/>
    <mergeCell ref="C10:M10"/>
    <mergeCell ref="C11:M11"/>
    <mergeCell ref="C12:M12"/>
    <mergeCell ref="P32:Z32"/>
    <mergeCell ref="C5:M5"/>
    <mergeCell ref="C6:M6"/>
    <mergeCell ref="C7:M7"/>
    <mergeCell ref="C8:M8"/>
    <mergeCell ref="C16:M16"/>
    <mergeCell ref="C17:M17"/>
    <mergeCell ref="C18:M18"/>
    <mergeCell ref="C13:M13"/>
    <mergeCell ref="C14:M14"/>
    <mergeCell ref="C30:M30"/>
    <mergeCell ref="C31: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IC29:IM29"/>
    <mergeCell ref="IP29:IV29"/>
    <mergeCell ref="C33:M33"/>
    <mergeCell ref="EC29:EM29"/>
    <mergeCell ref="EP29:EZ29"/>
    <mergeCell ref="FC29:FM29"/>
    <mergeCell ref="P29:Z29"/>
    <mergeCell ref="AC29:AM29"/>
    <mergeCell ref="AP29:AZ29"/>
    <mergeCell ref="C32:M32"/>
    <mergeCell ref="P30:Z30"/>
    <mergeCell ref="AC30:AM30"/>
    <mergeCell ref="AP30:AZ30"/>
    <mergeCell ref="P31:Z31"/>
    <mergeCell ref="HC29:HM29"/>
    <mergeCell ref="HP29:HZ29"/>
    <mergeCell ref="DP29:DZ29"/>
    <mergeCell ref="AC31:AM31"/>
    <mergeCell ref="AP31:AZ31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FC30:FM30"/>
    <mergeCell ref="CC30:CM30"/>
    <mergeCell ref="CP30:CZ30"/>
    <mergeCell ref="DC30:DM30"/>
    <mergeCell ref="DP30:DZ30"/>
    <mergeCell ref="EC30:EM30"/>
    <mergeCell ref="EP30:EZ30"/>
    <mergeCell ref="BC39:BM39"/>
    <mergeCell ref="BP31:BZ31"/>
    <mergeCell ref="BP38:BZ38"/>
    <mergeCell ref="CC31:CM31"/>
    <mergeCell ref="CP31:CZ31"/>
    <mergeCell ref="DC31:DM31"/>
    <mergeCell ref="IC30:IM30"/>
    <mergeCell ref="IP30:IV30"/>
    <mergeCell ref="FP30:FZ30"/>
    <mergeCell ref="GC30:GM30"/>
    <mergeCell ref="GP30:GZ30"/>
    <mergeCell ref="HC30:HM30"/>
    <mergeCell ref="HP30:HZ30"/>
    <mergeCell ref="HP32:HZ32"/>
    <mergeCell ref="IC32:IM32"/>
    <mergeCell ref="IP32:IV32"/>
    <mergeCell ref="FC32:FM32"/>
    <mergeCell ref="GP32:GZ32"/>
    <mergeCell ref="FP31:FZ31"/>
    <mergeCell ref="GC31:GM31"/>
    <mergeCell ref="IP31:IV31"/>
    <mergeCell ref="HC31:HM31"/>
    <mergeCell ref="HP31:HZ31"/>
    <mergeCell ref="IC31:IM31"/>
    <mergeCell ref="DP31:DZ31"/>
    <mergeCell ref="EC31:EM31"/>
    <mergeCell ref="EP31:EZ31"/>
    <mergeCell ref="FC31:FM31"/>
    <mergeCell ref="CC32:CM32"/>
    <mergeCell ref="CP38:CZ38"/>
    <mergeCell ref="AC32:AM32"/>
    <mergeCell ref="AP32:AZ32"/>
    <mergeCell ref="CP32:CZ32"/>
    <mergeCell ref="GP31:GZ31"/>
    <mergeCell ref="BC31:BM31"/>
    <mergeCell ref="BC32:BM32"/>
    <mergeCell ref="HC32:HM32"/>
    <mergeCell ref="DC32:DM32"/>
    <mergeCell ref="DP32:DZ32"/>
    <mergeCell ref="EC32:EM32"/>
    <mergeCell ref="EP32:EZ32"/>
    <mergeCell ref="FP32:FZ32"/>
    <mergeCell ref="GC32:GM32"/>
    <mergeCell ref="FP38:FZ38"/>
    <mergeCell ref="GC38:GM38"/>
    <mergeCell ref="GP38:GZ38"/>
    <mergeCell ref="HC38:HM38"/>
    <mergeCell ref="P38:Z38"/>
    <mergeCell ref="AC38:AM38"/>
    <mergeCell ref="AP38:AZ38"/>
    <mergeCell ref="CC38:CM38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CC39:CM39"/>
    <mergeCell ref="CP39:CZ39"/>
    <mergeCell ref="BP39:BZ39"/>
    <mergeCell ref="DC39:DM39"/>
    <mergeCell ref="HP38:HZ38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IP40:IV40"/>
    <mergeCell ref="HC40:HM40"/>
    <mergeCell ref="HP40:HZ40"/>
    <mergeCell ref="IC40:IM40"/>
    <mergeCell ref="DP39:DZ39"/>
    <mergeCell ref="EC39:EM39"/>
    <mergeCell ref="GC39:GM39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2010-10-27T13:25:06Z</cp:lastPrinted>
  <dcterms:created xsi:type="dcterms:W3CDTF">1997-12-04T19:04:30Z</dcterms:created>
  <dcterms:modified xsi:type="dcterms:W3CDTF">2025-01-09T20:23:24Z</dcterms:modified>
</cp:coreProperties>
</file>