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C5FF70D2-F4E6-4F70-B456-6FE4DE3D779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A4F7A09B-8B9A-40A0-A5A7-DFEFCB3B0FD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2" l="1"/>
  <c r="C38" i="12"/>
  <c r="B38" i="12"/>
  <c r="B37" i="12"/>
  <c r="C19" i="12"/>
  <c r="B20" i="12"/>
  <c r="B19" i="12"/>
  <c r="B22" i="12" s="1"/>
  <c r="J594" i="1"/>
  <c r="J595" i="1" s="1"/>
  <c r="H594" i="1"/>
  <c r="H581" i="1"/>
  <c r="K581" i="1" s="1"/>
  <c r="K588" i="1" s="1"/>
  <c r="G637" i="1" s="1"/>
  <c r="J637" i="1" s="1"/>
  <c r="H585" i="1"/>
  <c r="H584" i="1"/>
  <c r="H582" i="1"/>
  <c r="F511" i="1"/>
  <c r="G511" i="1"/>
  <c r="I511" i="1"/>
  <c r="H513" i="1"/>
  <c r="G513" i="1"/>
  <c r="F513" i="1"/>
  <c r="L513" i="1" s="1"/>
  <c r="H516" i="1"/>
  <c r="H519" i="1" s="1"/>
  <c r="H535" i="1" s="1"/>
  <c r="K521" i="1"/>
  <c r="G523" i="1"/>
  <c r="G521" i="1"/>
  <c r="F521" i="1"/>
  <c r="H531" i="1"/>
  <c r="F12" i="1"/>
  <c r="H268" i="1"/>
  <c r="G352" i="1"/>
  <c r="G350" i="1"/>
  <c r="I352" i="1"/>
  <c r="I350" i="1"/>
  <c r="L350" i="1" s="1"/>
  <c r="F352" i="1"/>
  <c r="F354" i="1" s="1"/>
  <c r="F350" i="1"/>
  <c r="G268" i="1"/>
  <c r="G282" i="1" s="1"/>
  <c r="G330" i="1" s="1"/>
  <c r="G344" i="1" s="1"/>
  <c r="J268" i="1"/>
  <c r="I268" i="1"/>
  <c r="F268" i="1"/>
  <c r="H200" i="1"/>
  <c r="H236" i="1"/>
  <c r="I235" i="1"/>
  <c r="I199" i="1"/>
  <c r="H235" i="1"/>
  <c r="H199" i="1"/>
  <c r="L199" i="1" s="1"/>
  <c r="G235" i="1"/>
  <c r="G199" i="1"/>
  <c r="F235" i="1"/>
  <c r="L235" i="1" s="1"/>
  <c r="F199" i="1"/>
  <c r="K197" i="1"/>
  <c r="K233" i="1"/>
  <c r="I197" i="1"/>
  <c r="H233" i="1"/>
  <c r="H197" i="1"/>
  <c r="G233" i="1"/>
  <c r="G197" i="1"/>
  <c r="F233" i="1"/>
  <c r="F239" i="1" s="1"/>
  <c r="F197" i="1"/>
  <c r="L197" i="1" s="1"/>
  <c r="H232" i="1"/>
  <c r="H196" i="1"/>
  <c r="L196" i="1" s="1"/>
  <c r="H195" i="1"/>
  <c r="J231" i="1"/>
  <c r="J195" i="1"/>
  <c r="I231" i="1"/>
  <c r="I195" i="1"/>
  <c r="H231" i="1"/>
  <c r="G231" i="1"/>
  <c r="G195" i="1"/>
  <c r="F195" i="1"/>
  <c r="L195" i="1" s="1"/>
  <c r="I230" i="1"/>
  <c r="L230" i="1" s="1"/>
  <c r="H194" i="1"/>
  <c r="G230" i="1"/>
  <c r="G194" i="1"/>
  <c r="F194" i="1"/>
  <c r="F190" i="1"/>
  <c r="L190" i="1" s="1"/>
  <c r="G190" i="1"/>
  <c r="K228" i="1"/>
  <c r="G5" i="13" s="1"/>
  <c r="I228" i="1"/>
  <c r="H228" i="1"/>
  <c r="H192" i="1"/>
  <c r="G228" i="1"/>
  <c r="G239" i="1" s="1"/>
  <c r="G192" i="1"/>
  <c r="G203" i="1" s="1"/>
  <c r="G249" i="1" s="1"/>
  <c r="G263" i="1" s="1"/>
  <c r="F192" i="1"/>
  <c r="I190" i="1"/>
  <c r="H226" i="1"/>
  <c r="H190" i="1"/>
  <c r="G226" i="1"/>
  <c r="F226" i="1"/>
  <c r="L226" i="1" s="1"/>
  <c r="H225" i="1"/>
  <c r="K225" i="1"/>
  <c r="J225" i="1"/>
  <c r="J189" i="1"/>
  <c r="F5" i="13" s="1"/>
  <c r="I225" i="1"/>
  <c r="I239" i="1" s="1"/>
  <c r="I189" i="1"/>
  <c r="L189" i="1" s="1"/>
  <c r="H189" i="1"/>
  <c r="G225" i="1"/>
  <c r="L225" i="1" s="1"/>
  <c r="G189" i="1"/>
  <c r="C9" i="12" s="1"/>
  <c r="F225" i="1"/>
  <c r="F189" i="1"/>
  <c r="B9" i="12" s="1"/>
  <c r="A13" i="12" s="1"/>
  <c r="C60" i="2"/>
  <c r="B2" i="13"/>
  <c r="F8" i="13"/>
  <c r="G8" i="13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C117" i="2" s="1"/>
  <c r="L219" i="1"/>
  <c r="L237" i="1"/>
  <c r="L191" i="1"/>
  <c r="L207" i="1"/>
  <c r="L208" i="1"/>
  <c r="L221" i="1" s="1"/>
  <c r="G650" i="1" s="1"/>
  <c r="L209" i="1"/>
  <c r="L210" i="1"/>
  <c r="L227" i="1"/>
  <c r="F6" i="13"/>
  <c r="G6" i="13"/>
  <c r="L194" i="1"/>
  <c r="L212" i="1"/>
  <c r="F7" i="13"/>
  <c r="G7" i="13"/>
  <c r="L213" i="1"/>
  <c r="L231" i="1"/>
  <c r="F12" i="13"/>
  <c r="G12" i="13"/>
  <c r="L215" i="1"/>
  <c r="L233" i="1"/>
  <c r="F14" i="13"/>
  <c r="G14" i="13"/>
  <c r="L217" i="1"/>
  <c r="F15" i="13"/>
  <c r="G15" i="13"/>
  <c r="L200" i="1"/>
  <c r="H637" i="1" s="1"/>
  <c r="L218" i="1"/>
  <c r="L236" i="1"/>
  <c r="H652" i="1" s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C24" i="10" s="1"/>
  <c r="F29" i="13"/>
  <c r="G29" i="13"/>
  <c r="L351" i="1"/>
  <c r="I359" i="1"/>
  <c r="J282" i="1"/>
  <c r="J301" i="1"/>
  <c r="J330" i="1" s="1"/>
  <c r="J344" i="1" s="1"/>
  <c r="J320" i="1"/>
  <c r="F31" i="13"/>
  <c r="K282" i="1"/>
  <c r="K301" i="1"/>
  <c r="G31" i="13" s="1"/>
  <c r="K320" i="1"/>
  <c r="L269" i="1"/>
  <c r="L270" i="1"/>
  <c r="L271" i="1"/>
  <c r="L273" i="1"/>
  <c r="L274" i="1"/>
  <c r="E111" i="2" s="1"/>
  <c r="L275" i="1"/>
  <c r="E112" i="2" s="1"/>
  <c r="L276" i="1"/>
  <c r="L277" i="1"/>
  <c r="L278" i="1"/>
  <c r="E115" i="2" s="1"/>
  <c r="L279" i="1"/>
  <c r="L280" i="1"/>
  <c r="L287" i="1"/>
  <c r="L288" i="1"/>
  <c r="L301" i="1" s="1"/>
  <c r="L289" i="1"/>
  <c r="L290" i="1"/>
  <c r="L292" i="1"/>
  <c r="E110" i="2" s="1"/>
  <c r="L293" i="1"/>
  <c r="L294" i="1"/>
  <c r="L295" i="1"/>
  <c r="L296" i="1"/>
  <c r="L297" i="1"/>
  <c r="L298" i="1"/>
  <c r="L299" i="1"/>
  <c r="L306" i="1"/>
  <c r="L307" i="1"/>
  <c r="L308" i="1"/>
  <c r="L309" i="1"/>
  <c r="L320" i="1" s="1"/>
  <c r="L311" i="1"/>
  <c r="L312" i="1"/>
  <c r="L313" i="1"/>
  <c r="L314" i="1"/>
  <c r="L315" i="1"/>
  <c r="L316" i="1"/>
  <c r="L317" i="1"/>
  <c r="L318" i="1"/>
  <c r="L325" i="1"/>
  <c r="L326" i="1"/>
  <c r="L327" i="1"/>
  <c r="L252" i="1"/>
  <c r="L253" i="1"/>
  <c r="L333" i="1"/>
  <c r="L334" i="1"/>
  <c r="H25" i="13"/>
  <c r="C25" i="13" s="1"/>
  <c r="L247" i="1"/>
  <c r="L328" i="1"/>
  <c r="C29" i="10" s="1"/>
  <c r="F22" i="13"/>
  <c r="C22" i="13" s="1"/>
  <c r="C11" i="13"/>
  <c r="C10" i="13"/>
  <c r="C9" i="13"/>
  <c r="L353" i="1"/>
  <c r="B4" i="12"/>
  <c r="B36" i="12"/>
  <c r="B40" i="12"/>
  <c r="C40" i="12"/>
  <c r="B27" i="12"/>
  <c r="C27" i="12"/>
  <c r="B31" i="12"/>
  <c r="C31" i="12"/>
  <c r="A31" i="12" s="1"/>
  <c r="B13" i="12"/>
  <c r="C13" i="12"/>
  <c r="B18" i="12"/>
  <c r="C18" i="12"/>
  <c r="C22" i="12"/>
  <c r="B1" i="12"/>
  <c r="L379" i="1"/>
  <c r="L380" i="1"/>
  <c r="L381" i="1"/>
  <c r="L382" i="1"/>
  <c r="L383" i="1"/>
  <c r="L384" i="1"/>
  <c r="L385" i="1"/>
  <c r="L400" i="1" s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/>
  <c r="G51" i="2"/>
  <c r="G53" i="2"/>
  <c r="G54" i="2"/>
  <c r="G55" i="2"/>
  <c r="F2" i="11"/>
  <c r="L603" i="1"/>
  <c r="L602" i="1"/>
  <c r="G653" i="1" s="1"/>
  <c r="L601" i="1"/>
  <c r="F653" i="1"/>
  <c r="C40" i="10"/>
  <c r="F52" i="1"/>
  <c r="F104" i="1" s="1"/>
  <c r="F185" i="1" s="1"/>
  <c r="G617" i="1" s="1"/>
  <c r="J617" i="1" s="1"/>
  <c r="G52" i="1"/>
  <c r="G104" i="1" s="1"/>
  <c r="H52" i="1"/>
  <c r="E48" i="2" s="1"/>
  <c r="E55" i="2" s="1"/>
  <c r="I52" i="1"/>
  <c r="F48" i="2" s="1"/>
  <c r="C35" i="10"/>
  <c r="C36" i="10" s="1"/>
  <c r="F71" i="1"/>
  <c r="F86" i="1"/>
  <c r="C50" i="2" s="1"/>
  <c r="C54" i="2" s="1"/>
  <c r="C55" i="2" s="1"/>
  <c r="C96" i="2" s="1"/>
  <c r="F103" i="1"/>
  <c r="G103" i="1"/>
  <c r="H71" i="1"/>
  <c r="H86" i="1"/>
  <c r="H103" i="1"/>
  <c r="H104" i="1"/>
  <c r="I103" i="1"/>
  <c r="I104" i="1"/>
  <c r="J103" i="1"/>
  <c r="J104" i="1"/>
  <c r="C37" i="10"/>
  <c r="F113" i="1"/>
  <c r="F128" i="1"/>
  <c r="F132" i="1"/>
  <c r="G113" i="1"/>
  <c r="G128" i="1"/>
  <c r="G132" i="1"/>
  <c r="H113" i="1"/>
  <c r="H132" i="1" s="1"/>
  <c r="H128" i="1"/>
  <c r="I113" i="1"/>
  <c r="I132" i="1" s="1"/>
  <c r="I128" i="1"/>
  <c r="J113" i="1"/>
  <c r="J128" i="1"/>
  <c r="J132" i="1"/>
  <c r="F139" i="1"/>
  <c r="F154" i="1"/>
  <c r="F161" i="1"/>
  <c r="G139" i="1"/>
  <c r="D77" i="2" s="1"/>
  <c r="D83" i="2" s="1"/>
  <c r="G154" i="1"/>
  <c r="H139" i="1"/>
  <c r="H161" i="1" s="1"/>
  <c r="H154" i="1"/>
  <c r="I139" i="1"/>
  <c r="I154" i="1"/>
  <c r="I161" i="1"/>
  <c r="C12" i="10"/>
  <c r="C19" i="10"/>
  <c r="L242" i="1"/>
  <c r="L324" i="1"/>
  <c r="C23" i="10"/>
  <c r="L246" i="1"/>
  <c r="C25" i="10"/>
  <c r="L260" i="1"/>
  <c r="C26" i="10" s="1"/>
  <c r="L261" i="1"/>
  <c r="L341" i="1"/>
  <c r="L342" i="1"/>
  <c r="L343" i="1" s="1"/>
  <c r="I655" i="1"/>
  <c r="I660" i="1"/>
  <c r="F652" i="1"/>
  <c r="G652" i="1"/>
  <c r="I652" i="1" s="1"/>
  <c r="I659" i="1"/>
  <c r="C5" i="10"/>
  <c r="C42" i="10"/>
  <c r="C32" i="10"/>
  <c r="L366" i="1"/>
  <c r="L367" i="1"/>
  <c r="F122" i="2" s="1"/>
  <c r="F136" i="2" s="1"/>
  <c r="F137" i="2" s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L512" i="1"/>
  <c r="F540" i="1"/>
  <c r="L516" i="1"/>
  <c r="G539" i="1" s="1"/>
  <c r="L517" i="1"/>
  <c r="G540" i="1" s="1"/>
  <c r="L518" i="1"/>
  <c r="G541" i="1"/>
  <c r="L521" i="1"/>
  <c r="H539" i="1"/>
  <c r="H542" i="1" s="1"/>
  <c r="L522" i="1"/>
  <c r="H540" i="1"/>
  <c r="L523" i="1"/>
  <c r="L524" i="1" s="1"/>
  <c r="H541" i="1"/>
  <c r="L526" i="1"/>
  <c r="I539" i="1" s="1"/>
  <c r="I542" i="1" s="1"/>
  <c r="L527" i="1"/>
  <c r="I540" i="1"/>
  <c r="L528" i="1"/>
  <c r="I541" i="1"/>
  <c r="L531" i="1"/>
  <c r="J539" i="1"/>
  <c r="J542" i="1" s="1"/>
  <c r="L532" i="1"/>
  <c r="L534" i="1" s="1"/>
  <c r="J540" i="1"/>
  <c r="L533" i="1"/>
  <c r="J541" i="1"/>
  <c r="E124" i="2"/>
  <c r="E123" i="2"/>
  <c r="K262" i="1"/>
  <c r="J262" i="1"/>
  <c r="I262" i="1"/>
  <c r="H262" i="1"/>
  <c r="G262" i="1"/>
  <c r="L262" i="1" s="1"/>
  <c r="F262" i="1"/>
  <c r="C124" i="2"/>
  <c r="C123" i="2"/>
  <c r="A1" i="2"/>
  <c r="A2" i="2"/>
  <c r="C9" i="2"/>
  <c r="C19" i="2" s="1"/>
  <c r="D9" i="2"/>
  <c r="D19" i="2" s="1"/>
  <c r="E9" i="2"/>
  <c r="E19" i="2" s="1"/>
  <c r="F9" i="2"/>
  <c r="F19" i="2" s="1"/>
  <c r="I431" i="1"/>
  <c r="I438" i="1" s="1"/>
  <c r="G632" i="1" s="1"/>
  <c r="J632" i="1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I440" i="1"/>
  <c r="I444" i="1" s="1"/>
  <c r="I451" i="1" s="1"/>
  <c r="H632" i="1" s="1"/>
  <c r="C23" i="2"/>
  <c r="D23" i="2"/>
  <c r="E23" i="2"/>
  <c r="F23" i="2"/>
  <c r="I441" i="1"/>
  <c r="J24" i="1"/>
  <c r="G23" i="2" s="1"/>
  <c r="C24" i="2"/>
  <c r="C32" i="2" s="1"/>
  <c r="D24" i="2"/>
  <c r="D32" i="2" s="1"/>
  <c r="E24" i="2"/>
  <c r="E32" i="2" s="1"/>
  <c r="F24" i="2"/>
  <c r="I442" i="1"/>
  <c r="J25" i="1" s="1"/>
  <c r="G24" i="2" s="1"/>
  <c r="C25" i="2"/>
  <c r="D25" i="2"/>
  <c r="E25" i="2"/>
  <c r="F25" i="2"/>
  <c r="C26" i="2"/>
  <c r="F26" i="2"/>
  <c r="C27" i="2"/>
  <c r="F27" i="2"/>
  <c r="F32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D42" i="2" s="1"/>
  <c r="E34" i="2"/>
  <c r="F34" i="2"/>
  <c r="C35" i="2"/>
  <c r="D35" i="2"/>
  <c r="E35" i="2"/>
  <c r="F35" i="2"/>
  <c r="C36" i="2"/>
  <c r="C42" i="2" s="1"/>
  <c r="C43" i="2" s="1"/>
  <c r="D36" i="2"/>
  <c r="E36" i="2"/>
  <c r="E42" i="2" s="1"/>
  <c r="F36" i="2"/>
  <c r="F42" i="2" s="1"/>
  <c r="F43" i="2" s="1"/>
  <c r="I446" i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C49" i="2"/>
  <c r="E49" i="2"/>
  <c r="E50" i="2"/>
  <c r="C51" i="2"/>
  <c r="D51" i="2"/>
  <c r="D54" i="2" s="1"/>
  <c r="E51" i="2"/>
  <c r="F51" i="2"/>
  <c r="F54" i="2" s="1"/>
  <c r="D52" i="2"/>
  <c r="C53" i="2"/>
  <c r="D53" i="2"/>
  <c r="E53" i="2"/>
  <c r="F53" i="2"/>
  <c r="E54" i="2"/>
  <c r="C58" i="2"/>
  <c r="C59" i="2"/>
  <c r="C61" i="2"/>
  <c r="D61" i="2"/>
  <c r="E61" i="2"/>
  <c r="E62" i="2" s="1"/>
  <c r="F61" i="2"/>
  <c r="G61" i="2"/>
  <c r="G62" i="2" s="1"/>
  <c r="C62" i="2"/>
  <c r="D62" i="2"/>
  <c r="F62" i="2"/>
  <c r="C64" i="2"/>
  <c r="F64" i="2"/>
  <c r="C65" i="2"/>
  <c r="F65" i="2"/>
  <c r="F70" i="2" s="1"/>
  <c r="F73" i="2" s="1"/>
  <c r="C66" i="2"/>
  <c r="C70" i="2" s="1"/>
  <c r="C73" i="2" s="1"/>
  <c r="C67" i="2"/>
  <c r="C68" i="2"/>
  <c r="E68" i="2"/>
  <c r="E70" i="2" s="1"/>
  <c r="F68" i="2"/>
  <c r="C69" i="2"/>
  <c r="D69" i="2"/>
  <c r="D70" i="2" s="1"/>
  <c r="D73" i="2" s="1"/>
  <c r="E69" i="2"/>
  <c r="F69" i="2"/>
  <c r="G69" i="2"/>
  <c r="G70" i="2"/>
  <c r="G73" i="2" s="1"/>
  <c r="C71" i="2"/>
  <c r="D71" i="2"/>
  <c r="E71" i="2"/>
  <c r="C72" i="2"/>
  <c r="E72" i="2"/>
  <c r="C77" i="2"/>
  <c r="C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D95" i="2" s="1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E102" i="2"/>
  <c r="C103" i="2"/>
  <c r="E103" i="2"/>
  <c r="C105" i="2"/>
  <c r="E105" i="2"/>
  <c r="E106" i="2"/>
  <c r="D107" i="2"/>
  <c r="F107" i="2"/>
  <c r="G107" i="2"/>
  <c r="E113" i="2"/>
  <c r="C114" i="2"/>
  <c r="E114" i="2"/>
  <c r="E116" i="2"/>
  <c r="E117" i="2"/>
  <c r="F120" i="2"/>
  <c r="G120" i="2"/>
  <c r="G137" i="2" s="1"/>
  <c r="C122" i="2"/>
  <c r="D126" i="2"/>
  <c r="D136" i="2" s="1"/>
  <c r="E126" i="2"/>
  <c r="F126" i="2"/>
  <c r="K411" i="1"/>
  <c r="K419" i="1"/>
  <c r="K425" i="1"/>
  <c r="K426" i="1"/>
  <c r="G126" i="2" s="1"/>
  <c r="G136" i="2" s="1"/>
  <c r="L255" i="1"/>
  <c r="C127" i="2" s="1"/>
  <c r="L256" i="1"/>
  <c r="C128" i="2" s="1"/>
  <c r="L257" i="1"/>
  <c r="C129" i="2"/>
  <c r="E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G149" i="2"/>
  <c r="B150" i="2"/>
  <c r="C150" i="2"/>
  <c r="G150" i="2" s="1"/>
  <c r="D150" i="2"/>
  <c r="E150" i="2"/>
  <c r="F150" i="2"/>
  <c r="B151" i="2"/>
  <c r="C151" i="2"/>
  <c r="D151" i="2"/>
  <c r="E151" i="2"/>
  <c r="F151" i="2"/>
  <c r="G151" i="2"/>
  <c r="B152" i="2"/>
  <c r="C152" i="2"/>
  <c r="G152" i="2" s="1"/>
  <c r="D152" i="2"/>
  <c r="E152" i="2"/>
  <c r="F152" i="2"/>
  <c r="F490" i="1"/>
  <c r="B153" i="2"/>
  <c r="G490" i="1"/>
  <c r="C153" i="2"/>
  <c r="H490" i="1"/>
  <c r="K490" i="1" s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/>
  <c r="I493" i="1"/>
  <c r="E156" i="2" s="1"/>
  <c r="J493" i="1"/>
  <c r="F156" i="2" s="1"/>
  <c r="F19" i="1"/>
  <c r="G19" i="1"/>
  <c r="H19" i="1"/>
  <c r="I19" i="1"/>
  <c r="G610" i="1" s="1"/>
  <c r="J610" i="1" s="1"/>
  <c r="F33" i="1"/>
  <c r="F44" i="1" s="1"/>
  <c r="H607" i="1" s="1"/>
  <c r="J607" i="1" s="1"/>
  <c r="G33" i="1"/>
  <c r="G44" i="1" s="1"/>
  <c r="H608" i="1" s="1"/>
  <c r="H33" i="1"/>
  <c r="H44" i="1" s="1"/>
  <c r="H609" i="1" s="1"/>
  <c r="I33" i="1"/>
  <c r="F43" i="1"/>
  <c r="G43" i="1"/>
  <c r="H43" i="1"/>
  <c r="I43" i="1"/>
  <c r="I44" i="1"/>
  <c r="H610" i="1" s="1"/>
  <c r="F169" i="1"/>
  <c r="I169" i="1"/>
  <c r="I184" i="1" s="1"/>
  <c r="F175" i="1"/>
  <c r="G175" i="1"/>
  <c r="G184" i="1" s="1"/>
  <c r="H175" i="1"/>
  <c r="I175" i="1"/>
  <c r="J175" i="1"/>
  <c r="J184" i="1" s="1"/>
  <c r="F180" i="1"/>
  <c r="G180" i="1"/>
  <c r="H180" i="1"/>
  <c r="I180" i="1"/>
  <c r="F184" i="1"/>
  <c r="H184" i="1"/>
  <c r="H203" i="1"/>
  <c r="H249" i="1" s="1"/>
  <c r="H263" i="1" s="1"/>
  <c r="J203" i="1"/>
  <c r="J249" i="1" s="1"/>
  <c r="K203" i="1"/>
  <c r="K249" i="1" s="1"/>
  <c r="K263" i="1" s="1"/>
  <c r="F221" i="1"/>
  <c r="G221" i="1"/>
  <c r="H221" i="1"/>
  <c r="I221" i="1"/>
  <c r="J221" i="1"/>
  <c r="K221" i="1"/>
  <c r="H239" i="1"/>
  <c r="J239" i="1"/>
  <c r="K239" i="1"/>
  <c r="F248" i="1"/>
  <c r="G248" i="1"/>
  <c r="H248" i="1"/>
  <c r="I248" i="1"/>
  <c r="J248" i="1"/>
  <c r="K248" i="1"/>
  <c r="L248" i="1"/>
  <c r="F282" i="1"/>
  <c r="F330" i="1" s="1"/>
  <c r="F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F329" i="1"/>
  <c r="L329" i="1" s="1"/>
  <c r="G329" i="1"/>
  <c r="H329" i="1"/>
  <c r="I329" i="1"/>
  <c r="J329" i="1"/>
  <c r="K329" i="1"/>
  <c r="I330" i="1"/>
  <c r="I344" i="1" s="1"/>
  <c r="K330" i="1"/>
  <c r="K344" i="1" s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I393" i="1"/>
  <c r="F399" i="1"/>
  <c r="G399" i="1"/>
  <c r="H399" i="1"/>
  <c r="I399" i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H426" i="1"/>
  <c r="I426" i="1"/>
  <c r="F438" i="1"/>
  <c r="G438" i="1"/>
  <c r="H438" i="1"/>
  <c r="F444" i="1"/>
  <c r="F451" i="1" s="1"/>
  <c r="H629" i="1" s="1"/>
  <c r="G444" i="1"/>
  <c r="G451" i="1" s="1"/>
  <c r="H630" i="1" s="1"/>
  <c r="H444" i="1"/>
  <c r="H451" i="1" s="1"/>
  <c r="H631" i="1" s="1"/>
  <c r="J631" i="1" s="1"/>
  <c r="F450" i="1"/>
  <c r="G450" i="1"/>
  <c r="H450" i="1"/>
  <c r="I450" i="1"/>
  <c r="F460" i="1"/>
  <c r="G460" i="1"/>
  <c r="G466" i="1" s="1"/>
  <c r="H613" i="1" s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F466" i="1" s="1"/>
  <c r="H612" i="1" s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I535" i="1" s="1"/>
  <c r="J514" i="1"/>
  <c r="K514" i="1"/>
  <c r="F519" i="1"/>
  <c r="G519" i="1"/>
  <c r="I519" i="1"/>
  <c r="J519" i="1"/>
  <c r="K519" i="1"/>
  <c r="K535" i="1" s="1"/>
  <c r="L519" i="1"/>
  <c r="F524" i="1"/>
  <c r="G524" i="1"/>
  <c r="H524" i="1"/>
  <c r="I524" i="1"/>
  <c r="J524" i="1"/>
  <c r="K524" i="1"/>
  <c r="F529" i="1"/>
  <c r="G529" i="1"/>
  <c r="H529" i="1"/>
  <c r="I529" i="1"/>
  <c r="J529" i="1"/>
  <c r="J535" i="1" s="1"/>
  <c r="K529" i="1"/>
  <c r="L529" i="1"/>
  <c r="F534" i="1"/>
  <c r="G534" i="1"/>
  <c r="H534" i="1"/>
  <c r="I534" i="1"/>
  <c r="J534" i="1"/>
  <c r="K534" i="1"/>
  <c r="L547" i="1"/>
  <c r="L548" i="1"/>
  <c r="L549" i="1"/>
  <c r="F550" i="1"/>
  <c r="G550" i="1"/>
  <c r="H550" i="1"/>
  <c r="H561" i="1" s="1"/>
  <c r="I550" i="1"/>
  <c r="J550" i="1"/>
  <c r="J561" i="1" s="1"/>
  <c r="K550" i="1"/>
  <c r="L550" i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58" i="1"/>
  <c r="L560" i="1" s="1"/>
  <c r="L559" i="1"/>
  <c r="F560" i="1"/>
  <c r="G560" i="1"/>
  <c r="H560" i="1"/>
  <c r="I560" i="1"/>
  <c r="J560" i="1"/>
  <c r="K560" i="1"/>
  <c r="F561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I588" i="1"/>
  <c r="J588" i="1"/>
  <c r="K592" i="1"/>
  <c r="K593" i="1"/>
  <c r="H595" i="1"/>
  <c r="I595" i="1"/>
  <c r="F604" i="1"/>
  <c r="G604" i="1"/>
  <c r="H604" i="1"/>
  <c r="I604" i="1"/>
  <c r="J604" i="1"/>
  <c r="K604" i="1"/>
  <c r="L604" i="1"/>
  <c r="G607" i="1"/>
  <c r="G608" i="1"/>
  <c r="G609" i="1"/>
  <c r="G612" i="1"/>
  <c r="J612" i="1" s="1"/>
  <c r="G613" i="1"/>
  <c r="J613" i="1" s="1"/>
  <c r="G614" i="1"/>
  <c r="J614" i="1" s="1"/>
  <c r="G615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G629" i="1"/>
  <c r="J629" i="1" s="1"/>
  <c r="G630" i="1"/>
  <c r="G631" i="1"/>
  <c r="G633" i="1"/>
  <c r="J633" i="1" s="1"/>
  <c r="G634" i="1"/>
  <c r="J634" i="1" s="1"/>
  <c r="G635" i="1"/>
  <c r="G640" i="1"/>
  <c r="J640" i="1" s="1"/>
  <c r="H640" i="1"/>
  <c r="H641" i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C101" i="2" l="1"/>
  <c r="E43" i="2"/>
  <c r="C39" i="10"/>
  <c r="L561" i="1"/>
  <c r="E73" i="2"/>
  <c r="E96" i="2" s="1"/>
  <c r="J608" i="1"/>
  <c r="K540" i="1"/>
  <c r="J185" i="1"/>
  <c r="D7" i="13"/>
  <c r="C7" i="13" s="1"/>
  <c r="C111" i="2"/>
  <c r="C16" i="10"/>
  <c r="C20" i="10"/>
  <c r="C115" i="2"/>
  <c r="D14" i="13"/>
  <c r="C14" i="13" s="1"/>
  <c r="D29" i="13"/>
  <c r="C29" i="13" s="1"/>
  <c r="L514" i="1"/>
  <c r="L535" i="1" s="1"/>
  <c r="F541" i="1"/>
  <c r="J609" i="1"/>
  <c r="J263" i="1"/>
  <c r="H638" i="1"/>
  <c r="G96" i="2"/>
  <c r="F55" i="2"/>
  <c r="F96" i="2" s="1"/>
  <c r="F33" i="13"/>
  <c r="K539" i="1"/>
  <c r="I185" i="1"/>
  <c r="G620" i="1" s="1"/>
  <c r="J620" i="1" s="1"/>
  <c r="A22" i="12"/>
  <c r="D55" i="2"/>
  <c r="D96" i="2" s="1"/>
  <c r="C15" i="10"/>
  <c r="C17" i="10"/>
  <c r="C112" i="2"/>
  <c r="E8" i="13"/>
  <c r="G542" i="1"/>
  <c r="C113" i="2"/>
  <c r="D12" i="13"/>
  <c r="C12" i="13" s="1"/>
  <c r="C18" i="10"/>
  <c r="G42" i="2"/>
  <c r="D43" i="2"/>
  <c r="H185" i="1"/>
  <c r="G619" i="1" s="1"/>
  <c r="J619" i="1" s="1"/>
  <c r="G627" i="1"/>
  <c r="J627" i="1" s="1"/>
  <c r="H636" i="1"/>
  <c r="C110" i="2"/>
  <c r="G33" i="13"/>
  <c r="E120" i="2"/>
  <c r="J630" i="1"/>
  <c r="C38" i="10"/>
  <c r="C41" i="10" s="1"/>
  <c r="L239" i="1"/>
  <c r="H650" i="1" s="1"/>
  <c r="H654" i="1" s="1"/>
  <c r="G153" i="2"/>
  <c r="C136" i="2"/>
  <c r="C11" i="10"/>
  <c r="C102" i="2"/>
  <c r="G641" i="1"/>
  <c r="J641" i="1" s="1"/>
  <c r="H588" i="1"/>
  <c r="H639" i="1" s="1"/>
  <c r="G161" i="1"/>
  <c r="G185" i="1" s="1"/>
  <c r="G618" i="1" s="1"/>
  <c r="J618" i="1" s="1"/>
  <c r="H653" i="1"/>
  <c r="I653" i="1" s="1"/>
  <c r="E16" i="13"/>
  <c r="C16" i="13" s="1"/>
  <c r="I203" i="1"/>
  <c r="I249" i="1" s="1"/>
  <c r="I263" i="1" s="1"/>
  <c r="E135" i="2"/>
  <c r="J23" i="1"/>
  <c r="J9" i="1"/>
  <c r="C130" i="2"/>
  <c r="C133" i="2" s="1"/>
  <c r="D19" i="13"/>
  <c r="C19" i="13" s="1"/>
  <c r="D15" i="13"/>
  <c r="C15" i="13" s="1"/>
  <c r="D6" i="13"/>
  <c r="C6" i="13" s="1"/>
  <c r="F203" i="1"/>
  <c r="F249" i="1" s="1"/>
  <c r="F263" i="1" s="1"/>
  <c r="C134" i="2"/>
  <c r="C106" i="2"/>
  <c r="L192" i="1"/>
  <c r="C36" i="12"/>
  <c r="A40" i="12" s="1"/>
  <c r="C156" i="2"/>
  <c r="G156" i="2" s="1"/>
  <c r="G639" i="1"/>
  <c r="J639" i="1" s="1"/>
  <c r="K594" i="1"/>
  <c r="K595" i="1" s="1"/>
  <c r="G638" i="1" s="1"/>
  <c r="H33" i="13"/>
  <c r="J43" i="1"/>
  <c r="E104" i="2"/>
  <c r="L352" i="1"/>
  <c r="H651" i="1" s="1"/>
  <c r="L228" i="1"/>
  <c r="L374" i="1"/>
  <c r="G626" i="1" s="1"/>
  <c r="J626" i="1" s="1"/>
  <c r="C116" i="2"/>
  <c r="L268" i="1"/>
  <c r="E122" i="2"/>
  <c r="E136" i="2" s="1"/>
  <c r="C21" i="10"/>
  <c r="D40" i="10" l="1"/>
  <c r="D37" i="10"/>
  <c r="D36" i="10"/>
  <c r="D35" i="10"/>
  <c r="G616" i="1"/>
  <c r="J616" i="1" s="1"/>
  <c r="J44" i="1"/>
  <c r="H611" i="1" s="1"/>
  <c r="F651" i="1"/>
  <c r="I651" i="1" s="1"/>
  <c r="J638" i="1"/>
  <c r="J19" i="1"/>
  <c r="G611" i="1" s="1"/>
  <c r="G9" i="2"/>
  <c r="G19" i="2" s="1"/>
  <c r="G22" i="2"/>
  <c r="G32" i="2" s="1"/>
  <c r="G43" i="2" s="1"/>
  <c r="J33" i="1"/>
  <c r="D39" i="10"/>
  <c r="L282" i="1"/>
  <c r="E101" i="2"/>
  <c r="E107" i="2" s="1"/>
  <c r="E137" i="2" s="1"/>
  <c r="C104" i="2"/>
  <c r="C107" i="2" s="1"/>
  <c r="C137" i="2" s="1"/>
  <c r="C13" i="10"/>
  <c r="H662" i="1"/>
  <c r="C6" i="10" s="1"/>
  <c r="H657" i="1"/>
  <c r="K542" i="1"/>
  <c r="K541" i="1"/>
  <c r="F542" i="1"/>
  <c r="D38" i="10"/>
  <c r="E33" i="13"/>
  <c r="D35" i="13" s="1"/>
  <c r="C8" i="13"/>
  <c r="D119" i="2"/>
  <c r="D120" i="2" s="1"/>
  <c r="D137" i="2" s="1"/>
  <c r="G636" i="1"/>
  <c r="J636" i="1" s="1"/>
  <c r="G621" i="1"/>
  <c r="J621" i="1" s="1"/>
  <c r="L203" i="1"/>
  <c r="C120" i="2"/>
  <c r="L354" i="1"/>
  <c r="C10" i="10"/>
  <c r="D5" i="13"/>
  <c r="G651" i="1"/>
  <c r="G654" i="1" s="1"/>
  <c r="J611" i="1" l="1"/>
  <c r="L249" i="1"/>
  <c r="L263" i="1" s="1"/>
  <c r="G622" i="1" s="1"/>
  <c r="J622" i="1" s="1"/>
  <c r="F650" i="1"/>
  <c r="C5" i="13"/>
  <c r="G662" i="1"/>
  <c r="G657" i="1"/>
  <c r="L330" i="1"/>
  <c r="L344" i="1" s="1"/>
  <c r="G623" i="1" s="1"/>
  <c r="J623" i="1" s="1"/>
  <c r="D31" i="13"/>
  <c r="C31" i="13" s="1"/>
  <c r="D41" i="10"/>
  <c r="C27" i="10"/>
  <c r="G625" i="1"/>
  <c r="J625" i="1" s="1"/>
  <c r="C28" i="10" l="1"/>
  <c r="D33" i="13"/>
  <c r="D36" i="13" s="1"/>
  <c r="I650" i="1"/>
  <c r="I654" i="1" s="1"/>
  <c r="F654" i="1"/>
  <c r="H646" i="1"/>
  <c r="F662" i="1" l="1"/>
  <c r="C4" i="10" s="1"/>
  <c r="F657" i="1"/>
  <c r="C30" i="10"/>
  <c r="D22" i="10"/>
  <c r="D24" i="10"/>
  <c r="D26" i="10"/>
  <c r="D19" i="10"/>
  <c r="D23" i="10"/>
  <c r="D25" i="10"/>
  <c r="D12" i="10"/>
  <c r="D18" i="10"/>
  <c r="D21" i="10"/>
  <c r="D17" i="10"/>
  <c r="D15" i="10"/>
  <c r="D16" i="10"/>
  <c r="D11" i="10"/>
  <c r="D20" i="10"/>
  <c r="D10" i="10"/>
  <c r="D13" i="10"/>
  <c r="I662" i="1"/>
  <c r="C7" i="10" s="1"/>
  <c r="I657" i="1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2468595-BED7-4A2A-8788-848FFE2E556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481B990-DE83-4973-ADCD-6F73094695B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83A9370-7795-41F4-93F5-AE565109AC1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D639140-6F8A-40AA-A56D-2EF771F2079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BC29C75-E783-4CAE-8058-F79AAEAF74D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8F969E9-DF63-4325-9B50-555F4790CCC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D492867-EB3F-4586-A383-A3715AAAEB0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8C38E1F-962B-4981-BD6F-DA0C32B241C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BC63673-F9F2-4C65-8AD4-80ECA8A37A5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A7AB2F9-C01F-4CBA-9543-32F1F60C38FD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18A4B6B-69F4-4A2D-A51C-44B170933E0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C811497-8AA5-4DE7-98E5-18C5DB0889E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<sst xmlns="http://schemas.openxmlformats.org/spreadsheetml/2006/main" count="3858" uniqueCount="895">
  <si>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</si>
  <si>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</si>
  <si>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</si>
  <si>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</si>
  <si>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</si>
  <si>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</si>
  <si>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</si>
  <si>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</si>
  <si>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</si>
  <si>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</si>
  <si>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</si>
  <si>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</si>
  <si>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</si>
  <si>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</si>
  <si>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</si>
  <si>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</si>
  <si>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</si>
  <si>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</si>
  <si>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</si>
  <si>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</si>
  <si>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</si>
  <si>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</si>
  <si>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</si>
  <si>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</si>
  <si>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</si>
  <si>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</si>
  <si>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</si>
  <si>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</si>
  <si>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</si>
  <si>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</si>
  <si>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</si>
  <si>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</si>
  <si>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</si>
  <si>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</si>
  <si>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</si>
  <si>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</si>
  <si>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</si>
  <si>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</si>
  <si>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</si>
  <si>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</si>
  <si>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</si>
  <si>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</si>
  <si>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</si>
  <si>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</si>
  <si>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</si>
  <si>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</si>
  <si>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</si>
  <si>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</si>
  <si>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</si>
  <si>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</si>
  <si>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</si>
  <si>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</si>
  <si>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</si>
  <si>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</si>
  <si>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</si>
  <si>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</si>
  <si>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</si>
  <si>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</si>
  <si>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</si>
  <si>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</si>
  <si>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</si>
  <si>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</si>
  <si>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</si>
  <si>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</si>
  <si>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</si>
  <si>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</si>
  <si>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</si>
  <si>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</si>
  <si>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</si>
  <si>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</si>
  <si>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</si>
  <si>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</si>
  <si>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</si>
  <si>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</si>
  <si>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</si>
  <si>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</si>
  <si>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</si>
  <si>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</si>
  <si>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</si>
  <si>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</si>
  <si>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</si>
  <si>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</si>
  <si>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</si>
  <si>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</si>
  <si>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</si>
  <si>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</si>
  <si>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</si>
  <si>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</si>
  <si>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</si>
  <si>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</si>
  <si>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</si>
  <si>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</si>
  <si>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</si>
  <si>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</si>
  <si>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</si>
  <si>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</si>
  <si>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</si>
  <si>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</si>
  <si>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</si>
  <si>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</si>
  <si>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</si>
  <si>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</si>
  <si>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</si>
  <si>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</si>
  <si>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</si>
  <si>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</si>
  <si>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</si>
  <si>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</si>
  <si>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</si>
  <si>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</si>
  <si>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</si>
  <si>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</si>
  <si>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</si>
  <si>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</si>
  <si>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</si>
  <si>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</si>
  <si>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</si>
  <si>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</si>
  <si>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</si>
  <si>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</si>
  <si>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</si>
  <si>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</si>
  <si>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</si>
  <si>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</si>
  <si>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</si>
  <si>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</si>
  <si>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</si>
  <si>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</si>
  <si>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</si>
  <si>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</si>
  <si>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</si>
  <si>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</si>
  <si>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</si>
  <si>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</si>
  <si>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</si>
  <si>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</si>
  <si>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</si>
  <si>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</si>
  <si>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</si>
  <si>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</si>
  <si>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</si>
  <si>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</si>
  <si>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</si>
  <si>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</si>
  <si>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</si>
  <si>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</si>
  <si>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</si>
  <si>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</si>
  <si>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</si>
  <si>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</si>
  <si>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</si>
  <si>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</si>
  <si>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</si>
  <si>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</si>
  <si>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</si>
  <si>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</si>
  <si>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</si>
  <si>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</si>
  <si>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</si>
  <si>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</si>
  <si>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</si>
  <si>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</si>
  <si>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</si>
  <si>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</si>
  <si>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</si>
  <si>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</si>
  <si>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</si>
  <si>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</si>
  <si>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</si>
  <si>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</si>
  <si>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</si>
  <si>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</si>
  <si>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</si>
  <si>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</si>
  <si>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</si>
  <si>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</si>
  <si>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</si>
  <si>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</si>
  <si>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</si>
  <si>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</si>
  <si>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</si>
  <si>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</si>
  <si>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</si>
  <si>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</si>
  <si>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</si>
  <si>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</si>
  <si>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</si>
  <si>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</si>
  <si>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</si>
  <si>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</si>
  <si>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</si>
  <si>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</si>
  <si>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</si>
  <si>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</si>
  <si>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</si>
  <si>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</si>
  <si>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</si>
  <si>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</si>
  <si>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</si>
  <si>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</si>
  <si>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</si>
  <si>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</si>
  <si>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</si>
  <si>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</si>
  <si>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</si>
  <si>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</si>
  <si>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</si>
  <si>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</si>
  <si>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</si>
  <si>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</si>
  <si>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</si>
  <si>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</si>
  <si>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</si>
  <si>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</si>
  <si>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</si>
  <si>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</si>
  <si>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</si>
  <si>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</si>
  <si>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</si>
  <si>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</si>
  <si>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</si>
  <si>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</si>
  <si>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</si>
  <si>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</si>
  <si>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</si>
  <si>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</si>
  <si>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</si>
  <si>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</si>
  <si>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</si>
  <si>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</si>
  <si>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</si>
  <si>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</si>
  <si>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</si>
  <si>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</si>
  <si>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</si>
  <si>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</si>
  <si>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</si>
  <si>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</si>
  <si>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</si>
  <si>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</si>
  <si>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</si>
  <si>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</si>
  <si>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</si>
  <si>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</si>
  <si>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</si>
  <si>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</si>
  <si>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</si>
  <si>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</si>
  <si>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</si>
  <si>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</si>
  <si>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</si>
  <si>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</si>
  <si>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</si>
  <si>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</si>
  <si>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</si>
  <si>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</si>
  <si>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</si>
  <si>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</si>
  <si>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</si>
  <si>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</si>
  <si>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</si>
  <si>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</si>
  <si>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</si>
  <si>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</si>
  <si>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</si>
  <si>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</si>
  <si>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</si>
  <si>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</si>
  <si>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</si>
  <si>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</si>
  <si>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</si>
  <si>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</si>
  <si>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</si>
  <si>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</si>
  <si>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</si>
  <si>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</si>
  <si>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</si>
  <si>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</si>
  <si>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</si>
  <si>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</si>
  <si>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</si>
  <si>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</si>
  <si>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</si>
  <si>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</si>
  <si>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</si>
  <si>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</si>
  <si>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</si>
  <si>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</si>
  <si>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</si>
  <si>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</si>
  <si>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</si>
  <si>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</si>
  <si>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</si>
  <si>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</si>
  <si>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</si>
  <si>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</si>
  <si>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</si>
  <si>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</si>
  <si>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</si>
  <si>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</si>
  <si>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</si>
  <si>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</si>
  <si>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</si>
  <si>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</si>
  <si>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</si>
  <si>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</si>
  <si>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</si>
  <si>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</si>
  <si>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</si>
  <si>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</si>
  <si>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</si>
  <si>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</si>
  <si>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</si>
  <si>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</si>
  <si>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</si>
  <si>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</si>
  <si>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</si>
  <si>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</si>
  <si>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</si>
  <si>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</si>
  <si>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</si>
  <si>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</si>
  <si>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</si>
  <si>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</si>
  <si>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</si>
  <si>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</si>
  <si>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</si>
  <si>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</si>
  <si>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</si>
  <si>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</si>
  <si>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</si>
  <si>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</si>
  <si>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</si>
  <si>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</si>
  <si>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</si>
  <si>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</si>
  <si>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</si>
  <si>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</si>
  <si>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</si>
  <si>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</si>
  <si>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</si>
  <si>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</si>
  <si>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</si>
  <si>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</si>
  <si>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</si>
  <si>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</si>
  <si>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</si>
  <si>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</si>
  <si>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</si>
  <si>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</si>
  <si>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</si>
  <si>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</si>
  <si>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</si>
  <si>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</si>
  <si>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</si>
  <si>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</si>
  <si>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</si>
  <si>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</si>
  <si>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</si>
  <si>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</si>
  <si>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</si>
  <si>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</si>
  <si>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</si>
  <si>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</si>
  <si>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</si>
  <si>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</si>
  <si>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</si>
  <si>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</si>
  <si>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</si>
  <si>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</si>
  <si>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</si>
  <si>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</si>
  <si>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</si>
  <si>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</si>
  <si>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</si>
  <si>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</si>
  <si>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</si>
  <si>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</si>
  <si>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</si>
  <si>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</si>
  <si>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</si>
  <si>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</si>
  <si>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</si>
  <si>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</si>
  <si>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</si>
  <si>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</si>
  <si>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</si>
  <si>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</si>
  <si>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</si>
  <si>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</si>
  <si>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</si>
  <si>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</si>
  <si>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</si>
  <si>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</si>
  <si>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</si>
  <si>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</si>
  <si>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</si>
  <si>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</si>
  <si>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</si>
  <si>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</si>
  <si>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</si>
  <si>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</si>
  <si>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</si>
  <si>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</si>
  <si>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</si>
  <si>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</si>
  <si>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</si>
  <si>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</si>
  <si>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</si>
  <si>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</si>
  <si>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</si>
  <si>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</si>
  <si>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</si>
  <si>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</si>
  <si>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</si>
  <si>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</si>
  <si>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</si>
  <si>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</si>
  <si>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</si>
  <si>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</si>
  <si>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</si>
  <si>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</si>
  <si>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</si>
  <si>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</si>
  <si>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</si>
  <si>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</si>
  <si>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</si>
  <si>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</si>
  <si>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</si>
  <si>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</si>
  <si>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</si>
  <si>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</si>
  <si>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</si>
  <si>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</si>
  <si>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</si>
  <si>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</si>
  <si>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</si>
  <si>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</si>
  <si>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</si>
  <si>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</si>
  <si>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</si>
  <si>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</si>
  <si>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</si>
  <si>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</si>
  <si>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</si>
  <si>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</si>
  <si>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</si>
  <si>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</si>
  <si>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</si>
  <si>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</si>
  <si>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</si>
  <si>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</si>
  <si>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</si>
  <si>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</si>
  <si>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</si>
  <si>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</si>
  <si>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</si>
  <si>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</si>
  <si>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</si>
  <si>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</si>
  <si>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</si>
  <si>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</si>
  <si>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</si>
  <si>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</si>
  <si>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</si>
  <si>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</si>
  <si>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</si>
  <si>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</si>
  <si>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</si>
  <si>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</si>
  <si>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</si>
  <si>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</si>
  <si>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</si>
  <si>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</si>
  <si>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</si>
  <si>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</si>
  <si>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</si>
  <si>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</si>
  <si>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</si>
  <si>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</si>
  <si>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</si>
  <si>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</si>
  <si>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</si>
  <si>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</si>
  <si>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</si>
  <si>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</si>
  <si>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</si>
  <si>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</si>
  <si>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</si>
  <si>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</si>
  <si>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</si>
  <si>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</si>
  <si>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</si>
  <si>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</si>
  <si>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</si>
  <si>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</si>
  <si>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</si>
  <si>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</si>
  <si>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</si>
  <si>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</si>
  <si>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</si>
  <si>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</si>
  <si>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</si>
  <si>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</si>
  <si>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</si>
  <si>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</si>
  <si>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</si>
  <si>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</si>
  <si>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</si>
  <si>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</si>
  <si>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</si>
  <si>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</si>
  <si>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</si>
  <si>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</si>
  <si>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</si>
  <si>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</si>
  <si>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</si>
  <si>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</si>
  <si>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</si>
  <si>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</si>
  <si>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</si>
  <si>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</si>
  <si>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</si>
  <si>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</si>
  <si>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</si>
  <si>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</si>
  <si>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</si>
  <si>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</si>
  <si>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</si>
  <si>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</si>
  <si>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</si>
  <si>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</si>
  <si>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</si>
  <si>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</si>
  <si>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</si>
  <si>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</si>
  <si>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</si>
  <si>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</si>
  <si>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</si>
  <si>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</si>
  <si>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</si>
  <si>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</si>
  <si>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</si>
  <si>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</si>
  <si>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</si>
  <si>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</si>
  <si>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</si>
  <si>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</si>
  <si>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</si>
  <si>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</si>
  <si>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</si>
  <si>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</si>
  <si>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</si>
  <si>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</si>
  <si>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</si>
  <si>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</si>
  <si>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</si>
  <si>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</si>
  <si>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</si>
  <si>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</si>
  <si>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</si>
  <si>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</si>
  <si>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</si>
  <si>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</si>
  <si>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</si>
  <si>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</si>
  <si>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</si>
  <si>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</si>
  <si>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</si>
  <si>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</si>
  <si>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</si>
  <si>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</si>
  <si>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</si>
  <si>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</si>
  <si>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</si>
  <si>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</si>
  <si>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</si>
  <si>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</si>
  <si>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</si>
  <si>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</si>
  <si>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</si>
  <si>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</si>
  <si>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</si>
  <si>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</si>
  <si>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</si>
  <si>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</si>
  <si>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</si>
  <si>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</si>
  <si>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</si>
  <si>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</si>
  <si>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</si>
  <si>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</si>
  <si>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</si>
  <si>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</si>
  <si>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</si>
  <si>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</si>
  <si>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</si>
  <si>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</si>
  <si>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</si>
  <si>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</si>
  <si>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</si>
  <si>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</si>
  <si>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</si>
  <si>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</si>
  <si>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</si>
  <si>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</si>
  <si>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</si>
  <si>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</si>
  <si>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</si>
  <si>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</si>
  <si>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</si>
  <si>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</si>
  <si>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</si>
  <si>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</si>
  <si>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</si>
  <si>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</si>
  <si>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</si>
  <si>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</si>
  <si>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</si>
  <si>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</si>
  <si>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</si>
  <si>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</si>
  <si>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</si>
  <si>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</si>
  <si>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</si>
  <si>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</si>
  <si>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</si>
  <si>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</si>
  <si>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</si>
  <si>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</si>
  <si>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</si>
  <si>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</si>
  <si>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</si>
  <si>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</si>
  <si>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</si>
  <si>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</si>
  <si>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</si>
  <si>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</si>
  <si>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</si>
  <si>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</si>
  <si>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</si>
  <si>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</si>
  <si>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</si>
  <si>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</si>
  <si>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</si>
  <si>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</si>
  <si>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</si>
  <si>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</si>
  <si>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</si>
  <si>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</si>
  <si>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</si>
  <si>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</si>
  <si>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</si>
  <si>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</si>
  <si>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</si>
  <si>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</si>
  <si>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</si>
  <si>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</si>
  <si>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</si>
  <si>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</si>
  <si>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</si>
  <si>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</si>
  <si>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</si>
  <si>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</si>
  <si>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</si>
  <si>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</si>
  <si>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</si>
  <si>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</si>
  <si>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</si>
  <si>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</si>
  <si>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</si>
  <si>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</si>
  <si>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</si>
  <si>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</si>
  <si>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</si>
  <si>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</si>
  <si>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</si>
  <si>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</si>
  <si>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</si>
  <si>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</si>
  <si>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</si>
  <si>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</si>
  <si>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</si>
  <si>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</si>
  <si>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</si>
  <si>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</si>
  <si>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</si>
  <si>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</si>
  <si>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</si>
  <si>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</si>
  <si>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</si>
  <si>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</si>
  <si>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</si>
  <si>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</si>
  <si>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</si>
  <si>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</si>
  <si>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</si>
  <si>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</si>
  <si>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</si>
  <si>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</si>
  <si>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</si>
  <si>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</si>
  <si>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</si>
  <si>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</si>
  <si>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</si>
  <si>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</si>
  <si>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</si>
  <si>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</si>
  <si>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</si>
  <si>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</si>
  <si>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</si>
  <si>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</si>
  <si>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</si>
  <si>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</si>
  <si>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</si>
  <si>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</si>
  <si>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</si>
  <si>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</si>
  <si>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</si>
  <si>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</si>
  <si>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</si>
  <si>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</si>
  <si>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</si>
  <si>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</si>
  <si>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</si>
  <si>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</si>
  <si>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</si>
  <si>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</si>
  <si>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</si>
  <si>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</si>
  <si>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</si>
  <si>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</si>
  <si>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</si>
  <si>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</si>
  <si>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</si>
  <si>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</si>
  <si>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</si>
  <si>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</si>
  <si>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</si>
  <si>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</si>
  <si>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</si>
  <si>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</si>
  <si>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</si>
  <si>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</si>
  <si>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</si>
  <si>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</si>
  <si>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</si>
  <si>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</si>
  <si>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</si>
  <si>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</si>
  <si>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</si>
  <si>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</si>
  <si>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</si>
  <si>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</si>
  <si>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</si>
  <si>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</si>
  <si>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</si>
  <si>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</si>
  <si>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</si>
  <si>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</si>
  <si>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</si>
  <si>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</si>
  <si>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</si>
  <si>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</si>
  <si>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</si>
  <si>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</si>
  <si>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</si>
  <si>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</si>
  <si>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</si>
  <si>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</si>
  <si>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</si>
  <si>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</si>
  <si>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</si>
  <si>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</si>
  <si>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</si>
  <si>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</si>
  <si>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</si>
  <si>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</si>
  <si>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</si>
  <si>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</si>
  <si>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</si>
  <si>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</si>
  <si>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</si>
  <si>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</si>
  <si>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</si>
  <si>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</si>
  <si>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</si>
  <si>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</si>
  <si>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</si>
  <si>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</si>
  <si>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</si>
  <si>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</si>
  <si>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</si>
  <si>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</si>
  <si>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</si>
  <si>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</si>
  <si>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</si>
  <si>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</si>
  <si>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</si>
  <si>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</si>
  <si>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</si>
  <si>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</si>
  <si>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</si>
  <si>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</si>
  <si>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</si>
  <si>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</si>
  <si>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</si>
  <si>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</si>
  <si>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</si>
  <si>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</si>
  <si>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</si>
  <si>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</si>
  <si>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</si>
  <si>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</si>
  <si>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</si>
  <si>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</si>
  <si>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</si>
  <si>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</si>
  <si>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</si>
  <si>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</si>
  <si>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</si>
  <si>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</si>
  <si>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</si>
  <si>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</si>
  <si>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</si>
  <si>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</si>
  <si>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</si>
  <si>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</si>
  <si>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</si>
  <si>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</si>
  <si>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</si>
  <si>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</si>
  <si>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</si>
  <si>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</si>
  <si>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</si>
  <si>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</si>
  <si>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</si>
  <si>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</si>
  <si>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</si>
  <si>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</si>
  <si>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</si>
  <si>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</si>
  <si>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</si>
  <si>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</si>
  <si>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</si>
  <si>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</si>
  <si>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</si>
  <si>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</si>
  <si>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</si>
  <si>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</si>
  <si>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</si>
  <si>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</si>
  <si>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</si>
  <si>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</si>
  <si>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</si>
  <si>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</si>
  <si>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</si>
  <si>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</si>
  <si>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</si>
  <si>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</si>
  <si>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</si>
  <si>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</si>
  <si>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</si>
  <si>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</si>
  <si>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</si>
  <si>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</si>
  <si>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</si>
  <si>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</si>
  <si>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</si>
  <si>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</si>
  <si>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</si>
  <si>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</si>
  <si>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</si>
  <si>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</si>
  <si>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</si>
  <si>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</si>
  <si>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</si>
  <si>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</si>
  <si>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</si>
  <si>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</si>
  <si>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</si>
  <si>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</si>
  <si>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</si>
  <si>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</si>
  <si>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</si>
  <si>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</si>
  <si>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</si>
  <si>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</si>
  <si>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</si>
  <si>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</si>
  <si>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</si>
  <si>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</si>
  <si>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</si>
  <si>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</si>
  <si>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STRATFORD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</si>
</sst>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6805-7612-440F-9A84-9DBB0B9918AA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509</v>
      </c>
      <c r="C2" s="21">
        <v>509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64694.14</v>
      </c>
      <c r="G9" s="18"/>
      <c r="H9" s="18"/>
      <c r="I9" s="18"/>
      <c r="J9" s="67">
        <f>SUM(I431)</f>
        <v>247552.21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5920.64+96278.25</f>
        <v>102198.89</v>
      </c>
      <c r="G12" s="18">
        <v>0</v>
      </c>
      <c r="H12" s="18">
        <v>12363.02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3120.57</v>
      </c>
      <c r="G14" s="18">
        <v>5920.64</v>
      </c>
      <c r="H14" s="18">
        <v>96278.25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170013.6</v>
      </c>
      <c r="G19" s="41">
        <f>SUM(G9:G18)</f>
        <v>5920.64</v>
      </c>
      <c r="H19" s="41">
        <f>SUM(H9:H18)</f>
        <v>108641.27</v>
      </c>
      <c r="I19" s="41">
        <f>SUM(I9:I18)</f>
        <v>0</v>
      </c>
      <c r="J19" s="41">
        <f>SUM(J9:J18)</f>
        <v>247552.21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12363.02</v>
      </c>
      <c r="G23" s="18">
        <v>5920.64</v>
      </c>
      <c r="H23" s="18">
        <v>96278.25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9365.9699999999993</v>
      </c>
      <c r="G29" s="18">
        <v>0</v>
      </c>
      <c r="H29" s="18">
        <v>12363.02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21728.989999999998</v>
      </c>
      <c r="G33" s="41">
        <f>SUM(G23:G32)</f>
        <v>5920.64</v>
      </c>
      <c r="H33" s="41">
        <f>SUM(H23:H32)</f>
        <v>108641.27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247552.21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123284.61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148284.60999999999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247552.21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170013.59999999998</v>
      </c>
      <c r="G44" s="41">
        <f>G43+G33</f>
        <v>5920.64</v>
      </c>
      <c r="H44" s="41">
        <f>H43+H33</f>
        <v>108641.27</v>
      </c>
      <c r="I44" s="41">
        <f>I43+I33</f>
        <v>0</v>
      </c>
      <c r="J44" s="41">
        <f>J43+J33</f>
        <v>247552.21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911491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911491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23425.47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232794.78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1442.79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257663.04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378.84</v>
      </c>
      <c r="G88" s="18"/>
      <c r="H88" s="18"/>
      <c r="I88" s="18"/>
      <c r="J88" s="18">
        <v>610.62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27357.72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378.84</v>
      </c>
      <c r="G103" s="41">
        <f>SUM(G88:G102)</f>
        <v>27357.72</v>
      </c>
      <c r="H103" s="41">
        <f>SUM(H88:H102)</f>
        <v>0</v>
      </c>
      <c r="I103" s="41">
        <f>SUM(I88:I102)</f>
        <v>0</v>
      </c>
      <c r="J103" s="41">
        <f>SUM(J88:J102)</f>
        <v>610.62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1169532.8800000001</v>
      </c>
      <c r="G104" s="41">
        <f>G52+G103</f>
        <v>27357.72</v>
      </c>
      <c r="H104" s="41">
        <f>H52+H71+H86+H103</f>
        <v>0</v>
      </c>
      <c r="I104" s="41">
        <f>I52+I103</f>
        <v>0</v>
      </c>
      <c r="J104" s="41">
        <f>J52+J103</f>
        <v>610.62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585673.18000000005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115757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224703.82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926134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900.75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900.75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926134</v>
      </c>
      <c r="G132" s="41">
        <f>G113+SUM(G128:G129)</f>
        <v>900.75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41545.18</v>
      </c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118666.6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77457.960000000006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39678.589999999997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3105.83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44651.01</v>
      </c>
      <c r="G154" s="41">
        <f>SUM(G142:G153)</f>
        <v>39678.589999999997</v>
      </c>
      <c r="H154" s="41">
        <f>SUM(H142:H153)</f>
        <v>196124.56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8992.56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53643.57</v>
      </c>
      <c r="G161" s="41">
        <f>G139+G154+SUM(G155:G160)</f>
        <v>39678.589999999997</v>
      </c>
      <c r="H161" s="41">
        <f>H139+H154+SUM(H155:H160)</f>
        <v>196124.56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46083.53</v>
      </c>
      <c r="H171" s="18"/>
      <c r="I171" s="18"/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46083.53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46083.53</v>
      </c>
      <c r="H184" s="41">
        <f>+H175+SUM(H180:H183)</f>
        <v>0</v>
      </c>
      <c r="I184" s="41">
        <f>I169+I175+SUM(I180:I183)</f>
        <v>0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2149310.4500000002</v>
      </c>
      <c r="G185" s="47">
        <f>G104+G132+G161+G184</f>
        <v>114020.59</v>
      </c>
      <c r="H185" s="47">
        <f>H104+H132+H161+H184</f>
        <v>196124.56</v>
      </c>
      <c r="I185" s="47">
        <f>I104+I132+I161+I184</f>
        <v>0</v>
      </c>
      <c r="J185" s="47">
        <f>J104+J132+J184</f>
        <v>25610.62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255882.95+500+105070.82+8636.72+20099.86+5440.26+4457.58+3001.99</f>
        <v>403090.18</v>
      </c>
      <c r="G189" s="18">
        <f>37845.99+17596.1+1929.91+673.76+2165.22+686.79+21875.49+38.26+8523.13+18669.29+37.46+5837.03+1400+950+547+245+910.35+364.14+1060</f>
        <v>121354.92000000001</v>
      </c>
      <c r="H189" s="18">
        <f>200+175+104.5+100+171.07+340.31+2972.59+530.82+177.17+226.7</f>
        <v>4998.16</v>
      </c>
      <c r="I189" s="18">
        <f>472.42+1079.29+637.76+925.74+246.17+1080.38+227.29+279.58+370.04+959.08+1305.25+381.85+202+-454.15+855.66+40.74+236+676.26+83.61+976.74+148.97+137.51+24.55+47.57+185+217.47+240.03+431.1+434.85+330.25+104.22+58.18+2058.45</f>
        <v>14999.86</v>
      </c>
      <c r="J189" s="18">
        <f>1940.4+1717.84+344.48</f>
        <v>4002.72</v>
      </c>
      <c r="K189" s="18">
        <v>100</v>
      </c>
      <c r="L189" s="19">
        <f>SUM(F189:K189)</f>
        <v>548545.84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19998.65+3965+11536.12+6203.32+126.89</f>
        <v>41829.980000000003</v>
      </c>
      <c r="G190" s="18">
        <f>9232.15+4380.43+198.8+35.6+143.14+25.56+2513.85+743.37+1663.22+296.92+175+125+137.16+49.78</f>
        <v>19719.979999999996</v>
      </c>
      <c r="H190" s="18">
        <f>40377.09+5788.11+88</f>
        <v>46253.2</v>
      </c>
      <c r="I190" s="18">
        <f>198.74+162.26+212.85+63.22</f>
        <v>637.07000000000005</v>
      </c>
      <c r="J190" s="18">
        <v>0</v>
      </c>
      <c r="K190" s="18">
        <v>0</v>
      </c>
      <c r="L190" s="19">
        <f>SUM(F190:K190)</f>
        <v>108440.23000000001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1876+1595</f>
        <v>3471</v>
      </c>
      <c r="G192" s="18">
        <f>143.5+122.05+76.94+13.74+77.58+49.8</f>
        <v>483.61</v>
      </c>
      <c r="H192" s="18">
        <f>1330+640+2100</f>
        <v>4070</v>
      </c>
      <c r="I192" s="18">
        <v>0</v>
      </c>
      <c r="J192" s="18">
        <v>564.67999999999995</v>
      </c>
      <c r="K192" s="18">
        <v>0</v>
      </c>
      <c r="L192" s="19">
        <f>SUM(F192:K192)</f>
        <v>8589.2900000000009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17230.53+3076.98+2596.49</f>
        <v>22904</v>
      </c>
      <c r="G194" s="18">
        <f>3019.78+539.07+159.2+28.4+123.08+21.98+1293.96+230.99+1290.98+230.48+100+100+91.73+12.59+228.57+8.08+198.63+194.48+14.28+24.15</f>
        <v>7910.4299999999985</v>
      </c>
      <c r="H194" s="18">
        <f>90+17485.26+3940.17</f>
        <v>21515.43</v>
      </c>
      <c r="I194" s="18">
        <v>0</v>
      </c>
      <c r="J194" s="18">
        <v>0</v>
      </c>
      <c r="K194" s="18">
        <v>0</v>
      </c>
      <c r="L194" s="19">
        <f t="shared" ref="L194:L200" si="0">SUM(F194:K194)</f>
        <v>52329.86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26947.33+4811.99</f>
        <v>31759.32</v>
      </c>
      <c r="G195" s="18">
        <f>76.5+1995.34+356.31+159.85+28.57+166.98+29.7+2062.25+367.9+2018.63+360.21+169.67+104.4+99.74+17.81</f>
        <v>8013.86</v>
      </c>
      <c r="H195" s="18">
        <f>558+179+1000+48.95+125+130+150+167.91+155+322.83+30</f>
        <v>2866.6899999999996</v>
      </c>
      <c r="I195" s="18">
        <f>130+184.62+124+1330.48+708.18</f>
        <v>2477.2799999999997</v>
      </c>
      <c r="J195" s="18">
        <f>123.77+280+180.87</f>
        <v>584.64</v>
      </c>
      <c r="K195" s="18">
        <v>0</v>
      </c>
      <c r="L195" s="19">
        <f t="shared" si="0"/>
        <v>45701.79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1967</v>
      </c>
      <c r="G196" s="18">
        <v>150</v>
      </c>
      <c r="H196" s="18">
        <f>-1155+2053+2701+4080+610+70773</f>
        <v>79062</v>
      </c>
      <c r="I196" s="18">
        <v>0</v>
      </c>
      <c r="J196" s="18">
        <v>0</v>
      </c>
      <c r="K196" s="18">
        <v>1873</v>
      </c>
      <c r="L196" s="19">
        <f t="shared" si="0"/>
        <v>83052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45327.65+8094.17+14381.53+2571.63+129.92+23.2+5407.93+965.64</f>
        <v>76901.67</v>
      </c>
      <c r="G197" s="18">
        <f>7835.16+1398.89+235.4+41.95+328.53+58.67+4532.01+808.84+1317.32+235.45+3405.28+607.39+1080+600+175+110+237.9+51.96+1649.22+294.5+413.92+73.84+403.98+72.08+125+100+26.5+4.73</f>
        <v>26223.52</v>
      </c>
      <c r="H197" s="18">
        <f>612.6+200+1182.11+119.51+1637.83+256.14</f>
        <v>4008.19</v>
      </c>
      <c r="I197" s="18">
        <f>1306.71+125.87</f>
        <v>1432.58</v>
      </c>
      <c r="J197" s="18">
        <v>0</v>
      </c>
      <c r="K197" s="18">
        <f>325+361+375.2+67</f>
        <v>1128.2</v>
      </c>
      <c r="L197" s="19">
        <f t="shared" si="0"/>
        <v>109694.16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34851.83+6223.79+2423.54+432.79+327.86+58.52</f>
        <v>44318.33</v>
      </c>
      <c r="G199" s="18">
        <f>14097.2+2515.87+2726.78+486.58+3191.87+569.74+175+100+667.59+175.92</f>
        <v>24706.55</v>
      </c>
      <c r="H199" s="18">
        <f>48.33+48.33+7981.91+1425.33+3304.56+590.1+2128+380+28805.55+5143.86+4494+802.5+917.97+163.93</f>
        <v>56234.37</v>
      </c>
      <c r="I199" s="18">
        <f>11588.86+6252.08+13058.87+2331.9+918.38+164+15413.15+2752.35</f>
        <v>52479.590000000004</v>
      </c>
      <c r="J199" s="18">
        <v>3729.08</v>
      </c>
      <c r="K199" s="18">
        <v>0</v>
      </c>
      <c r="L199" s="19">
        <f t="shared" si="0"/>
        <v>181467.91999999998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f>591.4+2293.4+415.8+1953.4+1138.2+22609.63+4037.44+2209.35+678.8</f>
        <v>35927.420000000006</v>
      </c>
      <c r="I200" s="18">
        <v>0</v>
      </c>
      <c r="J200" s="18">
        <v>0</v>
      </c>
      <c r="K200" s="18">
        <v>0</v>
      </c>
      <c r="L200" s="19">
        <f t="shared" si="0"/>
        <v>35927.420000000006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626241.48</v>
      </c>
      <c r="G203" s="41">
        <f t="shared" si="1"/>
        <v>208562.86999999997</v>
      </c>
      <c r="H203" s="41">
        <f t="shared" si="1"/>
        <v>254935.46000000002</v>
      </c>
      <c r="I203" s="41">
        <f t="shared" si="1"/>
        <v>72026.38</v>
      </c>
      <c r="J203" s="41">
        <f t="shared" si="1"/>
        <v>8881.119999999999</v>
      </c>
      <c r="K203" s="41">
        <f t="shared" si="1"/>
        <v>3101.2</v>
      </c>
      <c r="L203" s="41">
        <f t="shared" si="1"/>
        <v>1173748.51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4"/>
      <c r="G207" s="4"/>
      <c r="H207" s="4"/>
      <c r="I207" s="4"/>
      <c r="J207" s="4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311448.57+20834.88+12451.66</f>
        <v>344735.11</v>
      </c>
      <c r="G225" s="18">
        <f>54405.3+2314.72+2174.4+25987.39+23822.88+1050+295+1213.73+440</f>
        <v>111703.42</v>
      </c>
      <c r="H225" s="18">
        <f>128+59+90.21+242.99+1804.8+248.83+11358.57</f>
        <v>13932.4</v>
      </c>
      <c r="I225" s="18">
        <f>1786.04+722.45+597.29+591.44+466.71+545.79+734.64+501.24+911.28+668.73+185.77+1272.76+93.05+1985.79+100+281.61+405.72+1150.04+136.43+1120.8+230.77+792+25.88</f>
        <v>15306.229999999998</v>
      </c>
      <c r="J225" s="18">
        <f>371.96+2546.59+380.64+212.21+212.21</f>
        <v>3723.61</v>
      </c>
      <c r="K225" s="18">
        <f>234+150+60</f>
        <v>444</v>
      </c>
      <c r="L225" s="19">
        <f>SUM(F225:K225)</f>
        <v>489844.76999999996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13481+4136.38</f>
        <v>17617.38</v>
      </c>
      <c r="G226" s="18">
        <f>6603.93+120.8+86.9+1293.31+1009.58+145+88.65</f>
        <v>9348.17</v>
      </c>
      <c r="H226" s="18">
        <f>25+13206.74+24913.38</f>
        <v>38145.120000000003</v>
      </c>
      <c r="I226" s="18">
        <v>119.24</v>
      </c>
      <c r="J226" s="18">
        <v>0</v>
      </c>
      <c r="K226" s="18">
        <v>0</v>
      </c>
      <c r="L226" s="19">
        <f>SUM(F226:K226)</f>
        <v>65229.91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1270.5</v>
      </c>
      <c r="I227" s="18">
        <v>0</v>
      </c>
      <c r="J227" s="18">
        <v>0</v>
      </c>
      <c r="K227" s="18">
        <v>0</v>
      </c>
      <c r="L227" s="19">
        <f>SUM(F227:K227)</f>
        <v>1270.5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5304</v>
      </c>
      <c r="G228" s="18">
        <f>405.78+46.72+305.18</f>
        <v>757.68000000000006</v>
      </c>
      <c r="H228" s="18">
        <f>290+3500+443.85</f>
        <v>4233.8500000000004</v>
      </c>
      <c r="I228" s="18">
        <f>1480.54+87+204.24</f>
        <v>1771.78</v>
      </c>
      <c r="J228" s="18">
        <v>335.75</v>
      </c>
      <c r="K228" s="18">
        <f>202+1764.1</f>
        <v>1966.1</v>
      </c>
      <c r="L228" s="19">
        <f>SUM(F228:K228)</f>
        <v>14369.160000000002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10461.290000000001</v>
      </c>
      <c r="G230" s="18">
        <f>1832.25+96.6+74.78+785.09+783.31+100+52.16</f>
        <v>3724.1899999999996</v>
      </c>
      <c r="H230" s="18">
        <v>9891.24</v>
      </c>
      <c r="I230" s="18">
        <f>52+129.98</f>
        <v>181.98</v>
      </c>
      <c r="J230" s="18">
        <v>0</v>
      </c>
      <c r="K230" s="18">
        <v>0</v>
      </c>
      <c r="L230" s="19">
        <f t="shared" ref="L230:L236" si="4">SUM(F230:K230)</f>
        <v>24258.7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16360.9</v>
      </c>
      <c r="G231" s="18">
        <f>76.5+1211.46+96.91+101.29+1251.51+1225.4+139.98+60.54</f>
        <v>4163.59</v>
      </c>
      <c r="H231" s="18">
        <f>1170.9+1000+871.62+150+35</f>
        <v>3227.52</v>
      </c>
      <c r="I231" s="18">
        <f>45+1239.54</f>
        <v>1284.54</v>
      </c>
      <c r="J231" s="18">
        <f>166.54+2829.5</f>
        <v>2996.04</v>
      </c>
      <c r="K231" s="18">
        <v>0</v>
      </c>
      <c r="L231" s="19">
        <f t="shared" si="4"/>
        <v>28032.59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1013</v>
      </c>
      <c r="G232" s="18">
        <v>77.930000000000007</v>
      </c>
      <c r="H232" s="18">
        <f>-595+1057+1392+2101.35+314.5+36459.24</f>
        <v>40729.089999999997</v>
      </c>
      <c r="I232" s="18">
        <v>0</v>
      </c>
      <c r="J232" s="18">
        <v>0</v>
      </c>
      <c r="K232" s="18">
        <v>964.26</v>
      </c>
      <c r="L232" s="19">
        <f t="shared" si="4"/>
        <v>42784.28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27520.48+8725.39+78.88+3283.28</f>
        <v>39608.029999999992</v>
      </c>
      <c r="G233" s="18">
        <f>4753.2+142.93+199.45+2750.49+798.92+2066.9+1000+145+140.8+1001.32+251.16+245.29+100+16.09</f>
        <v>13611.55</v>
      </c>
      <c r="H233" s="18">
        <f>286+797.89+479.55</f>
        <v>1563.4399999999998</v>
      </c>
      <c r="I233" s="18">
        <v>431.19</v>
      </c>
      <c r="J233" s="18">
        <v>0</v>
      </c>
      <c r="K233" s="18">
        <f>275+227.8</f>
        <v>502.8</v>
      </c>
      <c r="L233" s="19">
        <f t="shared" si="4"/>
        <v>55717.009999999995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21159.96+1471.45+199.1</f>
        <v>22830.51</v>
      </c>
      <c r="G235" s="18">
        <f>8555.69+1655.07+1937.48+125+449.12</f>
        <v>12722.36</v>
      </c>
      <c r="H235" s="18">
        <f>48.34+4846.16+2006.34+1292+17639.07+2728.5+557.36</f>
        <v>29117.77</v>
      </c>
      <c r="I235" s="18">
        <f>7983.69+7928.57+557.57+9357.98</f>
        <v>25827.809999999998</v>
      </c>
      <c r="J235" s="18">
        <v>0</v>
      </c>
      <c r="K235" s="18">
        <v>0</v>
      </c>
      <c r="L235" s="19">
        <f t="shared" si="4"/>
        <v>90498.45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f>1372.08+8186.2+13119.28+3179.64</f>
        <v>25857.199999999997</v>
      </c>
      <c r="I236" s="18">
        <v>0</v>
      </c>
      <c r="J236" s="18">
        <v>0</v>
      </c>
      <c r="K236" s="18">
        <v>0</v>
      </c>
      <c r="L236" s="19">
        <f t="shared" si="4"/>
        <v>25857.199999999997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457930.22</v>
      </c>
      <c r="G239" s="41">
        <f t="shared" si="5"/>
        <v>156108.88999999996</v>
      </c>
      <c r="H239" s="41">
        <f t="shared" si="5"/>
        <v>167968.13</v>
      </c>
      <c r="I239" s="41">
        <f t="shared" si="5"/>
        <v>44922.76999999999</v>
      </c>
      <c r="J239" s="41">
        <f t="shared" si="5"/>
        <v>7055.4</v>
      </c>
      <c r="K239" s="41">
        <f t="shared" si="5"/>
        <v>3877.16</v>
      </c>
      <c r="L239" s="41">
        <f t="shared" si="5"/>
        <v>837862.56999999983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61016.74</v>
      </c>
      <c r="I247" s="18"/>
      <c r="J247" s="18"/>
      <c r="K247" s="18"/>
      <c r="L247" s="19">
        <f t="shared" si="6"/>
        <v>61016.74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61016.74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61016.74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1084171.7</v>
      </c>
      <c r="G249" s="41">
        <f t="shared" si="8"/>
        <v>364671.75999999989</v>
      </c>
      <c r="H249" s="41">
        <f t="shared" si="8"/>
        <v>483920.33</v>
      </c>
      <c r="I249" s="41">
        <f t="shared" si="8"/>
        <v>116949.15</v>
      </c>
      <c r="J249" s="41">
        <f t="shared" si="8"/>
        <v>15936.519999999999</v>
      </c>
      <c r="K249" s="41">
        <f t="shared" si="8"/>
        <v>6978.36</v>
      </c>
      <c r="L249" s="41">
        <f t="shared" si="8"/>
        <v>2072627.8199999998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46083.53</v>
      </c>
      <c r="L255" s="19">
        <f>SUM(F255:K255)</f>
        <v>46083.53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71083.53</v>
      </c>
      <c r="L262" s="41">
        <f t="shared" si="9"/>
        <v>71083.53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1084171.7</v>
      </c>
      <c r="G263" s="42">
        <f t="shared" si="11"/>
        <v>364671.75999999989</v>
      </c>
      <c r="H263" s="42">
        <f t="shared" si="11"/>
        <v>483920.33</v>
      </c>
      <c r="I263" s="42">
        <f t="shared" si="11"/>
        <v>116949.15</v>
      </c>
      <c r="J263" s="42">
        <f t="shared" si="11"/>
        <v>15936.519999999999</v>
      </c>
      <c r="K263" s="42">
        <f t="shared" si="11"/>
        <v>78061.89</v>
      </c>
      <c r="L263" s="42">
        <f t="shared" si="11"/>
        <v>2143711.3499999996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8118+1890+59913.35+18722.5+1400+1600</f>
        <v>91643.85</v>
      </c>
      <c r="G268" s="18">
        <f>122.4+111.36+77.4+1429.55+1303.24+8086.66+71+301.68+4515.34+2816.63+673.98+140.75+304.07+97.59+107.11+48.69</f>
        <v>20207.45</v>
      </c>
      <c r="H268" s="18">
        <f>9730+194+225+157.6+4500+4617.3+8412.2+3934.89+1900</f>
        <v>33670.990000000005</v>
      </c>
      <c r="I268" s="18">
        <f>4728.76+243.63+89.49+8087</f>
        <v>13148.880000000001</v>
      </c>
      <c r="J268" s="18">
        <f>36070.15+1128</f>
        <v>37198.15</v>
      </c>
      <c r="K268" s="18">
        <v>255.24</v>
      </c>
      <c r="L268" s="19">
        <f>SUM(F268:K268)</f>
        <v>196124.56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91643.85</v>
      </c>
      <c r="G282" s="42">
        <f t="shared" si="13"/>
        <v>20207.45</v>
      </c>
      <c r="H282" s="42">
        <f t="shared" si="13"/>
        <v>33670.990000000005</v>
      </c>
      <c r="I282" s="42">
        <f t="shared" si="13"/>
        <v>13148.880000000001</v>
      </c>
      <c r="J282" s="42">
        <f t="shared" si="13"/>
        <v>37198.15</v>
      </c>
      <c r="K282" s="42">
        <f t="shared" si="13"/>
        <v>255.24</v>
      </c>
      <c r="L282" s="41">
        <f t="shared" si="13"/>
        <v>196124.56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91643.85</v>
      </c>
      <c r="G330" s="41">
        <f t="shared" si="20"/>
        <v>20207.45</v>
      </c>
      <c r="H330" s="41">
        <f t="shared" si="20"/>
        <v>33670.990000000005</v>
      </c>
      <c r="I330" s="41">
        <f t="shared" si="20"/>
        <v>13148.880000000001</v>
      </c>
      <c r="J330" s="41">
        <f t="shared" si="20"/>
        <v>37198.15</v>
      </c>
      <c r="K330" s="41">
        <f t="shared" si="20"/>
        <v>255.24</v>
      </c>
      <c r="L330" s="41">
        <f t="shared" si="20"/>
        <v>196124.56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91643.85</v>
      </c>
      <c r="G344" s="41">
        <f>G330</f>
        <v>20207.45</v>
      </c>
      <c r="H344" s="41">
        <f>H330</f>
        <v>33670.990000000005</v>
      </c>
      <c r="I344" s="41">
        <f>I330</f>
        <v>13148.880000000001</v>
      </c>
      <c r="J344" s="41">
        <f>J330</f>
        <v>37198.15</v>
      </c>
      <c r="K344" s="47">
        <f>K330+K343</f>
        <v>255.24</v>
      </c>
      <c r="L344" s="41">
        <f>L330+L343</f>
        <v>196124.56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29404+873</f>
        <v>30277</v>
      </c>
      <c r="G350" s="18">
        <f>11119+1832+950+195+841</f>
        <v>14937</v>
      </c>
      <c r="H350" s="18">
        <v>2233</v>
      </c>
      <c r="I350" s="18">
        <f>295+26950</f>
        <v>27245</v>
      </c>
      <c r="J350" s="18">
        <v>350</v>
      </c>
      <c r="K350" s="18">
        <v>211</v>
      </c>
      <c r="L350" s="13">
        <f>SUM(F350:K350)</f>
        <v>75253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15147.05+450.14</f>
        <v>15597.189999999999</v>
      </c>
      <c r="G352" s="18">
        <f>5728.11+943.9+489.87+100+433.49</f>
        <v>7695.369999999999</v>
      </c>
      <c r="H352" s="18">
        <v>1150.1500000000001</v>
      </c>
      <c r="I352" s="18">
        <f>151.82+13883.69</f>
        <v>14035.51</v>
      </c>
      <c r="J352" s="18">
        <v>180.37</v>
      </c>
      <c r="K352" s="18">
        <v>109</v>
      </c>
      <c r="L352" s="19">
        <f>SUM(F352:K352)</f>
        <v>38767.590000000004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45874.19</v>
      </c>
      <c r="G354" s="47">
        <f t="shared" si="22"/>
        <v>22632.37</v>
      </c>
      <c r="H354" s="47">
        <f t="shared" si="22"/>
        <v>3383.15</v>
      </c>
      <c r="I354" s="47">
        <f t="shared" si="22"/>
        <v>41280.51</v>
      </c>
      <c r="J354" s="47">
        <f t="shared" si="22"/>
        <v>530.37</v>
      </c>
      <c r="K354" s="47">
        <f t="shared" si="22"/>
        <v>320</v>
      </c>
      <c r="L354" s="47">
        <f t="shared" si="22"/>
        <v>114020.59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26950</v>
      </c>
      <c r="G359" s="18"/>
      <c r="H359" s="18">
        <v>13883.69</v>
      </c>
      <c r="I359" s="56">
        <f>SUM(F359:H359)</f>
        <v>40833.69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295</v>
      </c>
      <c r="G360" s="63"/>
      <c r="H360" s="63">
        <v>151.82</v>
      </c>
      <c r="I360" s="56">
        <f>SUM(F360:H360)</f>
        <v>446.82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27245</v>
      </c>
      <c r="G361" s="47">
        <f>SUM(G359:G360)</f>
        <v>0</v>
      </c>
      <c r="H361" s="47">
        <f>SUM(H359:H360)</f>
        <v>14035.51</v>
      </c>
      <c r="I361" s="47">
        <f>SUM(I359:I360)</f>
        <v>41280.51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25000</v>
      </c>
      <c r="H388" s="18">
        <v>385.93</v>
      </c>
      <c r="I388" s="18"/>
      <c r="J388" s="24" t="s">
        <v>312</v>
      </c>
      <c r="K388" s="24" t="s">
        <v>312</v>
      </c>
      <c r="L388" s="56">
        <f t="shared" si="26"/>
        <v>25385.93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224.69</v>
      </c>
      <c r="I389" s="18"/>
      <c r="J389" s="24" t="s">
        <v>312</v>
      </c>
      <c r="K389" s="24" t="s">
        <v>312</v>
      </c>
      <c r="L389" s="56">
        <f t="shared" si="26"/>
        <v>224.69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610.62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25610.62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610.62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25610.62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247552.21</v>
      </c>
      <c r="H431" s="18"/>
      <c r="I431" s="56">
        <f t="shared" ref="I431:I437" si="33">SUM(F431:H431)</f>
        <v>247552.21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247552.21</v>
      </c>
      <c r="H438" s="13">
        <f>SUM(H431:H437)</f>
        <v>0</v>
      </c>
      <c r="I438" s="13">
        <f>SUM(I431:I437)</f>
        <v>247552.21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>
        <v>247552.21</v>
      </c>
      <c r="H447" s="18"/>
      <c r="I447" s="56">
        <f>SUM(F447:H447)</f>
        <v>247552.21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247552.21</v>
      </c>
      <c r="H450" s="83">
        <f>SUM(H446:H449)</f>
        <v>0</v>
      </c>
      <c r="I450" s="83">
        <f>SUM(I446:I449)</f>
        <v>247552.21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247552.21</v>
      </c>
      <c r="H451" s="42">
        <f>H444+H450</f>
        <v>0</v>
      </c>
      <c r="I451" s="42">
        <f>I444+I450</f>
        <v>247552.21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142685.51</v>
      </c>
      <c r="G455" s="18"/>
      <c r="H455" s="18"/>
      <c r="I455" s="18"/>
      <c r="J455" s="18">
        <v>221941.59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2149310.4500000002</v>
      </c>
      <c r="G458" s="18">
        <v>114020.59</v>
      </c>
      <c r="H458" s="18">
        <v>196124.56</v>
      </c>
      <c r="I458" s="18"/>
      <c r="J458" s="18">
        <v>25610.62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2149310.4500000002</v>
      </c>
      <c r="G460" s="53">
        <f>SUM(G458:G459)</f>
        <v>114020.59</v>
      </c>
      <c r="H460" s="53">
        <f>SUM(H458:H459)</f>
        <v>196124.56</v>
      </c>
      <c r="I460" s="53">
        <f>SUM(I458:I459)</f>
        <v>0</v>
      </c>
      <c r="J460" s="53">
        <f>SUM(J458:J459)</f>
        <v>25610.62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2143711.35</v>
      </c>
      <c r="G462" s="18">
        <v>114020.59</v>
      </c>
      <c r="H462" s="18">
        <v>196124.56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2143711.35</v>
      </c>
      <c r="G464" s="53">
        <f>SUM(G462:G463)</f>
        <v>114020.59</v>
      </c>
      <c r="H464" s="53">
        <f>SUM(H462:H463)</f>
        <v>196124.56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148284.60999999987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247552.21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19998.65+3965+11536.12+6203.32+126.89</f>
        <v>41829.980000000003</v>
      </c>
      <c r="G511" s="18">
        <f>9232.15+4380.43+198.8+35.6+143.14+25.56+2513.85+743.37+1663.22+296.92+175+125+137.16+49.78</f>
        <v>19719.979999999996</v>
      </c>
      <c r="H511" s="18">
        <v>88</v>
      </c>
      <c r="I511" s="18">
        <f>198.74+162.26+212.85+63.22</f>
        <v>637.07000000000005</v>
      </c>
      <c r="J511" s="18"/>
      <c r="K511" s="18"/>
      <c r="L511" s="88">
        <f>SUM(F511:K511)</f>
        <v>62275.03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13481+4136.38</f>
        <v>17617.38</v>
      </c>
      <c r="G513" s="18">
        <f>6603.93+120.8+86.9+1293.31+1009.58+145+88.65</f>
        <v>9348.17</v>
      </c>
      <c r="H513" s="18">
        <f>24913.38+25</f>
        <v>24938.38</v>
      </c>
      <c r="I513" s="18">
        <v>119.24</v>
      </c>
      <c r="J513" s="18"/>
      <c r="K513" s="18"/>
      <c r="L513" s="88">
        <f>SUM(F513:K513)</f>
        <v>52023.170000000006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59447.360000000001</v>
      </c>
      <c r="G514" s="108">
        <f t="shared" ref="G514:L514" si="35">SUM(G511:G513)</f>
        <v>29068.149999999994</v>
      </c>
      <c r="H514" s="108">
        <f t="shared" si="35"/>
        <v>25026.38</v>
      </c>
      <c r="I514" s="108">
        <f t="shared" si="35"/>
        <v>756.31000000000006</v>
      </c>
      <c r="J514" s="108">
        <f t="shared" si="35"/>
        <v>0</v>
      </c>
      <c r="K514" s="108">
        <f t="shared" si="35"/>
        <v>0</v>
      </c>
      <c r="L514" s="89">
        <f t="shared" si="35"/>
        <v>114298.20000000001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40377.09+5788.11</f>
        <v>46165.2</v>
      </c>
      <c r="I516" s="18"/>
      <c r="J516" s="18"/>
      <c r="K516" s="18"/>
      <c r="L516" s="88">
        <f>SUM(F516:K516)</f>
        <v>46165.2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13206.74</v>
      </c>
      <c r="I518" s="18"/>
      <c r="J518" s="18"/>
      <c r="K518" s="18"/>
      <c r="L518" s="88">
        <f>SUM(F518:K518)</f>
        <v>13206.74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59371.939999999995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59371.939999999995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5407.93+965.64</f>
        <v>6373.5700000000006</v>
      </c>
      <c r="G521" s="18">
        <f>1649.22+294.5+413.92+73.84+403.98+72.08+125+100+26.5+4.73</f>
        <v>3163.77</v>
      </c>
      <c r="H521" s="18">
        <v>0</v>
      </c>
      <c r="I521" s="18">
        <v>0</v>
      </c>
      <c r="J521" s="18">
        <v>0</v>
      </c>
      <c r="K521" s="18">
        <f>325+361</f>
        <v>686</v>
      </c>
      <c r="L521" s="88">
        <f>SUM(F521:K521)</f>
        <v>10223.34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3283.28</v>
      </c>
      <c r="G523" s="18">
        <f>1001.32+251.16+245.29+100+16.09</f>
        <v>1613.86</v>
      </c>
      <c r="H523" s="18">
        <v>0</v>
      </c>
      <c r="I523" s="18">
        <v>0</v>
      </c>
      <c r="J523" s="18">
        <v>0</v>
      </c>
      <c r="K523" s="18">
        <v>275</v>
      </c>
      <c r="L523" s="88">
        <f>SUM(F523:K523)</f>
        <v>5172.1400000000003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9656.85</v>
      </c>
      <c r="G524" s="89">
        <f t="shared" ref="G524:L524" si="37">SUM(G521:G523)</f>
        <v>4777.63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961</v>
      </c>
      <c r="L524" s="89">
        <f t="shared" si="37"/>
        <v>15395.48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591.4+2293.4+415.8</f>
        <v>3300.6000000000004</v>
      </c>
      <c r="I531" s="18"/>
      <c r="J531" s="18"/>
      <c r="K531" s="18"/>
      <c r="L531" s="88">
        <f>SUM(F531:K531)</f>
        <v>3300.6000000000004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1372.08</v>
      </c>
      <c r="I533" s="18"/>
      <c r="J533" s="18"/>
      <c r="K533" s="18"/>
      <c r="L533" s="88">
        <f>SUM(F533:K533)</f>
        <v>1372.08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4672.68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4672.68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69104.210000000006</v>
      </c>
      <c r="G535" s="89">
        <f t="shared" ref="G535:L535" si="40">G514+G519+G524+G529+G534</f>
        <v>33845.779999999992</v>
      </c>
      <c r="H535" s="89">
        <f t="shared" si="40"/>
        <v>89071</v>
      </c>
      <c r="I535" s="89">
        <f t="shared" si="40"/>
        <v>756.31000000000006</v>
      </c>
      <c r="J535" s="89">
        <f t="shared" si="40"/>
        <v>0</v>
      </c>
      <c r="K535" s="89">
        <f t="shared" si="40"/>
        <v>961</v>
      </c>
      <c r="L535" s="89">
        <f t="shared" si="40"/>
        <v>193738.30000000002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62275.03</v>
      </c>
      <c r="G539" s="87">
        <f>L516</f>
        <v>46165.2</v>
      </c>
      <c r="H539" s="87">
        <f>L521</f>
        <v>10223.34</v>
      </c>
      <c r="I539" s="87">
        <f>L526</f>
        <v>0</v>
      </c>
      <c r="J539" s="87">
        <f>L531</f>
        <v>3300.6000000000004</v>
      </c>
      <c r="K539" s="87">
        <f>SUM(F539:J539)</f>
        <v>121964.17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52023.170000000006</v>
      </c>
      <c r="G541" s="87">
        <f>L518</f>
        <v>13206.74</v>
      </c>
      <c r="H541" s="87">
        <f>L523</f>
        <v>5172.1400000000003</v>
      </c>
      <c r="I541" s="87">
        <f>L528</f>
        <v>0</v>
      </c>
      <c r="J541" s="87">
        <f>L533</f>
        <v>1372.08</v>
      </c>
      <c r="K541" s="87">
        <f>SUM(F541:J541)</f>
        <v>71774.13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114298.20000000001</v>
      </c>
      <c r="G542" s="89">
        <f t="shared" si="41"/>
        <v>59371.939999999995</v>
      </c>
      <c r="H542" s="89">
        <f t="shared" si="41"/>
        <v>15395.48</v>
      </c>
      <c r="I542" s="89">
        <f t="shared" si="41"/>
        <v>0</v>
      </c>
      <c r="J542" s="89">
        <f t="shared" si="41"/>
        <v>4672.68</v>
      </c>
      <c r="K542" s="89">
        <f t="shared" si="41"/>
        <v>193738.3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11358.57</v>
      </c>
      <c r="I571" s="87">
        <f t="shared" si="46"/>
        <v>11358.57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88</v>
      </c>
      <c r="G572" s="18"/>
      <c r="H572" s="18">
        <v>24913.38</v>
      </c>
      <c r="I572" s="87">
        <f t="shared" si="46"/>
        <v>25001.38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1270.5</v>
      </c>
      <c r="I574" s="87">
        <f t="shared" si="46"/>
        <v>1270.5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22609.63+4037.44</f>
        <v>26647.07</v>
      </c>
      <c r="I581" s="18"/>
      <c r="J581" s="18">
        <v>13119.28</v>
      </c>
      <c r="K581" s="104">
        <f t="shared" ref="K581:K587" si="47">SUM(H581:J581)</f>
        <v>39766.35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591.4+2293.4+415.8</f>
        <v>3300.6000000000004</v>
      </c>
      <c r="I582" s="18"/>
      <c r="J582" s="18">
        <v>1372.08</v>
      </c>
      <c r="K582" s="104">
        <f t="shared" si="47"/>
        <v>4672.68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1953.4+1138.2</f>
        <v>3091.6000000000004</v>
      </c>
      <c r="I584" s="18"/>
      <c r="J584" s="18">
        <v>8186.2</v>
      </c>
      <c r="K584" s="104">
        <f t="shared" si="47"/>
        <v>11277.8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2209.35+678.8</f>
        <v>2888.1499999999996</v>
      </c>
      <c r="I585" s="18"/>
      <c r="J585" s="18">
        <v>3179.64</v>
      </c>
      <c r="K585" s="104">
        <f t="shared" si="47"/>
        <v>6067.7899999999991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35927.42</v>
      </c>
      <c r="I588" s="108">
        <f>SUM(I581:I587)</f>
        <v>0</v>
      </c>
      <c r="J588" s="108">
        <f>SUM(J581:J587)</f>
        <v>25857.200000000001</v>
      </c>
      <c r="K588" s="108">
        <f>SUM(K581:K587)</f>
        <v>61784.62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1940.4+1717.84+344.48+564.68+123.77+280+180.87+3729.08+1128+36070.15</f>
        <v>46079.270000000004</v>
      </c>
      <c r="I594" s="18"/>
      <c r="J594" s="18">
        <f>371.96+2546.59+380.64+212.21+212.21+335.75+166.54+2829.5</f>
        <v>7055.4000000000005</v>
      </c>
      <c r="K594" s="104">
        <f>SUM(H594:J594)</f>
        <v>53134.670000000006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46079.270000000004</v>
      </c>
      <c r="I595" s="108">
        <f>SUM(I592:I594)</f>
        <v>0</v>
      </c>
      <c r="J595" s="108">
        <f>SUM(J592:J594)</f>
        <v>7055.4000000000005</v>
      </c>
      <c r="K595" s="108">
        <f>SUM(K592:K594)</f>
        <v>53134.670000000006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170013.6</v>
      </c>
      <c r="H607" s="109">
        <f>SUM(F44)</f>
        <v>170013.59999999998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5920.64</v>
      </c>
      <c r="H608" s="109">
        <f>SUM(G44)</f>
        <v>5920.64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108641.27</v>
      </c>
      <c r="H609" s="109">
        <f>SUM(H44)</f>
        <v>108641.27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247552.21</v>
      </c>
      <c r="H611" s="109">
        <f>SUM(J44)</f>
        <v>247552.21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148284.60999999999</v>
      </c>
      <c r="H612" s="109">
        <f>F466</f>
        <v>148284.60999999987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247552.21</v>
      </c>
      <c r="H616" s="109">
        <f>J466</f>
        <v>247552.21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2149310.4500000002</v>
      </c>
      <c r="H617" s="104">
        <f>SUM(F458)</f>
        <v>2149310.4500000002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114020.59</v>
      </c>
      <c r="H618" s="104">
        <f>SUM(G458)</f>
        <v>114020.59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196124.56</v>
      </c>
      <c r="H619" s="104">
        <f>SUM(H458)</f>
        <v>196124.56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25610.62</v>
      </c>
      <c r="H621" s="104">
        <f>SUM(J458)</f>
        <v>25610.62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2143711.3499999996</v>
      </c>
      <c r="H622" s="104">
        <f>SUM(F462)</f>
        <v>2143711.35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196124.56</v>
      </c>
      <c r="H623" s="104">
        <f>SUM(H462)</f>
        <v>196124.56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41280.51</v>
      </c>
      <c r="H624" s="104">
        <f>I361</f>
        <v>41280.51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114020.59</v>
      </c>
      <c r="H625" s="104">
        <f>SUM(G462)</f>
        <v>114020.59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25610.62</v>
      </c>
      <c r="H627" s="164">
        <f>SUM(J458)</f>
        <v>25610.62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247552.21</v>
      </c>
      <c r="H630" s="104">
        <f>SUM(G451)</f>
        <v>247552.21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247552.21</v>
      </c>
      <c r="H632" s="104">
        <f>SUM(I451)</f>
        <v>247552.21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610.62</v>
      </c>
      <c r="H634" s="104">
        <f>H400</f>
        <v>610.62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25610.62</v>
      </c>
      <c r="H636" s="104">
        <f>L400</f>
        <v>25610.62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61784.62</v>
      </c>
      <c r="H637" s="104">
        <f>L200+L218+L236</f>
        <v>61784.62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53134.670000000006</v>
      </c>
      <c r="H638" s="104">
        <f>(J249+J330)-(J247+J328)</f>
        <v>53134.67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35927.420000000006</v>
      </c>
      <c r="H639" s="104">
        <f>H588</f>
        <v>35927.42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25857.199999999997</v>
      </c>
      <c r="H641" s="104">
        <f>J588</f>
        <v>25857.200000000001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46083.53</v>
      </c>
      <c r="H642" s="104">
        <f>K255+K337</f>
        <v>46083.53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1445126.07</v>
      </c>
      <c r="G650" s="19">
        <f>(L221+L301+L351)</f>
        <v>0</v>
      </c>
      <c r="H650" s="19">
        <f>(L239+L320+L352)</f>
        <v>876630.1599999998</v>
      </c>
      <c r="I650" s="19">
        <f>SUM(F650:H650)</f>
        <v>2321756.23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18055.953781330198</v>
      </c>
      <c r="G651" s="19">
        <f>(L351/IF(SUM(L350:L352)=0,1,SUM(L350:L352))*(SUM(G89:G102)))</f>
        <v>0</v>
      </c>
      <c r="H651" s="19">
        <f>(L352/IF(SUM(L350:L352)=0,1,SUM(L350:L352))*(SUM(G89:G102)))</f>
        <v>9301.7662186698053</v>
      </c>
      <c r="I651" s="19">
        <f>SUM(F651:H651)</f>
        <v>27357.72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35927.420000000006</v>
      </c>
      <c r="G652" s="19">
        <f>(L218+L298)-(J218+J298)</f>
        <v>0</v>
      </c>
      <c r="H652" s="19">
        <f>(L236+L317)-(J236+J317)</f>
        <v>25857.199999999997</v>
      </c>
      <c r="I652" s="19">
        <f>SUM(F652:H652)</f>
        <v>61784.62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46167.270000000004</v>
      </c>
      <c r="G653" s="200">
        <f>SUM(G565:G577)+SUM(I592:I594)+L602</f>
        <v>0</v>
      </c>
      <c r="H653" s="200">
        <f>SUM(H565:H577)+SUM(J592:J594)+L603</f>
        <v>44597.85</v>
      </c>
      <c r="I653" s="19">
        <f>SUM(F653:H653)</f>
        <v>90765.119999999995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1344975.4262186699</v>
      </c>
      <c r="G654" s="19">
        <f>G650-SUM(G651:G653)</f>
        <v>0</v>
      </c>
      <c r="H654" s="19">
        <f>H650-SUM(H651:H653)</f>
        <v>796873.34378133004</v>
      </c>
      <c r="I654" s="19">
        <f>I650-SUM(I651:I653)</f>
        <v>2141848.77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79.97</v>
      </c>
      <c r="G655" s="249"/>
      <c r="H655" s="249">
        <v>30.56</v>
      </c>
      <c r="I655" s="19">
        <f>SUM(F655:H655)</f>
        <v>110.53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16818.5</v>
      </c>
      <c r="G657" s="19" t="e">
        <f>ROUND(G654/G655,2)</f>
        <v>#DIV/0!</v>
      </c>
      <c r="H657" s="19">
        <f>ROUND(H654/H655,2)</f>
        <v>26075.7</v>
      </c>
      <c r="I657" s="19">
        <f>ROUND(I654/I655,2)</f>
        <v>19377.990000000002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-0.63</v>
      </c>
      <c r="I660" s="19">
        <f>SUM(F660:H660)</f>
        <v>-0.63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16818.5</v>
      </c>
      <c r="G662" s="19" t="e">
        <f>ROUND((G654+G659)/(G655+G660),2)</f>
        <v>#DIV/0!</v>
      </c>
      <c r="H662" s="19">
        <f>ROUND((H654+H659)/(H655+H660),2)</f>
        <v>26624.57</v>
      </c>
      <c r="I662" s="19">
        <f>ROUND((I654+I659)/(I655+I660),2)</f>
        <v>19489.07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CA87-7D27-44C4-8DA1-A97CFC2D05B6}">
  <sheetPr>
    <tabColor indexed="20"/>
  </sheetPr>
  <dimension ref="A1:C52"/>
  <sheetViews>
    <sheetView workbookViewId="0">
      <selection activeCell="B10" sqref="B10: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STRATFORD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'DOE25'!F189+'DOE25'!F225+'DOE25'!F207+'DOE25'!F268+'DOE25'!F287+'DOE25'!F306</f>
        <v>839469.14</v>
      </c>
      <c r="C9" s="230">
        <f>'DOE25'!G189+'DOE25'!G225+'DOE25'!G207+'DOE25'!G268+'DOE25'!G287+'DOE25'!G306</f>
        <v>253265.79000000004</v>
      </c>
    </row>
    <row r="10" spans="1:3" x14ac:dyDescent="0.2">
      <c r="A10" t="s">
        <v>813</v>
      </c>
      <c r="B10" s="241">
        <v>810921.19</v>
      </c>
      <c r="C10" s="241">
        <v>251081.87</v>
      </c>
    </row>
    <row r="11" spans="1:3" x14ac:dyDescent="0.2">
      <c r="A11" t="s">
        <v>814</v>
      </c>
      <c r="B11" s="241">
        <v>28547.95</v>
      </c>
      <c r="C11" s="241">
        <v>2183.92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839469.1399999999</v>
      </c>
      <c r="C13" s="232">
        <f>SUM(C10:C12)</f>
        <v>253265.79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59447.360000000001</v>
      </c>
      <c r="C18" s="230">
        <f>'DOE25'!G190+'DOE25'!G208+'DOE25'!G226+'DOE25'!G269+'DOE25'!G288+'DOE25'!G307</f>
        <v>29068.149999999994</v>
      </c>
    </row>
    <row r="19" spans="1:3" x14ac:dyDescent="0.2">
      <c r="A19" t="s">
        <v>813</v>
      </c>
      <c r="B19" s="241">
        <f>19998.65+3965+13481</f>
        <v>37444.65</v>
      </c>
      <c r="C19" s="241">
        <f>9232.15+4380.43+6603.93+198.8+35.6+143.14+120.8+86.9+2513.85+743.37+1663.22+296.92+1009.58+175+125+145+137.16+49.78+88.65-1683.21+25.56+1293.31</f>
        <v>27384.940000000002</v>
      </c>
    </row>
    <row r="20" spans="1:3" x14ac:dyDescent="0.2">
      <c r="A20" t="s">
        <v>814</v>
      </c>
      <c r="B20" s="241">
        <f>11536.12+6203.32+4136.38+126.89</f>
        <v>22002.710000000003</v>
      </c>
      <c r="C20" s="241">
        <v>1683.21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59447.360000000001</v>
      </c>
      <c r="C22" s="232">
        <f>SUM(C19:C21)</f>
        <v>29068.15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8775</v>
      </c>
      <c r="C36" s="236">
        <f>'DOE25'!G192+'DOE25'!G210+'DOE25'!G228+'DOE25'!G271+'DOE25'!G290+'DOE25'!G309</f>
        <v>1241.29</v>
      </c>
    </row>
    <row r="37" spans="1:3" x14ac:dyDescent="0.2">
      <c r="A37" t="s">
        <v>813</v>
      </c>
      <c r="B37" s="241">
        <f>5304</f>
        <v>5304</v>
      </c>
      <c r="C37" s="241">
        <f>143.5+122.05+405.78+77.58+49.8+305.18-265.32</f>
        <v>838.56999999999994</v>
      </c>
    </row>
    <row r="38" spans="1:3" x14ac:dyDescent="0.2">
      <c r="A38" t="s">
        <v>814</v>
      </c>
      <c r="B38" s="241">
        <f>1876+1595</f>
        <v>3471</v>
      </c>
      <c r="C38" s="241">
        <f>265.32+76.94+13.74+46.72</f>
        <v>402.72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8775</v>
      </c>
      <c r="C40" s="232">
        <f>SUM(C37:C39)</f>
        <v>1241.29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B5BF-E3B8-44E9-A2F4-1C1DCDBCD272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STRATFORD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1236289.7</v>
      </c>
      <c r="D5" s="20">
        <f>SUM('DOE25'!L189:L192)+SUM('DOE25'!L207:L210)+SUM('DOE25'!L225:L228)-F5-G5</f>
        <v>1225152.8399999999</v>
      </c>
      <c r="E5" s="244"/>
      <c r="F5" s="256">
        <f>SUM('DOE25'!J189:J192)+SUM('DOE25'!J207:J210)+SUM('DOE25'!J225:J228)</f>
        <v>8626.76</v>
      </c>
      <c r="G5" s="53">
        <f>SUM('DOE25'!K189:K192)+SUM('DOE25'!K207:K210)+SUM('DOE25'!K225:K228)</f>
        <v>2510.1</v>
      </c>
      <c r="H5" s="260"/>
    </row>
    <row r="6" spans="1:9" x14ac:dyDescent="0.2">
      <c r="A6" s="32">
        <v>2100</v>
      </c>
      <c r="B6" t="s">
        <v>835</v>
      </c>
      <c r="C6" s="246">
        <f t="shared" si="0"/>
        <v>76588.56</v>
      </c>
      <c r="D6" s="20">
        <f>'DOE25'!L194+'DOE25'!L212+'DOE25'!L230-F6-G6</f>
        <v>76588.56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73734.38</v>
      </c>
      <c r="D7" s="20">
        <f>'DOE25'!L195+'DOE25'!L213+'DOE25'!L231-F7-G7</f>
        <v>70153.700000000012</v>
      </c>
      <c r="E7" s="244"/>
      <c r="F7" s="256">
        <f>'DOE25'!J195+'DOE25'!J213+'DOE25'!J231</f>
        <v>3580.68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65127.920000000013</v>
      </c>
      <c r="D8" s="244"/>
      <c r="E8" s="20">
        <f>'DOE25'!L196+'DOE25'!L214+'DOE25'!L232-F8-G8-D9-D11</f>
        <v>62290.660000000011</v>
      </c>
      <c r="F8" s="256">
        <f>'DOE25'!J196+'DOE25'!J214+'DOE25'!J232</f>
        <v>0</v>
      </c>
      <c r="G8" s="53">
        <f>'DOE25'!K196+'DOE25'!K214+'DOE25'!K232</f>
        <v>2837.26</v>
      </c>
      <c r="H8" s="260"/>
    </row>
    <row r="9" spans="1:9" x14ac:dyDescent="0.2">
      <c r="A9" s="32">
        <v>2310</v>
      </c>
      <c r="B9" t="s">
        <v>852</v>
      </c>
      <c r="C9" s="246">
        <f t="shared" si="0"/>
        <v>18604.04</v>
      </c>
      <c r="D9" s="245">
        <v>18604.04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4093</v>
      </c>
      <c r="D10" s="244"/>
      <c r="E10" s="245">
        <v>4093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42104.32</v>
      </c>
      <c r="D11" s="245">
        <v>42104.32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165411.16999999998</v>
      </c>
      <c r="D12" s="20">
        <f>'DOE25'!L197+'DOE25'!L215+'DOE25'!L233-F12-G12</f>
        <v>163780.16999999998</v>
      </c>
      <c r="E12" s="244"/>
      <c r="F12" s="256">
        <f>'DOE25'!J197+'DOE25'!J215+'DOE25'!J233</f>
        <v>0</v>
      </c>
      <c r="G12" s="53">
        <f>'DOE25'!K197+'DOE25'!K215+'DOE25'!K233</f>
        <v>1631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271966.37</v>
      </c>
      <c r="D14" s="20">
        <f>'DOE25'!L199+'DOE25'!L217+'DOE25'!L235-F14-G14</f>
        <v>268237.28999999998</v>
      </c>
      <c r="E14" s="244"/>
      <c r="F14" s="256">
        <f>'DOE25'!J199+'DOE25'!J217+'DOE25'!J235</f>
        <v>3729.08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61784.62</v>
      </c>
      <c r="D15" s="20">
        <f>'DOE25'!L200+'DOE25'!L218+'DOE25'!L236-F15-G15</f>
        <v>61784.62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61016.74</v>
      </c>
      <c r="D22" s="244"/>
      <c r="E22" s="244"/>
      <c r="F22" s="256">
        <f>'DOE25'!L247+'DOE25'!L328</f>
        <v>61016.74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73186.899999999994</v>
      </c>
      <c r="D29" s="20">
        <f>'DOE25'!L350+'DOE25'!L351+'DOE25'!L352-'DOE25'!I359-F29-G29</f>
        <v>72336.53</v>
      </c>
      <c r="E29" s="244"/>
      <c r="F29" s="256">
        <f>'DOE25'!J350+'DOE25'!J351+'DOE25'!J352</f>
        <v>530.37</v>
      </c>
      <c r="G29" s="53">
        <f>'DOE25'!K350+'DOE25'!K351+'DOE25'!K352</f>
        <v>320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196124.56</v>
      </c>
      <c r="D31" s="20">
        <f>'DOE25'!L282+'DOE25'!L301+'DOE25'!L320+'DOE25'!L325+'DOE25'!L326+'DOE25'!L327-F31-G31</f>
        <v>158671.17000000001</v>
      </c>
      <c r="E31" s="244"/>
      <c r="F31" s="256">
        <f>'DOE25'!J282+'DOE25'!J301+'DOE25'!J320+'DOE25'!J325+'DOE25'!J326+'DOE25'!J327</f>
        <v>37198.15</v>
      </c>
      <c r="G31" s="53">
        <f>'DOE25'!K282+'DOE25'!K301+'DOE25'!K320+'DOE25'!K325+'DOE25'!K326+'DOE25'!K327</f>
        <v>255.24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2157413.2400000002</v>
      </c>
      <c r="E33" s="247">
        <f>SUM(E5:E31)</f>
        <v>66383.66</v>
      </c>
      <c r="F33" s="247">
        <f>SUM(F5:F31)</f>
        <v>114681.78</v>
      </c>
      <c r="G33" s="247">
        <f>SUM(G5:G31)</f>
        <v>7553.6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66383.66</v>
      </c>
      <c r="E35" s="250"/>
    </row>
    <row r="36" spans="2:8" ht="12" thickTop="1" x14ac:dyDescent="0.2">
      <c r="B36" t="s">
        <v>849</v>
      </c>
      <c r="D36" s="20">
        <f>D33</f>
        <v>2157413.2400000002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A5F7-A376-496B-9EA3-E41F8D7F9765}">
  <sheetPr transitionEvaluation="1" codeName="Sheet2">
    <tabColor indexed="10"/>
  </sheetPr>
  <dimension ref="A1:I156"/>
  <sheetViews>
    <sheetView zoomScale="75" workbookViewId="0">
      <pane ySplit="2" topLeftCell="A111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STRATFORD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64694.14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247552.21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102198.89</v>
      </c>
      <c r="D12" s="95">
        <f>'DOE25'!G12</f>
        <v>0</v>
      </c>
      <c r="E12" s="95">
        <f>'DOE25'!H12</f>
        <v>12363.02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3120.57</v>
      </c>
      <c r="D14" s="95">
        <f>'DOE25'!G14</f>
        <v>5920.64</v>
      </c>
      <c r="E14" s="95">
        <f>'DOE25'!H14</f>
        <v>96278.25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170013.6</v>
      </c>
      <c r="D19" s="41">
        <f>SUM(D9:D18)</f>
        <v>5920.64</v>
      </c>
      <c r="E19" s="41">
        <f>SUM(E9:E18)</f>
        <v>108641.27</v>
      </c>
      <c r="F19" s="41">
        <f>SUM(F9:F18)</f>
        <v>0</v>
      </c>
      <c r="G19" s="41">
        <f>SUM(G9:G18)</f>
        <v>247552.21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12363.02</v>
      </c>
      <c r="D22" s="95">
        <f>'DOE25'!G23</f>
        <v>5920.64</v>
      </c>
      <c r="E22" s="95">
        <f>'DOE25'!H23</f>
        <v>96278.25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9365.9699999999993</v>
      </c>
      <c r="D28" s="95">
        <f>'DOE25'!G29</f>
        <v>0</v>
      </c>
      <c r="E28" s="95">
        <f>'DOE25'!H29</f>
        <v>12363.02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21728.989999999998</v>
      </c>
      <c r="D32" s="41">
        <f>SUM(D22:D31)</f>
        <v>5920.64</v>
      </c>
      <c r="E32" s="41">
        <f>SUM(E22:E31)</f>
        <v>108641.27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247552.21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123284.61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148284.60999999999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247552.21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170013.59999999998</v>
      </c>
      <c r="D43" s="41">
        <f>D42+D32</f>
        <v>5920.64</v>
      </c>
      <c r="E43" s="41">
        <f>E42+E32</f>
        <v>108641.27</v>
      </c>
      <c r="F43" s="41">
        <f>F42+F32</f>
        <v>0</v>
      </c>
      <c r="G43" s="41">
        <f>G42+G32</f>
        <v>247552.21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911491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257663.04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378.84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610.62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27357.72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258041.88</v>
      </c>
      <c r="D54" s="130">
        <f>SUM(D49:D53)</f>
        <v>27357.72</v>
      </c>
      <c r="E54" s="130">
        <f>SUM(E49:E53)</f>
        <v>0</v>
      </c>
      <c r="F54" s="130">
        <f>SUM(F49:F53)</f>
        <v>0</v>
      </c>
      <c r="G54" s="130">
        <f>SUM(G49:G53)</f>
        <v>610.62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1169532.8799999999</v>
      </c>
      <c r="D55" s="22">
        <f>D48+D54</f>
        <v>27357.72</v>
      </c>
      <c r="E55" s="22">
        <f>E48+E54</f>
        <v>0</v>
      </c>
      <c r="F55" s="22">
        <f>F48+F54</f>
        <v>0</v>
      </c>
      <c r="G55" s="22">
        <f>G48+G54</f>
        <v>610.62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585673.18000000005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115757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224703.82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926134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900.75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900.75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926134</v>
      </c>
      <c r="D73" s="130">
        <f>SUM(D71:D72)+D70+D62</f>
        <v>900.75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41545.18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3105.83</v>
      </c>
      <c r="D80" s="95">
        <f>SUM('DOE25'!G145:G153)</f>
        <v>39678.589999999997</v>
      </c>
      <c r="E80" s="95">
        <f>SUM('DOE25'!H145:H153)</f>
        <v>196124.56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8992.56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53643.57</v>
      </c>
      <c r="D83" s="131">
        <f>SUM(D77:D82)</f>
        <v>39678.589999999997</v>
      </c>
      <c r="E83" s="131">
        <f>SUM(E77:E82)</f>
        <v>196124.56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46083.53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46083.53</v>
      </c>
      <c r="E95" s="86">
        <f>SUM(E85:E94)</f>
        <v>0</v>
      </c>
      <c r="F95" s="86">
        <f>SUM(F85:F94)</f>
        <v>0</v>
      </c>
      <c r="G95" s="86">
        <f>SUM(G85:G94)</f>
        <v>25000</v>
      </c>
    </row>
    <row r="96" spans="1:7" ht="12.75" thickTop="1" thickBot="1" x14ac:dyDescent="0.25">
      <c r="A96" s="33" t="s">
        <v>797</v>
      </c>
      <c r="C96" s="86">
        <f>C55+C73+C83+C95</f>
        <v>2149310.4499999997</v>
      </c>
      <c r="D96" s="86">
        <f>D55+D73+D83+D95</f>
        <v>114020.59</v>
      </c>
      <c r="E96" s="86">
        <f>E55+E73+E83+E95</f>
        <v>196124.56</v>
      </c>
      <c r="F96" s="86">
        <f>F55+F73+F83+F95</f>
        <v>0</v>
      </c>
      <c r="G96" s="86">
        <f>G55+G73+G95</f>
        <v>25610.62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1038390.6099999999</v>
      </c>
      <c r="D101" s="24" t="s">
        <v>312</v>
      </c>
      <c r="E101" s="95">
        <f>('DOE25'!L268)+('DOE25'!L287)+('DOE25'!L306)</f>
        <v>196124.56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173670.14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1270.5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22958.450000000004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1236289.7</v>
      </c>
      <c r="D107" s="86">
        <f>SUM(D101:D106)</f>
        <v>0</v>
      </c>
      <c r="E107" s="86">
        <f>SUM(E101:E106)</f>
        <v>196124.56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76588.56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73734.38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125836.28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165411.16999999998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271966.37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61784.62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114020.59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775321.38</v>
      </c>
      <c r="D120" s="86">
        <f>SUM(D110:D119)</f>
        <v>114020.59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61016.74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46083.53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25610.62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-610.61999999999898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132100.26999999999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2143711.35</v>
      </c>
      <c r="D137" s="86">
        <f>(D107+D120+D136)</f>
        <v>114020.59</v>
      </c>
      <c r="E137" s="86">
        <f>(E107+E120+E136)</f>
        <v>196124.56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FEEE-316B-40CE-B8BD-33980C5DCC6E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STRATFORD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16819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26625</v>
      </c>
    </row>
    <row r="7" spans="1:4" x14ac:dyDescent="0.2">
      <c r="B7" t="s">
        <v>736</v>
      </c>
      <c r="C7" s="179">
        <f>IF('DOE25'!I655+'DOE25'!I660=0,0,ROUND('DOE25'!I662,0))</f>
        <v>19489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1234515</v>
      </c>
      <c r="D10" s="182">
        <f>ROUND((C10/$C$28)*100,1)</f>
        <v>53.8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173670</v>
      </c>
      <c r="D11" s="182">
        <f>ROUND((C11/$C$28)*100,1)</f>
        <v>7.6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1271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22958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76589</v>
      </c>
      <c r="D15" s="182">
        <f t="shared" ref="D15:D27" si="0">ROUND((C15/$C$28)*100,1)</f>
        <v>3.3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73734</v>
      </c>
      <c r="D16" s="182">
        <f t="shared" si="0"/>
        <v>3.2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125836</v>
      </c>
      <c r="D17" s="182">
        <f t="shared" si="0"/>
        <v>5.5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165411</v>
      </c>
      <c r="D18" s="182">
        <f t="shared" si="0"/>
        <v>7.2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271966</v>
      </c>
      <c r="D20" s="182">
        <f t="shared" si="0"/>
        <v>11.9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61785</v>
      </c>
      <c r="D21" s="182">
        <f t="shared" si="0"/>
        <v>2.7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86663.28</v>
      </c>
      <c r="D27" s="182">
        <f t="shared" si="0"/>
        <v>3.8</v>
      </c>
    </row>
    <row r="28" spans="1:4" x14ac:dyDescent="0.2">
      <c r="B28" s="187" t="s">
        <v>754</v>
      </c>
      <c r="C28" s="180">
        <f>SUM(C10:C27)</f>
        <v>2294398.2799999998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61017</v>
      </c>
    </row>
    <row r="30" spans="1:4" x14ac:dyDescent="0.2">
      <c r="B30" s="187" t="s">
        <v>760</v>
      </c>
      <c r="C30" s="180">
        <f>SUM(C28:C29)</f>
        <v>2355415.2799999998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911491</v>
      </c>
      <c r="D35" s="182">
        <f t="shared" ref="D35:D40" si="1">ROUND((C35/$C$41)*100,1)</f>
        <v>38.200000000000003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258652.50000000023</v>
      </c>
      <c r="D36" s="182">
        <f t="shared" si="1"/>
        <v>10.8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701430</v>
      </c>
      <c r="D37" s="182">
        <f t="shared" si="1"/>
        <v>29.4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225605</v>
      </c>
      <c r="D38" s="182">
        <f t="shared" si="1"/>
        <v>9.5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289447</v>
      </c>
      <c r="D39" s="182">
        <f t="shared" si="1"/>
        <v>12.1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2386625.5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1A4A-2286-4F4E-8C8D-6D6ED659B24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STRATFORD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2010-08-25T15:26:00Z</cp:lastPrinted>
  <dcterms:created xsi:type="dcterms:W3CDTF">1997-12-04T19:04:30Z</dcterms:created>
  <dcterms:modified xsi:type="dcterms:W3CDTF">2025-01-09T20:23:17Z</dcterms:modified>
</cp:coreProperties>
</file>