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C98C6F8-6648-4A95-BD12-D33BEC072C4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54DF773-244A-45D7-8248-F7DE8E8D422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F5" i="13"/>
  <c r="D5" i="13" s="1"/>
  <c r="G5" i="13"/>
  <c r="L189" i="1"/>
  <c r="L190" i="1"/>
  <c r="L191" i="1"/>
  <c r="L192" i="1"/>
  <c r="L207" i="1"/>
  <c r="L208" i="1"/>
  <c r="L209" i="1"/>
  <c r="L210" i="1"/>
  <c r="L225" i="1"/>
  <c r="L239" i="1" s="1"/>
  <c r="L226" i="1"/>
  <c r="C11" i="10" s="1"/>
  <c r="L227" i="1"/>
  <c r="C103" i="2" s="1"/>
  <c r="L228" i="1"/>
  <c r="F6" i="13"/>
  <c r="G6" i="13"/>
  <c r="L194" i="1"/>
  <c r="L212" i="1"/>
  <c r="L230" i="1"/>
  <c r="D6" i="13"/>
  <c r="F7" i="13"/>
  <c r="G7" i="13"/>
  <c r="G33" i="13" s="1"/>
  <c r="L195" i="1"/>
  <c r="D7" i="13" s="1"/>
  <c r="C7" i="13" s="1"/>
  <c r="L213" i="1"/>
  <c r="L221" i="1" s="1"/>
  <c r="L231" i="1"/>
  <c r="F12" i="13"/>
  <c r="G12" i="13"/>
  <c r="L197" i="1"/>
  <c r="L215" i="1"/>
  <c r="L233" i="1"/>
  <c r="D12" i="13"/>
  <c r="F14" i="13"/>
  <c r="G14" i="13"/>
  <c r="L199" i="1"/>
  <c r="D14" i="13" s="1"/>
  <c r="C14" i="13" s="1"/>
  <c r="L217" i="1"/>
  <c r="C20" i="10" s="1"/>
  <c r="L235" i="1"/>
  <c r="F15" i="13"/>
  <c r="G15" i="13"/>
  <c r="L200" i="1"/>
  <c r="L218" i="1"/>
  <c r="L236" i="1"/>
  <c r="D15" i="13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L279" i="1"/>
  <c r="C21" i="10" s="1"/>
  <c r="L280" i="1"/>
  <c r="E117" i="2" s="1"/>
  <c r="L287" i="1"/>
  <c r="L288" i="1"/>
  <c r="L289" i="1"/>
  <c r="L290" i="1"/>
  <c r="L292" i="1"/>
  <c r="L293" i="1"/>
  <c r="L294" i="1"/>
  <c r="L295" i="1"/>
  <c r="L296" i="1"/>
  <c r="L301" i="1" s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20" i="1" s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L328" i="1"/>
  <c r="F22" i="13"/>
  <c r="C22" i="13"/>
  <c r="C19" i="13"/>
  <c r="C16" i="13"/>
  <c r="C15" i="13"/>
  <c r="C12" i="13"/>
  <c r="C11" i="13"/>
  <c r="C10" i="13"/>
  <c r="C9" i="13"/>
  <c r="C6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96" i="2" s="1"/>
  <c r="G51" i="2"/>
  <c r="G53" i="2"/>
  <c r="G54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H52" i="1"/>
  <c r="I52" i="1"/>
  <c r="I104" i="1" s="1"/>
  <c r="F71" i="1"/>
  <c r="C49" i="2" s="1"/>
  <c r="F86" i="1"/>
  <c r="C50" i="2" s="1"/>
  <c r="F103" i="1"/>
  <c r="G103" i="1"/>
  <c r="G104" i="1"/>
  <c r="H71" i="1"/>
  <c r="H104" i="1" s="1"/>
  <c r="H86" i="1"/>
  <c r="H103" i="1"/>
  <c r="I103" i="1"/>
  <c r="J103" i="1"/>
  <c r="J104" i="1"/>
  <c r="C37" i="10"/>
  <c r="F113" i="1"/>
  <c r="F128" i="1"/>
  <c r="F132" i="1"/>
  <c r="G113" i="1"/>
  <c r="G128" i="1"/>
  <c r="G132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G185" i="1" s="1"/>
  <c r="G618" i="1" s="1"/>
  <c r="J618" i="1" s="1"/>
  <c r="H139" i="1"/>
  <c r="H161" i="1" s="1"/>
  <c r="H154" i="1"/>
  <c r="I139" i="1"/>
  <c r="I154" i="1"/>
  <c r="I161" i="1" s="1"/>
  <c r="C13" i="10"/>
  <c r="C15" i="10"/>
  <c r="C18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6" i="10"/>
  <c r="C5" i="10"/>
  <c r="C42" i="10"/>
  <c r="L366" i="1"/>
  <c r="L367" i="1"/>
  <c r="C29" i="10" s="1"/>
  <c r="L368" i="1"/>
  <c r="L369" i="1"/>
  <c r="L370" i="1"/>
  <c r="F122" i="2" s="1"/>
  <c r="F136" i="2" s="1"/>
  <c r="L371" i="1"/>
  <c r="L372" i="1"/>
  <c r="B2" i="10"/>
  <c r="L336" i="1"/>
  <c r="L337" i="1"/>
  <c r="L338" i="1"/>
  <c r="L339" i="1"/>
  <c r="K343" i="1"/>
  <c r="L511" i="1"/>
  <c r="F539" i="1"/>
  <c r="F542" i="1" s="1"/>
  <c r="L512" i="1"/>
  <c r="F540" i="1" s="1"/>
  <c r="L513" i="1"/>
  <c r="F541" i="1"/>
  <c r="L516" i="1"/>
  <c r="G539" i="1"/>
  <c r="K539" i="1" s="1"/>
  <c r="L517" i="1"/>
  <c r="L519" i="1" s="1"/>
  <c r="G540" i="1"/>
  <c r="L518" i="1"/>
  <c r="G541" i="1" s="1"/>
  <c r="L521" i="1"/>
  <c r="H539" i="1" s="1"/>
  <c r="H542" i="1" s="1"/>
  <c r="L522" i="1"/>
  <c r="H540" i="1"/>
  <c r="L523" i="1"/>
  <c r="H541" i="1"/>
  <c r="L526" i="1"/>
  <c r="I539" i="1"/>
  <c r="L527" i="1"/>
  <c r="I540" i="1" s="1"/>
  <c r="L528" i="1"/>
  <c r="I541" i="1" s="1"/>
  <c r="L531" i="1"/>
  <c r="J539" i="1"/>
  <c r="L532" i="1"/>
  <c r="J540" i="1" s="1"/>
  <c r="J542" i="1" s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E19" i="2" s="1"/>
  <c r="F9" i="2"/>
  <c r="I431" i="1"/>
  <c r="J9" i="1"/>
  <c r="G9" i="2"/>
  <c r="G19" i="2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D19" i="2" s="1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F23" i="2"/>
  <c r="F32" i="2" s="1"/>
  <c r="I441" i="1"/>
  <c r="J24" i="1" s="1"/>
  <c r="C24" i="2"/>
  <c r="D24" i="2"/>
  <c r="E24" i="2"/>
  <c r="F24" i="2"/>
  <c r="I442" i="1"/>
  <c r="I444" i="1" s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E49" i="2"/>
  <c r="E50" i="2"/>
  <c r="C51" i="2"/>
  <c r="D51" i="2"/>
  <c r="E51" i="2"/>
  <c r="E54" i="2" s="1"/>
  <c r="E55" i="2" s="1"/>
  <c r="F51" i="2"/>
  <c r="F54" i="2" s="1"/>
  <c r="F55" i="2" s="1"/>
  <c r="F96" i="2" s="1"/>
  <c r="D52" i="2"/>
  <c r="D54" i="2" s="1"/>
  <c r="D55" i="2" s="1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D88" i="2"/>
  <c r="E88" i="2"/>
  <c r="E95" i="2" s="1"/>
  <c r="F88" i="2"/>
  <c r="F95" i="2" s="1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E103" i="2"/>
  <c r="C104" i="2"/>
  <c r="E104" i="2"/>
  <c r="C105" i="2"/>
  <c r="E105" i="2"/>
  <c r="E106" i="2"/>
  <c r="D107" i="2"/>
  <c r="F107" i="2"/>
  <c r="G107" i="2"/>
  <c r="C110" i="2"/>
  <c r="E110" i="2"/>
  <c r="E111" i="2"/>
  <c r="C112" i="2"/>
  <c r="E112" i="2"/>
  <c r="C113" i="2"/>
  <c r="E113" i="2"/>
  <c r="E114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G155" i="2" s="1"/>
  <c r="D155" i="2"/>
  <c r="E155" i="2"/>
  <c r="F155" i="2"/>
  <c r="F493" i="1"/>
  <c r="B156" i="2"/>
  <c r="G493" i="1"/>
  <c r="C156" i="2" s="1"/>
  <c r="H493" i="1"/>
  <c r="D156" i="2" s="1"/>
  <c r="I493" i="1"/>
  <c r="E156" i="2"/>
  <c r="J493" i="1"/>
  <c r="K493" i="1" s="1"/>
  <c r="F156" i="2"/>
  <c r="F19" i="1"/>
  <c r="G19" i="1"/>
  <c r="H19" i="1"/>
  <c r="I19" i="1"/>
  <c r="F33" i="1"/>
  <c r="G33" i="1"/>
  <c r="G44" i="1" s="1"/>
  <c r="H608" i="1" s="1"/>
  <c r="J608" i="1" s="1"/>
  <c r="H33" i="1"/>
  <c r="I33" i="1"/>
  <c r="I44" i="1" s="1"/>
  <c r="H610" i="1" s="1"/>
  <c r="J610" i="1" s="1"/>
  <c r="F43" i="1"/>
  <c r="F44" i="1" s="1"/>
  <c r="H607" i="1" s="1"/>
  <c r="J607" i="1" s="1"/>
  <c r="G43" i="1"/>
  <c r="H43" i="1"/>
  <c r="I43" i="1"/>
  <c r="H44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H249" i="1"/>
  <c r="H263" i="1" s="1"/>
  <c r="I249" i="1"/>
  <c r="I263" i="1" s="1"/>
  <c r="J249" i="1"/>
  <c r="H638" i="1" s="1"/>
  <c r="J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07" i="1"/>
  <c r="L411" i="1" s="1"/>
  <c r="L408" i="1"/>
  <c r="L409" i="1"/>
  <c r="L410" i="1"/>
  <c r="F411" i="1"/>
  <c r="F426" i="1" s="1"/>
  <c r="G411" i="1"/>
  <c r="H411" i="1"/>
  <c r="I411" i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J631" i="1" s="1"/>
  <c r="F451" i="1"/>
  <c r="F460" i="1"/>
  <c r="G460" i="1"/>
  <c r="H460" i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G466" i="1" s="1"/>
  <c r="H613" i="1" s="1"/>
  <c r="H464" i="1"/>
  <c r="H466" i="1" s="1"/>
  <c r="H614" i="1" s="1"/>
  <c r="J614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L514" i="1"/>
  <c r="L535" i="1" s="1"/>
  <c r="F519" i="1"/>
  <c r="G519" i="1"/>
  <c r="H519" i="1"/>
  <c r="I519" i="1"/>
  <c r="J519" i="1"/>
  <c r="K519" i="1"/>
  <c r="F524" i="1"/>
  <c r="F535" i="1" s="1"/>
  <c r="G524" i="1"/>
  <c r="G53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 s="1"/>
  <c r="J639" i="1" s="1"/>
  <c r="I588" i="1"/>
  <c r="H640" i="1" s="1"/>
  <c r="J640" i="1" s="1"/>
  <c r="J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G607" i="1"/>
  <c r="G608" i="1"/>
  <c r="G609" i="1"/>
  <c r="J609" i="1" s="1"/>
  <c r="H609" i="1"/>
  <c r="G610" i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G633" i="1"/>
  <c r="G634" i="1"/>
  <c r="G635" i="1"/>
  <c r="H637" i="1"/>
  <c r="G638" i="1"/>
  <c r="G639" i="1"/>
  <c r="G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J633" i="1" l="1"/>
  <c r="E96" i="2"/>
  <c r="J19" i="1"/>
  <c r="G611" i="1" s="1"/>
  <c r="K540" i="1"/>
  <c r="F185" i="1"/>
  <c r="G617" i="1" s="1"/>
  <c r="J617" i="1" s="1"/>
  <c r="H185" i="1"/>
  <c r="G619" i="1" s="1"/>
  <c r="J619" i="1" s="1"/>
  <c r="C5" i="13"/>
  <c r="G156" i="2"/>
  <c r="G42" i="2"/>
  <c r="G43" i="2" s="1"/>
  <c r="E43" i="2"/>
  <c r="G23" i="2"/>
  <c r="J33" i="1"/>
  <c r="L400" i="1"/>
  <c r="C130" i="2"/>
  <c r="C133" i="2" s="1"/>
  <c r="E136" i="2"/>
  <c r="G650" i="1"/>
  <c r="G654" i="1" s="1"/>
  <c r="E120" i="2"/>
  <c r="E137" i="2" s="1"/>
  <c r="J43" i="1"/>
  <c r="D43" i="2"/>
  <c r="H650" i="1"/>
  <c r="H654" i="1" s="1"/>
  <c r="C136" i="2"/>
  <c r="C39" i="10"/>
  <c r="C38" i="10"/>
  <c r="H33" i="13"/>
  <c r="C25" i="13"/>
  <c r="E33" i="13"/>
  <c r="D35" i="13" s="1"/>
  <c r="C8" i="13"/>
  <c r="G137" i="2"/>
  <c r="F137" i="2"/>
  <c r="C54" i="2"/>
  <c r="C55" i="2" s="1"/>
  <c r="C96" i="2" s="1"/>
  <c r="D137" i="2"/>
  <c r="G32" i="2"/>
  <c r="I185" i="1"/>
  <c r="G620" i="1" s="1"/>
  <c r="J620" i="1" s="1"/>
  <c r="L561" i="1"/>
  <c r="L426" i="1"/>
  <c r="G628" i="1" s="1"/>
  <c r="J628" i="1" s="1"/>
  <c r="D96" i="2"/>
  <c r="I542" i="1"/>
  <c r="K541" i="1"/>
  <c r="K542" i="1" s="1"/>
  <c r="J185" i="1"/>
  <c r="L282" i="1"/>
  <c r="C114" i="2"/>
  <c r="C101" i="2"/>
  <c r="L203" i="1"/>
  <c r="C17" i="10"/>
  <c r="C35" i="10"/>
  <c r="C115" i="2"/>
  <c r="I450" i="1"/>
  <c r="I451" i="1" s="1"/>
  <c r="H632" i="1" s="1"/>
  <c r="C102" i="2"/>
  <c r="C19" i="10"/>
  <c r="G612" i="1"/>
  <c r="J612" i="1" s="1"/>
  <c r="J263" i="1"/>
  <c r="E77" i="2"/>
  <c r="E83" i="2" s="1"/>
  <c r="L343" i="1"/>
  <c r="F652" i="1"/>
  <c r="I652" i="1" s="1"/>
  <c r="C16" i="10"/>
  <c r="C106" i="2"/>
  <c r="C25" i="10"/>
  <c r="F33" i="13"/>
  <c r="D119" i="2"/>
  <c r="D120" i="2" s="1"/>
  <c r="H651" i="1"/>
  <c r="C32" i="10"/>
  <c r="C12" i="10"/>
  <c r="L604" i="1"/>
  <c r="C111" i="2"/>
  <c r="F651" i="1"/>
  <c r="I651" i="1" s="1"/>
  <c r="L354" i="1"/>
  <c r="I438" i="1"/>
  <c r="G632" i="1" s="1"/>
  <c r="E116" i="2"/>
  <c r="G542" i="1"/>
  <c r="C10" i="10"/>
  <c r="L374" i="1"/>
  <c r="G626" i="1" s="1"/>
  <c r="J626" i="1" s="1"/>
  <c r="C123" i="2"/>
  <c r="J632" i="1" l="1"/>
  <c r="L249" i="1"/>
  <c r="L263" i="1" s="1"/>
  <c r="G622" i="1" s="1"/>
  <c r="J622" i="1" s="1"/>
  <c r="F650" i="1"/>
  <c r="C27" i="10"/>
  <c r="G625" i="1"/>
  <c r="J625" i="1" s="1"/>
  <c r="C107" i="2"/>
  <c r="C137" i="2" s="1"/>
  <c r="G662" i="1"/>
  <c r="G657" i="1"/>
  <c r="C28" i="10"/>
  <c r="D10" i="10" s="1"/>
  <c r="G616" i="1"/>
  <c r="J616" i="1" s="1"/>
  <c r="J44" i="1"/>
  <c r="H611" i="1" s="1"/>
  <c r="C36" i="10"/>
  <c r="C120" i="2"/>
  <c r="D31" i="13"/>
  <c r="L330" i="1"/>
  <c r="L344" i="1" s="1"/>
  <c r="G623" i="1" s="1"/>
  <c r="J623" i="1" s="1"/>
  <c r="G636" i="1"/>
  <c r="J636" i="1" s="1"/>
  <c r="G621" i="1"/>
  <c r="J621" i="1" s="1"/>
  <c r="G627" i="1"/>
  <c r="J627" i="1" s="1"/>
  <c r="H636" i="1"/>
  <c r="J611" i="1"/>
  <c r="H662" i="1"/>
  <c r="H657" i="1"/>
  <c r="D12" i="10" l="1"/>
  <c r="C31" i="13"/>
  <c r="D33" i="13"/>
  <c r="D36" i="13" s="1"/>
  <c r="C30" i="10"/>
  <c r="D13" i="10"/>
  <c r="D22" i="10"/>
  <c r="D18" i="10"/>
  <c r="D21" i="10"/>
  <c r="D20" i="10"/>
  <c r="D23" i="10"/>
  <c r="D15" i="10"/>
  <c r="D26" i="10"/>
  <c r="D11" i="10"/>
  <c r="D28" i="10" s="1"/>
  <c r="D24" i="10"/>
  <c r="H646" i="1"/>
  <c r="D17" i="10"/>
  <c r="D27" i="10"/>
  <c r="C41" i="10"/>
  <c r="D25" i="10"/>
  <c r="D16" i="10"/>
  <c r="D19" i="10"/>
  <c r="I650" i="1"/>
  <c r="I654" i="1" s="1"/>
  <c r="F654" i="1"/>
  <c r="I662" i="1" l="1"/>
  <c r="C7" i="10" s="1"/>
  <c r="I657" i="1"/>
  <c r="D37" i="10"/>
  <c r="D40" i="10"/>
  <c r="D35" i="10"/>
  <c r="D41" i="10" s="1"/>
  <c r="D38" i="10"/>
  <c r="D39" i="10"/>
  <c r="D36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A53" authorId="0" shapeId="0" xr:uid="{5981F5E8-DB38-4406-B802-117D50897CF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2FBFB36-0CB2-42C0-8A42-96119C76BD7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17FAFE3-1A94-4F0E-A7B2-A3C47189075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C8C1290-2419-4D72-832D-6680ED3D275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77ADDF7-8B97-43EF-87C7-5A963968BDD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B7B2FA9-257B-487A-94BE-85D4C19C9F7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5E7E693-CE03-4A53-831C-30245AD19B9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2D5112B-2E7F-42CC-9A82-8353DC97372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0E0FCD3-4C9C-466C-86C5-A5ECF7C674F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0EED556-2215-4720-A41C-85776E34A7D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E4936B2-37FC-4E81-B9D1-456E26A85EC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<sst xmlns="http://schemas.openxmlformats.org/spreadsheetml/2006/main" count="3865" uniqueCount="895">
  <si>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</si>
  <si>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</si>
  <si>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</si>
  <si>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</si>
  <si>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</si>
  <si>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</si>
  <si>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</si>
  <si>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</si>
  <si>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</si>
  <si>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</si>
  <si>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</si>
  <si>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</si>
  <si>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</si>
  <si>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</si>
  <si>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</si>
  <si>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</si>
  <si>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</si>
  <si>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</si>
  <si>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</si>
  <si>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</si>
  <si>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</si>
  <si>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</si>
  <si>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</si>
  <si>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</si>
  <si>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</si>
  <si>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</si>
  <si>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</si>
  <si>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</si>
  <si>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</si>
  <si>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</si>
  <si>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</si>
  <si>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</si>
  <si>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</si>
  <si>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</si>
  <si>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</si>
  <si>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</si>
  <si>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</si>
  <si>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</si>
  <si>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</si>
  <si>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</si>
  <si>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</si>
  <si>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</si>
  <si>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</si>
  <si>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</si>
  <si>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</si>
  <si>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</si>
  <si>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</si>
  <si>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</si>
  <si>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</si>
  <si>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</si>
  <si>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</si>
  <si>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</si>
  <si>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</si>
  <si>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</si>
  <si>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</si>
  <si>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</si>
  <si>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</si>
  <si>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</si>
  <si>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</si>
  <si>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</si>
  <si>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</si>
  <si>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</si>
  <si>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</si>
  <si>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</si>
  <si>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</si>
  <si>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</si>
  <si>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</si>
  <si>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</si>
  <si>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</si>
  <si>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</si>
  <si>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</si>
  <si>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</si>
  <si>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</si>
  <si>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</si>
  <si>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</si>
  <si>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</si>
  <si>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</si>
  <si>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</si>
  <si>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</si>
  <si>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</si>
  <si>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</si>
  <si>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</si>
  <si>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</si>
  <si>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</si>
  <si>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</si>
  <si>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</si>
  <si>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</si>
  <si>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</si>
  <si>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</si>
  <si>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</si>
  <si>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</si>
  <si>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</si>
  <si>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</si>
  <si>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</si>
  <si>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</si>
  <si>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</si>
  <si>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</si>
  <si>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</si>
  <si>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</si>
  <si>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</si>
  <si>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</si>
  <si>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</si>
  <si>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</si>
  <si>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</si>
  <si>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</si>
  <si>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</si>
  <si>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</si>
  <si>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</si>
  <si>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</si>
  <si>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</si>
  <si>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</si>
  <si>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</si>
  <si>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</si>
  <si>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</si>
  <si>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</si>
  <si>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</si>
  <si>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</si>
  <si>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</si>
  <si>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</si>
  <si>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</si>
  <si>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</si>
  <si>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</si>
  <si>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</si>
  <si>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</si>
  <si>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</si>
  <si>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</si>
  <si>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</si>
  <si>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</si>
  <si>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</si>
  <si>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</si>
  <si>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</si>
  <si>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</si>
  <si>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</si>
  <si>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</si>
  <si>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</si>
  <si>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</si>
  <si>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</si>
  <si>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</si>
  <si>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</si>
  <si>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</si>
  <si>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</si>
  <si>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</si>
  <si>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</si>
  <si>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</si>
  <si>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</si>
  <si>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</si>
  <si>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</si>
  <si>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</si>
  <si>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</si>
  <si>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</si>
  <si>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</si>
  <si>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</si>
  <si>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</si>
  <si>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</si>
  <si>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</si>
  <si>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</si>
  <si>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</si>
  <si>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</si>
  <si>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</si>
  <si>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</si>
  <si>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</si>
  <si>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</si>
  <si>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</si>
  <si>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</si>
  <si>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</si>
  <si>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</si>
  <si>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</si>
  <si>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</si>
  <si>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</si>
  <si>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</si>
  <si>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</si>
  <si>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</si>
  <si>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</si>
  <si>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</si>
  <si>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</si>
  <si>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</si>
  <si>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</si>
  <si>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</si>
  <si>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</si>
  <si>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</si>
  <si>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</si>
  <si>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</si>
  <si>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</si>
  <si>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</si>
  <si>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</si>
  <si>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</si>
  <si>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</si>
  <si>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</si>
  <si>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</si>
  <si>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</si>
  <si>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</si>
  <si>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</si>
  <si>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</si>
  <si>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</si>
  <si>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</si>
  <si>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</si>
  <si>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</si>
  <si>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</si>
  <si>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</si>
  <si>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</si>
  <si>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</si>
  <si>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</si>
  <si>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</si>
  <si>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</si>
  <si>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</si>
  <si>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</si>
  <si>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</si>
  <si>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</si>
  <si>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</si>
  <si>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</si>
  <si>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</si>
  <si>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</si>
  <si>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</si>
  <si>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</si>
  <si>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</si>
  <si>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</si>
  <si>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</si>
  <si>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</si>
  <si>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</si>
  <si>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</si>
  <si>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</si>
  <si>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</si>
  <si>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</si>
  <si>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</si>
  <si>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</si>
  <si>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</si>
  <si>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</si>
  <si>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</si>
  <si>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</si>
  <si>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</si>
  <si>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</si>
  <si>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</si>
  <si>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</si>
  <si>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</si>
  <si>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</si>
  <si>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</si>
  <si>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</si>
  <si>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</si>
  <si>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</si>
  <si>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</si>
  <si>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</si>
  <si>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</si>
  <si>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</si>
  <si>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</si>
  <si>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</si>
  <si>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</si>
  <si>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</si>
  <si>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</si>
  <si>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</si>
  <si>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</si>
  <si>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</si>
  <si>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</si>
  <si>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</si>
  <si>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</si>
  <si>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</si>
  <si>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</si>
  <si>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</si>
  <si>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</si>
  <si>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</si>
  <si>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</si>
  <si>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</si>
  <si>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</si>
  <si>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</si>
  <si>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</si>
  <si>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</si>
  <si>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</si>
  <si>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</si>
  <si>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</si>
  <si>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</si>
  <si>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</si>
  <si>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</si>
  <si>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</si>
  <si>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</si>
  <si>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</si>
  <si>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</si>
  <si>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</si>
  <si>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</si>
  <si>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</si>
  <si>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</si>
  <si>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</si>
  <si>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</si>
  <si>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</si>
  <si>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</si>
  <si>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</si>
  <si>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</si>
  <si>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</si>
  <si>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</si>
  <si>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</si>
  <si>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</si>
  <si>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</si>
  <si>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</si>
  <si>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</si>
  <si>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</si>
  <si>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</si>
  <si>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</si>
  <si>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</si>
  <si>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</si>
  <si>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</si>
  <si>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</si>
  <si>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</si>
  <si>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</si>
  <si>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</si>
  <si>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</si>
  <si>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</si>
  <si>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</si>
  <si>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</si>
  <si>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</si>
  <si>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</si>
  <si>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</si>
  <si>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</si>
  <si>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</si>
  <si>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</si>
  <si>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</si>
  <si>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</si>
  <si>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</si>
  <si>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</si>
  <si>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</si>
  <si>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</si>
  <si>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</si>
  <si>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</si>
  <si>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</si>
  <si>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</si>
  <si>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</si>
  <si>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</si>
  <si>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</si>
  <si>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</si>
  <si>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</si>
  <si>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</si>
  <si>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</si>
  <si>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</si>
  <si>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</si>
  <si>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</si>
  <si>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</si>
  <si>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</si>
  <si>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</si>
  <si>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</si>
  <si>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</si>
  <si>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</si>
  <si>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</si>
  <si>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</si>
  <si>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</si>
  <si>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</si>
  <si>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</si>
  <si>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</si>
  <si>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</si>
  <si>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</si>
  <si>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</si>
  <si>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</si>
  <si>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</si>
  <si>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</si>
  <si>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</si>
  <si>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</si>
  <si>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</si>
  <si>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</si>
  <si>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</si>
  <si>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</si>
  <si>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</si>
  <si>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</si>
  <si>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</si>
  <si>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</si>
  <si>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</si>
  <si>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</si>
  <si>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</si>
  <si>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</si>
  <si>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</si>
  <si>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</si>
  <si>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</si>
  <si>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</si>
  <si>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</si>
  <si>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</si>
  <si>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</si>
  <si>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</si>
  <si>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</si>
  <si>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</si>
  <si>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</si>
  <si>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</si>
  <si>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</si>
  <si>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</si>
  <si>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</si>
  <si>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</si>
  <si>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</si>
  <si>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</si>
  <si>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</si>
  <si>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</si>
  <si>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</si>
  <si>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</si>
  <si>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</si>
  <si>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</si>
  <si>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</si>
  <si>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</si>
  <si>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</si>
  <si>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</si>
  <si>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</si>
  <si>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</si>
  <si>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</si>
  <si>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</si>
  <si>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</si>
  <si>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</si>
  <si>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</si>
  <si>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</si>
  <si>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</si>
  <si>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</si>
  <si>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</si>
  <si>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</si>
  <si>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</si>
  <si>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</si>
  <si>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</si>
  <si>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</si>
  <si>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</si>
  <si>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</si>
  <si>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</si>
  <si>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</si>
  <si>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</si>
  <si>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</si>
  <si>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</si>
  <si>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</si>
  <si>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</si>
  <si>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</si>
  <si>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</si>
  <si>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</si>
  <si>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</si>
  <si>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</si>
  <si>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</si>
  <si>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</si>
  <si>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</si>
  <si>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</si>
  <si>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</si>
  <si>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</si>
  <si>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</si>
  <si>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</si>
  <si>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</si>
  <si>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</si>
  <si>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</si>
  <si>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</si>
  <si>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</si>
  <si>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</si>
  <si>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</si>
  <si>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</si>
  <si>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</si>
  <si>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</si>
  <si>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</si>
  <si>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</si>
  <si>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</si>
  <si>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</si>
  <si>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</si>
  <si>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</si>
  <si>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</si>
  <si>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</si>
  <si>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</si>
  <si>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</si>
  <si>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</si>
  <si>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</si>
  <si>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</si>
  <si>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</si>
  <si>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</si>
  <si>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</si>
  <si>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</si>
  <si>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</si>
  <si>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</si>
  <si>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</si>
  <si>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</si>
  <si>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</si>
  <si>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</si>
  <si>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</si>
  <si>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</si>
  <si>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</si>
  <si>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</si>
  <si>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</si>
  <si>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</si>
  <si>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</si>
  <si>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</si>
  <si>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</si>
  <si>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</si>
  <si>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</si>
  <si>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</si>
  <si>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</si>
  <si>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</si>
  <si>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</si>
  <si>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</si>
  <si>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</si>
  <si>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</si>
  <si>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</si>
  <si>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</si>
  <si>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</si>
  <si>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</si>
  <si>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</si>
  <si>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</si>
  <si>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</si>
  <si>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</si>
  <si>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</si>
  <si>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</si>
  <si>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</si>
  <si>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</si>
  <si>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</si>
  <si>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</si>
  <si>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</si>
  <si>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</si>
  <si>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</si>
  <si>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</si>
  <si>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</si>
  <si>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</si>
  <si>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</si>
  <si>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</si>
  <si>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</si>
  <si>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</si>
  <si>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</si>
  <si>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</si>
  <si>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</si>
  <si>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</si>
  <si>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</si>
  <si>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</si>
  <si>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</si>
  <si>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</si>
  <si>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</si>
  <si>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</si>
  <si>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</si>
  <si>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</si>
  <si>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</si>
  <si>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</si>
  <si>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</si>
  <si>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</si>
  <si>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</si>
  <si>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</si>
  <si>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</si>
  <si>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</si>
  <si>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</si>
  <si>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</si>
  <si>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</si>
  <si>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</si>
  <si>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</si>
  <si>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</si>
  <si>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</si>
  <si>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</si>
  <si>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</si>
  <si>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</si>
  <si>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</si>
  <si>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</si>
  <si>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</si>
  <si>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</si>
  <si>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</si>
  <si>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</si>
  <si>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</si>
  <si>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</si>
  <si>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</si>
  <si>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</si>
  <si>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</si>
  <si>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</si>
  <si>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</si>
  <si>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</si>
  <si>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</si>
  <si>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</si>
  <si>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</si>
  <si>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</si>
  <si>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</si>
  <si>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</si>
  <si>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</si>
  <si>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</si>
  <si>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</si>
  <si>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</si>
  <si>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</si>
  <si>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</si>
  <si>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</si>
  <si>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</si>
  <si>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</si>
  <si>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</si>
  <si>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</si>
  <si>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</si>
  <si>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</si>
  <si>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</si>
  <si>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</si>
  <si>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</si>
  <si>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</si>
  <si>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</si>
  <si>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</si>
  <si>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</si>
  <si>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</si>
  <si>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</si>
  <si>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</si>
  <si>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</si>
  <si>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</si>
  <si>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</si>
  <si>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</si>
  <si>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</si>
  <si>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</si>
  <si>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</si>
  <si>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</si>
  <si>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</si>
  <si>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</si>
  <si>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</si>
  <si>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</si>
  <si>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</si>
  <si>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</si>
  <si>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</si>
  <si>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</si>
  <si>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</si>
  <si>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</si>
  <si>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</si>
  <si>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</si>
  <si>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</si>
  <si>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</si>
  <si>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</si>
  <si>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</si>
  <si>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</si>
  <si>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</si>
  <si>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</si>
  <si>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</si>
  <si>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</si>
  <si>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</si>
  <si>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</si>
  <si>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</si>
  <si>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</si>
  <si>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</si>
  <si>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</si>
  <si>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</si>
  <si>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</si>
  <si>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</si>
  <si>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</si>
  <si>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</si>
  <si>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</si>
  <si>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</si>
  <si>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</si>
  <si>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</si>
  <si>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</si>
  <si>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</si>
  <si>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</si>
  <si>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</si>
  <si>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</si>
  <si>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</si>
  <si>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</si>
  <si>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</si>
  <si>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</si>
  <si>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</si>
  <si>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</si>
  <si>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</si>
  <si>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</si>
  <si>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</si>
  <si>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</si>
  <si>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</si>
  <si>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</si>
  <si>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</si>
  <si>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</si>
  <si>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</si>
  <si>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</si>
  <si>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</si>
  <si>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</si>
  <si>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</si>
  <si>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</si>
  <si>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</si>
  <si>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</si>
  <si>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</si>
  <si>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</si>
  <si>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</si>
  <si>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</si>
  <si>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</si>
  <si>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</si>
  <si>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</si>
  <si>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</si>
  <si>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</si>
  <si>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</si>
  <si>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</si>
  <si>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</si>
  <si>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</si>
  <si>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</si>
  <si>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</si>
  <si>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</si>
  <si>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</si>
  <si>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</si>
  <si>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</si>
  <si>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</si>
  <si>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</si>
  <si>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</si>
  <si>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</si>
  <si>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</si>
  <si>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</si>
  <si>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</si>
  <si>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</si>
  <si>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</si>
  <si>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</si>
  <si>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</si>
  <si>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</si>
  <si>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</si>
  <si>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</si>
  <si>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</si>
  <si>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</si>
  <si>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</si>
  <si>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</si>
  <si>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</si>
  <si>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</si>
  <si>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</si>
  <si>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</si>
  <si>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</si>
  <si>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</si>
  <si>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</si>
  <si>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</si>
  <si>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</si>
  <si>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</si>
  <si>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</si>
  <si>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</si>
  <si>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</si>
  <si>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</si>
  <si>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</si>
  <si>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</si>
  <si>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</si>
  <si>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</si>
  <si>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</si>
  <si>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</si>
  <si>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</si>
  <si>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</si>
  <si>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</si>
  <si>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</si>
  <si>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</si>
  <si>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</si>
  <si>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</si>
  <si>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</si>
  <si>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</si>
  <si>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</si>
  <si>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</si>
  <si>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</si>
  <si>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</si>
  <si>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</si>
  <si>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</si>
  <si>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</si>
  <si>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</si>
  <si>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</si>
  <si>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</si>
  <si>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</si>
  <si>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</si>
  <si>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</si>
  <si>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</si>
  <si>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</si>
  <si>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</si>
  <si>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</si>
  <si>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</si>
  <si>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</si>
  <si>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</si>
  <si>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</si>
  <si>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</si>
  <si>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</si>
  <si>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</si>
  <si>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</si>
  <si>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</si>
  <si>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</si>
  <si>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</si>
  <si>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</si>
  <si>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</si>
  <si>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</si>
  <si>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</si>
  <si>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</si>
  <si>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</si>
  <si>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</si>
  <si>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</si>
  <si>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</si>
  <si>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</si>
  <si>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</si>
  <si>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</si>
  <si>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</si>
  <si>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</si>
  <si>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</si>
  <si>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</si>
  <si>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</si>
  <si>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</si>
  <si>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</si>
  <si>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</si>
  <si>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</si>
  <si>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</si>
  <si>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</si>
  <si>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</si>
  <si>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</si>
  <si>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</si>
  <si>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</si>
  <si>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</si>
  <si>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</si>
  <si>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</si>
  <si>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</si>
  <si>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</si>
  <si>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</si>
  <si>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</si>
  <si>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</si>
  <si>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</si>
  <si>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</si>
  <si>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</si>
  <si>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</si>
  <si>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</si>
  <si>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</si>
  <si>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</si>
  <si>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</si>
  <si>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</si>
  <si>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</si>
  <si>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</si>
  <si>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</si>
  <si>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</si>
  <si>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</si>
  <si>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</si>
  <si>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</si>
  <si>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</si>
  <si>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</si>
  <si>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</si>
  <si>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</si>
  <si>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</si>
  <si>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</si>
  <si>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</si>
  <si>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</si>
  <si>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</si>
  <si>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</si>
  <si>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</si>
  <si>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</si>
  <si>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</si>
  <si>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</si>
  <si>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</si>
  <si>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</si>
  <si>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</si>
  <si>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</si>
  <si>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</si>
  <si>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</si>
  <si>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</si>
  <si>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</si>
  <si>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</si>
  <si>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</si>
  <si>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</si>
  <si>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</si>
  <si>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</si>
  <si>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</si>
  <si>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</si>
  <si>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</si>
  <si>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</si>
  <si>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</si>
  <si>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</si>
  <si>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</si>
  <si>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</si>
  <si>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</si>
  <si>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</si>
  <si>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</si>
  <si>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</si>
  <si>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</si>
  <si>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</si>
  <si>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</si>
  <si>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</si>
  <si>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</si>
  <si>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</si>
  <si>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</si>
  <si>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</si>
  <si>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</si>
  <si>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</si>
  <si>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</si>
  <si>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</si>
  <si>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</si>
  <si>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</si>
  <si>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</si>
  <si>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</si>
  <si>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</si>
  <si>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</si>
  <si>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</si>
  <si>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</si>
  <si>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</si>
  <si>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</si>
  <si>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</si>
  <si>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</si>
  <si>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</si>
  <si>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</si>
  <si>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</si>
  <si>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</si>
  <si>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</si>
  <si>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</si>
  <si>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</si>
  <si>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</si>
  <si>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</si>
  <si>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</si>
  <si>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</si>
  <si>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</si>
  <si>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</si>
  <si>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</si>
  <si>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</si>
  <si>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</si>
  <si>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</si>
  <si>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</si>
  <si>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</si>
  <si>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</si>
  <si>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</si>
  <si>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</si>
  <si>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</si>
  <si>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</si>
  <si>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</si>
  <si>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</si>
  <si>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</si>
  <si>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</si>
  <si>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</si>
  <si>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</si>
  <si>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</si>
  <si>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</si>
  <si>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</si>
  <si>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</si>
  <si>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</si>
  <si>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</si>
  <si>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</si>
  <si>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Stratham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</si>
</sst>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31A-BDD3-4473-8FE2-02FCF004D9C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531" sqref="I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511</v>
      </c>
      <c r="C2" s="21">
        <v>511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1167351.05</v>
      </c>
      <c r="G9" s="18"/>
      <c r="H9" s="18"/>
      <c r="I9" s="18"/>
      <c r="J9" s="67">
        <f>SUM(I431)</f>
        <v>50076.14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52275.59</v>
      </c>
      <c r="G14" s="18">
        <v>15805.05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7266.03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1219626.6400000001</v>
      </c>
      <c r="G19" s="41">
        <f>SUM(G9:G18)</f>
        <v>23071.079999999998</v>
      </c>
      <c r="H19" s="41">
        <f>SUM(H9:H18)</f>
        <v>0</v>
      </c>
      <c r="I19" s="41">
        <f>SUM(I9:I18)</f>
        <v>0</v>
      </c>
      <c r="J19" s="41">
        <f>SUM(J9:J18)</f>
        <v>50076.14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45514.85</v>
      </c>
      <c r="G23" s="18">
        <v>-29243.22</v>
      </c>
      <c r="H23" s="18">
        <v>-16271.63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396093.48</v>
      </c>
      <c r="G25" s="18">
        <v>4329.68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428562.47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-2.75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24971.82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895139.86999999988</v>
      </c>
      <c r="G33" s="41">
        <f>SUM(G23:G32)</f>
        <v>-24913.54</v>
      </c>
      <c r="H33" s="41">
        <f>SUM(H23:H32)</f>
        <v>-16271.63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47984.62</v>
      </c>
      <c r="H41" s="18">
        <v>16271.63</v>
      </c>
      <c r="I41" s="18"/>
      <c r="J41" s="13">
        <f>SUM(I449)</f>
        <v>50076.14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324486.77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324486.77</v>
      </c>
      <c r="G43" s="41">
        <f>SUM(G35:G42)</f>
        <v>47984.62</v>
      </c>
      <c r="H43" s="41">
        <f>SUM(H35:H42)</f>
        <v>16271.63</v>
      </c>
      <c r="I43" s="41">
        <f>SUM(I35:I42)</f>
        <v>0</v>
      </c>
      <c r="J43" s="41">
        <f>SUM(J35:J42)</f>
        <v>50076.14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1219626.6399999999</v>
      </c>
      <c r="G44" s="41">
        <f>G43+G33</f>
        <v>23071.08</v>
      </c>
      <c r="H44" s="41">
        <f>H43+H33</f>
        <v>0</v>
      </c>
      <c r="I44" s="41">
        <f>I43+I33</f>
        <v>0</v>
      </c>
      <c r="J44" s="41">
        <f>J43+J33</f>
        <v>50076.14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6675897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6675897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15800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15800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4791.2</v>
      </c>
      <c r="G88" s="18"/>
      <c r="H88" s="18"/>
      <c r="I88" s="18"/>
      <c r="J88" s="18">
        <v>76.14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180119.6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5000</v>
      </c>
      <c r="I94" s="18"/>
      <c r="J94" s="18" t="s">
        <v>310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104.2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4975.3999999999996</v>
      </c>
      <c r="G103" s="41">
        <f>SUM(G88:G102)</f>
        <v>180119.6</v>
      </c>
      <c r="H103" s="41">
        <f>SUM(H88:H102)</f>
        <v>5000</v>
      </c>
      <c r="I103" s="41">
        <f>SUM(I88:I102)</f>
        <v>0</v>
      </c>
      <c r="J103" s="41">
        <f>SUM(J88:J102)</f>
        <v>76.14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6696672.4000000004</v>
      </c>
      <c r="G104" s="41">
        <f>G52+G103</f>
        <v>180119.6</v>
      </c>
      <c r="H104" s="41">
        <f>H52+H71+H86+H103</f>
        <v>5000</v>
      </c>
      <c r="I104" s="41">
        <f>I52+I103</f>
        <v>0</v>
      </c>
      <c r="J104" s="41">
        <f>J52+J103</f>
        <v>76.14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485963.62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1181866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186448.38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1854278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59371.73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2619.8200000000002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59371.73</v>
      </c>
      <c r="G128" s="41">
        <f>SUM(G115:G127)</f>
        <v>2619.8200000000002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1913649.73</v>
      </c>
      <c r="G132" s="41">
        <f>G113+SUM(G128:G129)</f>
        <v>2619.8200000000002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35355.57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26820.82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26820.82</v>
      </c>
      <c r="G154" s="41">
        <f>SUM(G142:G153)</f>
        <v>35355.57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26820.82</v>
      </c>
      <c r="G161" s="41">
        <f>G139+G154+SUM(G155:G160)</f>
        <v>35355.57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8637142.9500000011</v>
      </c>
      <c r="G185" s="47">
        <f>G104+G132+G161+G184</f>
        <v>218094.99000000002</v>
      </c>
      <c r="H185" s="47">
        <f>H104+H132+H161+H184</f>
        <v>5000</v>
      </c>
      <c r="I185" s="47">
        <f>I104+I132+I161+I184</f>
        <v>0</v>
      </c>
      <c r="J185" s="47">
        <f>J104+J132+J184</f>
        <v>50076.14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2833378.56</v>
      </c>
      <c r="G189" s="18">
        <v>680347.68</v>
      </c>
      <c r="H189" s="18">
        <v>35081.35</v>
      </c>
      <c r="I189" s="18">
        <v>84295.29</v>
      </c>
      <c r="J189" s="18">
        <v>11793.94</v>
      </c>
      <c r="K189" s="18"/>
      <c r="L189" s="19">
        <f>SUM(F189:K189)</f>
        <v>3644896.8200000003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977618.39</v>
      </c>
      <c r="G190" s="18">
        <v>279561.61</v>
      </c>
      <c r="H190" s="18">
        <v>51711.519999999997</v>
      </c>
      <c r="I190" s="18">
        <v>16166.12</v>
      </c>
      <c r="J190" s="18">
        <v>12451.91</v>
      </c>
      <c r="K190" s="18"/>
      <c r="L190" s="19">
        <f>SUM(F190:K190)</f>
        <v>1337509.55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500</v>
      </c>
      <c r="G192" s="18"/>
      <c r="H192" s="18">
        <v>957.9</v>
      </c>
      <c r="I192" s="18"/>
      <c r="J192" s="18"/>
      <c r="K192" s="18"/>
      <c r="L192" s="19">
        <f>SUM(F192:K192)</f>
        <v>1457.9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651702.51</v>
      </c>
      <c r="G194" s="18">
        <v>295861.86</v>
      </c>
      <c r="H194" s="18">
        <v>17250.8</v>
      </c>
      <c r="I194" s="18">
        <v>2418.06</v>
      </c>
      <c r="J194" s="18"/>
      <c r="K194" s="18"/>
      <c r="L194" s="19">
        <f t="shared" ref="L194:L200" si="0">SUM(F194:K194)</f>
        <v>967233.2300000001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715072.24</v>
      </c>
      <c r="G195" s="18">
        <v>124249.63</v>
      </c>
      <c r="H195" s="18">
        <v>116178.26</v>
      </c>
      <c r="I195" s="18">
        <v>17990.28</v>
      </c>
      <c r="J195" s="18">
        <v>16020.97</v>
      </c>
      <c r="K195" s="18"/>
      <c r="L195" s="19">
        <f t="shared" si="0"/>
        <v>989511.38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6910</v>
      </c>
      <c r="G196" s="18"/>
      <c r="H196" s="18">
        <v>240766.97</v>
      </c>
      <c r="I196" s="18"/>
      <c r="J196" s="18"/>
      <c r="K196" s="18">
        <v>3646.93</v>
      </c>
      <c r="L196" s="19">
        <f t="shared" si="0"/>
        <v>251323.9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272849.78000000003</v>
      </c>
      <c r="G197" s="18">
        <v>301999.99</v>
      </c>
      <c r="H197" s="18">
        <v>26912.59</v>
      </c>
      <c r="I197" s="18">
        <v>7073.28</v>
      </c>
      <c r="J197" s="18">
        <v>847.98</v>
      </c>
      <c r="K197" s="18">
        <v>12613.76</v>
      </c>
      <c r="L197" s="19">
        <f t="shared" si="0"/>
        <v>622297.38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169648.89</v>
      </c>
      <c r="G199" s="18">
        <v>198697.5</v>
      </c>
      <c r="H199" s="18">
        <v>95156.3</v>
      </c>
      <c r="I199" s="18">
        <v>135859.48000000001</v>
      </c>
      <c r="J199" s="18">
        <v>874.67</v>
      </c>
      <c r="K199" s="18"/>
      <c r="L199" s="19">
        <f t="shared" si="0"/>
        <v>600236.84000000008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349889.44</v>
      </c>
      <c r="I200" s="18"/>
      <c r="J200" s="18"/>
      <c r="K200" s="18"/>
      <c r="L200" s="19">
        <f t="shared" si="0"/>
        <v>349889.44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5627680.3700000001</v>
      </c>
      <c r="G203" s="41">
        <f t="shared" si="1"/>
        <v>1880718.2699999998</v>
      </c>
      <c r="H203" s="41">
        <f t="shared" si="1"/>
        <v>933905.13000000012</v>
      </c>
      <c r="I203" s="41">
        <f t="shared" si="1"/>
        <v>263802.51</v>
      </c>
      <c r="J203" s="41">
        <f t="shared" si="1"/>
        <v>41989.47</v>
      </c>
      <c r="K203" s="41">
        <f t="shared" si="1"/>
        <v>16260.69</v>
      </c>
      <c r="L203" s="41">
        <f t="shared" si="1"/>
        <v>8764356.4400000013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43029.91</v>
      </c>
      <c r="K247" s="18"/>
      <c r="L247" s="19">
        <f t="shared" si="6"/>
        <v>43029.91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43029.91</v>
      </c>
      <c r="K248" s="41">
        <f t="shared" si="7"/>
        <v>0</v>
      </c>
      <c r="L248" s="41">
        <f>SUM(F248:K248)</f>
        <v>43029.91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5627680.3700000001</v>
      </c>
      <c r="G249" s="41">
        <f t="shared" si="8"/>
        <v>1880718.2699999998</v>
      </c>
      <c r="H249" s="41">
        <f t="shared" si="8"/>
        <v>933905.13000000012</v>
      </c>
      <c r="I249" s="41">
        <f t="shared" si="8"/>
        <v>263802.51</v>
      </c>
      <c r="J249" s="41">
        <f t="shared" si="8"/>
        <v>85019.38</v>
      </c>
      <c r="K249" s="41">
        <f t="shared" si="8"/>
        <v>16260.69</v>
      </c>
      <c r="L249" s="41">
        <f t="shared" si="8"/>
        <v>8807386.3500000015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50000</v>
      </c>
      <c r="L262" s="41">
        <f t="shared" si="9"/>
        <v>50000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5627680.3700000001</v>
      </c>
      <c r="G263" s="42">
        <f t="shared" si="11"/>
        <v>1880718.2699999998</v>
      </c>
      <c r="H263" s="42">
        <f t="shared" si="11"/>
        <v>933905.13000000012</v>
      </c>
      <c r="I263" s="42">
        <f t="shared" si="11"/>
        <v>263802.51</v>
      </c>
      <c r="J263" s="42">
        <f t="shared" si="11"/>
        <v>85019.38</v>
      </c>
      <c r="K263" s="42">
        <f t="shared" si="11"/>
        <v>66260.69</v>
      </c>
      <c r="L263" s="42">
        <f t="shared" si="11"/>
        <v>8857386.3500000015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v>199.78</v>
      </c>
      <c r="I268" s="18"/>
      <c r="J268" s="18"/>
      <c r="K268" s="18"/>
      <c r="L268" s="19">
        <f>SUM(F268:K268)</f>
        <v>199.78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199.78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199.78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199.78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199.78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199.78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199.78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98554.99</v>
      </c>
      <c r="G350" s="18">
        <v>35611.35</v>
      </c>
      <c r="H350" s="18">
        <v>4923.7299999999996</v>
      </c>
      <c r="I350" s="18">
        <v>87755.51</v>
      </c>
      <c r="J350" s="18">
        <v>17500</v>
      </c>
      <c r="K350" s="18"/>
      <c r="L350" s="13">
        <f>SUM(F350:K350)</f>
        <v>244345.58000000002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 t="s">
        <v>310</v>
      </c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98554.99</v>
      </c>
      <c r="G354" s="47">
        <f t="shared" si="22"/>
        <v>35611.35</v>
      </c>
      <c r="H354" s="47">
        <f t="shared" si="22"/>
        <v>4923.7299999999996</v>
      </c>
      <c r="I354" s="47">
        <f t="shared" si="22"/>
        <v>87755.51</v>
      </c>
      <c r="J354" s="47">
        <f t="shared" si="22"/>
        <v>17500</v>
      </c>
      <c r="K354" s="47">
        <f t="shared" si="22"/>
        <v>0</v>
      </c>
      <c r="L354" s="47">
        <f t="shared" si="22"/>
        <v>244345.58000000002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80263.679999999993</v>
      </c>
      <c r="G359" s="18"/>
      <c r="H359" s="18"/>
      <c r="I359" s="56">
        <f>SUM(F359:H359)</f>
        <v>80263.679999999993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7491.83</v>
      </c>
      <c r="G360" s="63"/>
      <c r="H360" s="63"/>
      <c r="I360" s="56">
        <f>SUM(F360:H360)</f>
        <v>7491.83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87755.51</v>
      </c>
      <c r="G361" s="47">
        <f>SUM(G359:G360)</f>
        <v>0</v>
      </c>
      <c r="H361" s="47">
        <f>SUM(H359:H360)</f>
        <v>0</v>
      </c>
      <c r="I361" s="47">
        <f>SUM(I359:I360)</f>
        <v>87755.51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38.07</v>
      </c>
      <c r="I388" s="18" t="s">
        <v>310</v>
      </c>
      <c r="J388" s="24" t="s">
        <v>312</v>
      </c>
      <c r="K388" s="24" t="s">
        <v>312</v>
      </c>
      <c r="L388" s="56">
        <f t="shared" si="26"/>
        <v>25038.07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38.07</v>
      </c>
      <c r="I389" s="18" t="s">
        <v>310</v>
      </c>
      <c r="J389" s="24" t="s">
        <v>312</v>
      </c>
      <c r="K389" s="24" t="s">
        <v>312</v>
      </c>
      <c r="L389" s="56">
        <f t="shared" si="26"/>
        <v>25038.07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76.14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50076.14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76.14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50076.14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50076.14</v>
      </c>
      <c r="G431" s="18"/>
      <c r="H431" s="18"/>
      <c r="I431" s="56">
        <f t="shared" ref="I431:I437" si="33">SUM(F431:H431)</f>
        <v>50076.14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50076.14</v>
      </c>
      <c r="G438" s="13">
        <f>SUM(G431:G437)</f>
        <v>0</v>
      </c>
      <c r="H438" s="13">
        <f>SUM(H431:H437)</f>
        <v>0</v>
      </c>
      <c r="I438" s="13">
        <f>SUM(I431:I437)</f>
        <v>50076.14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50076.14</v>
      </c>
      <c r="G449" s="18"/>
      <c r="H449" s="18"/>
      <c r="I449" s="56">
        <f>SUM(F449:H449)</f>
        <v>50076.14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50076.14</v>
      </c>
      <c r="G450" s="83">
        <f>SUM(G446:G449)</f>
        <v>0</v>
      </c>
      <c r="H450" s="83">
        <f>SUM(H446:H449)</f>
        <v>0</v>
      </c>
      <c r="I450" s="83">
        <f>SUM(I446:I449)</f>
        <v>50076.14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50076.14</v>
      </c>
      <c r="G451" s="42">
        <f>G444+G450</f>
        <v>0</v>
      </c>
      <c r="H451" s="42">
        <f>H444+H450</f>
        <v>0</v>
      </c>
      <c r="I451" s="42">
        <f>I444+I450</f>
        <v>50076.14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544730.17000000004</v>
      </c>
      <c r="G455" s="18">
        <v>74235.210000000006</v>
      </c>
      <c r="H455" s="18">
        <v>11471.41</v>
      </c>
      <c r="I455" s="18"/>
      <c r="J455" s="18">
        <v>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8637142.9499999993</v>
      </c>
      <c r="G458" s="18">
        <v>218094.99</v>
      </c>
      <c r="H458" s="18">
        <v>5000</v>
      </c>
      <c r="I458" s="18"/>
      <c r="J458" s="18">
        <v>50076.14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8637142.9499999993</v>
      </c>
      <c r="G460" s="53">
        <f>SUM(G458:G459)</f>
        <v>218094.99</v>
      </c>
      <c r="H460" s="53">
        <f>SUM(H458:H459)</f>
        <v>5000</v>
      </c>
      <c r="I460" s="53">
        <f>SUM(I458:I459)</f>
        <v>0</v>
      </c>
      <c r="J460" s="53">
        <f>SUM(J458:J459)</f>
        <v>50076.14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8857386.3499999996</v>
      </c>
      <c r="G462" s="18">
        <v>244345.58</v>
      </c>
      <c r="H462" s="18">
        <v>199.78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8857386.3499999996</v>
      </c>
      <c r="G464" s="53">
        <f>SUM(G462:G463)</f>
        <v>244345.58</v>
      </c>
      <c r="H464" s="53">
        <f>SUM(H462:H463)</f>
        <v>199.78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324486.76999999955</v>
      </c>
      <c r="G466" s="53">
        <f>(G455+G460)- G464</f>
        <v>47984.620000000024</v>
      </c>
      <c r="H466" s="53">
        <f>(H455+H460)- H464</f>
        <v>16271.63</v>
      </c>
      <c r="I466" s="53">
        <f>(I455+I460)- I464</f>
        <v>0</v>
      </c>
      <c r="J466" s="53">
        <f>(J455+J460)- J464</f>
        <v>50076.14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977618.39</v>
      </c>
      <c r="G511" s="18">
        <v>279561.61</v>
      </c>
      <c r="H511" s="18">
        <v>51711.519999999997</v>
      </c>
      <c r="I511" s="18">
        <v>16166.12</v>
      </c>
      <c r="J511" s="18">
        <v>12451.91</v>
      </c>
      <c r="K511" s="18"/>
      <c r="L511" s="88">
        <f>SUM(F511:K511)</f>
        <v>1337509.55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977618.39</v>
      </c>
      <c r="G514" s="108">
        <f t="shared" ref="G514:L514" si="35">SUM(G511:G513)</f>
        <v>279561.61</v>
      </c>
      <c r="H514" s="108">
        <f t="shared" si="35"/>
        <v>51711.519999999997</v>
      </c>
      <c r="I514" s="108">
        <f t="shared" si="35"/>
        <v>16166.12</v>
      </c>
      <c r="J514" s="108">
        <f t="shared" si="35"/>
        <v>12451.91</v>
      </c>
      <c r="K514" s="108">
        <f t="shared" si="35"/>
        <v>0</v>
      </c>
      <c r="L514" s="89">
        <f t="shared" si="35"/>
        <v>1337509.55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573066.55000000005</v>
      </c>
      <c r="G516" s="18">
        <v>107823.67</v>
      </c>
      <c r="H516" s="18">
        <v>17250.8</v>
      </c>
      <c r="I516" s="18">
        <v>2418.06</v>
      </c>
      <c r="J516" s="18"/>
      <c r="K516" s="18"/>
      <c r="L516" s="88">
        <f>SUM(F516:K516)</f>
        <v>700559.08000000019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573066.55000000005</v>
      </c>
      <c r="G519" s="89">
        <f t="shared" ref="G519:L519" si="36">SUM(G516:G518)</f>
        <v>107823.67</v>
      </c>
      <c r="H519" s="89">
        <f t="shared" si="36"/>
        <v>17250.8</v>
      </c>
      <c r="I519" s="89">
        <f t="shared" si="36"/>
        <v>2418.06</v>
      </c>
      <c r="J519" s="89">
        <f t="shared" si="36"/>
        <v>0</v>
      </c>
      <c r="K519" s="89">
        <f t="shared" si="36"/>
        <v>0</v>
      </c>
      <c r="L519" s="89">
        <f t="shared" si="36"/>
        <v>700559.08000000019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103353.81</v>
      </c>
      <c r="G521" s="18">
        <v>28976.5</v>
      </c>
      <c r="H521" s="18">
        <v>6728.15</v>
      </c>
      <c r="I521" s="18">
        <v>1768.22</v>
      </c>
      <c r="J521" s="18">
        <v>212</v>
      </c>
      <c r="K521" s="18">
        <v>2775.03</v>
      </c>
      <c r="L521" s="88">
        <f>SUM(F521:K521)</f>
        <v>143813.71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103353.81</v>
      </c>
      <c r="G524" s="89">
        <f t="shared" ref="G524:L524" si="37">SUM(G521:G523)</f>
        <v>28976.5</v>
      </c>
      <c r="H524" s="89">
        <f t="shared" si="37"/>
        <v>6728.15</v>
      </c>
      <c r="I524" s="89">
        <f t="shared" si="37"/>
        <v>1768.22</v>
      </c>
      <c r="J524" s="89">
        <f t="shared" si="37"/>
        <v>212</v>
      </c>
      <c r="K524" s="89">
        <f t="shared" si="37"/>
        <v>2775.03</v>
      </c>
      <c r="L524" s="89">
        <f t="shared" si="37"/>
        <v>143813.71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 t="s">
        <v>379</v>
      </c>
      <c r="H526" s="18">
        <v>2497.98</v>
      </c>
      <c r="I526" s="18"/>
      <c r="J526" s="18"/>
      <c r="K526" s="18"/>
      <c r="L526" s="88">
        <f>SUM(F526:K526)</f>
        <v>2497.98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2497.98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2497.98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60752</v>
      </c>
      <c r="I531" s="18"/>
      <c r="J531" s="18"/>
      <c r="K531" s="18"/>
      <c r="L531" s="88">
        <f>SUM(F531:K531)</f>
        <v>60752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60752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60752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1654038.75</v>
      </c>
      <c r="G535" s="89">
        <f t="shared" ref="G535:L535" si="40">G514+G519+G524+G529+G534</f>
        <v>416361.77999999997</v>
      </c>
      <c r="H535" s="89">
        <f t="shared" si="40"/>
        <v>138940.44999999998</v>
      </c>
      <c r="I535" s="89">
        <f t="shared" si="40"/>
        <v>20352.400000000001</v>
      </c>
      <c r="J535" s="89">
        <f t="shared" si="40"/>
        <v>12663.91</v>
      </c>
      <c r="K535" s="89">
        <f t="shared" si="40"/>
        <v>2775.03</v>
      </c>
      <c r="L535" s="89">
        <f t="shared" si="40"/>
        <v>2245132.3200000003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1337509.55</v>
      </c>
      <c r="G539" s="87">
        <f>L516</f>
        <v>700559.08000000019</v>
      </c>
      <c r="H539" s="87">
        <f>L521</f>
        <v>143813.71</v>
      </c>
      <c r="I539" s="87">
        <f>L526</f>
        <v>2497.98</v>
      </c>
      <c r="J539" s="87">
        <f>L531</f>
        <v>60752</v>
      </c>
      <c r="K539" s="87">
        <f>SUM(F539:J539)</f>
        <v>2245132.3200000003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1337509.55</v>
      </c>
      <c r="G542" s="89">
        <f t="shared" si="41"/>
        <v>700559.08000000019</v>
      </c>
      <c r="H542" s="89">
        <f t="shared" si="41"/>
        <v>143813.71</v>
      </c>
      <c r="I542" s="89">
        <f t="shared" si="41"/>
        <v>2497.98</v>
      </c>
      <c r="J542" s="89">
        <f t="shared" si="41"/>
        <v>60752</v>
      </c>
      <c r="K542" s="89">
        <f t="shared" si="41"/>
        <v>2245132.3200000003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 t="s">
        <v>310</v>
      </c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24666.14</v>
      </c>
      <c r="G570" s="18"/>
      <c r="H570" s="18"/>
      <c r="I570" s="87">
        <f t="shared" si="46"/>
        <v>24666.14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1260</v>
      </c>
      <c r="G572" s="18"/>
      <c r="H572" s="18"/>
      <c r="I572" s="87">
        <f t="shared" si="46"/>
        <v>1260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280621.71999999997</v>
      </c>
      <c r="I581" s="18"/>
      <c r="J581" s="18"/>
      <c r="K581" s="104">
        <f t="shared" ref="K581:K587" si="47">SUM(H581:J581)</f>
        <v>280621.71999999997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60752</v>
      </c>
      <c r="I582" s="18"/>
      <c r="J582" s="18"/>
      <c r="K582" s="104">
        <f t="shared" si="47"/>
        <v>60752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8515.7199999999993</v>
      </c>
      <c r="I585" s="18"/>
      <c r="J585" s="18"/>
      <c r="K585" s="104">
        <f t="shared" si="47"/>
        <v>8515.7199999999993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349889.43999999994</v>
      </c>
      <c r="I588" s="108">
        <f>SUM(I581:I587)</f>
        <v>0</v>
      </c>
      <c r="J588" s="108">
        <f>SUM(J581:J587)</f>
        <v>0</v>
      </c>
      <c r="K588" s="108">
        <f>SUM(K581:K587)</f>
        <v>349889.43999999994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41989.47</v>
      </c>
      <c r="I594" s="18"/>
      <c r="J594" s="18"/>
      <c r="K594" s="104">
        <f>SUM(H594:J594)</f>
        <v>41989.47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41989.47</v>
      </c>
      <c r="I595" s="108">
        <f>SUM(I592:I594)</f>
        <v>0</v>
      </c>
      <c r="J595" s="108">
        <f>SUM(J592:J594)</f>
        <v>0</v>
      </c>
      <c r="K595" s="108">
        <f>SUM(K592:K594)</f>
        <v>41989.47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>
        <v>1260</v>
      </c>
      <c r="I601" s="18"/>
      <c r="J601" s="18"/>
      <c r="K601" s="18"/>
      <c r="L601" s="88">
        <f>SUM(F601:K601)</f>
        <v>1260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1260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1260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1219626.6400000001</v>
      </c>
      <c r="H607" s="109">
        <f>SUM(F44)</f>
        <v>1219626.6399999999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23071.079999999998</v>
      </c>
      <c r="H608" s="109">
        <f>SUM(G44)</f>
        <v>23071.08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50076.14</v>
      </c>
      <c r="H611" s="109">
        <f>SUM(J44)</f>
        <v>50076.14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324486.77</v>
      </c>
      <c r="H612" s="109">
        <f>F466</f>
        <v>324486.76999999955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47984.62</v>
      </c>
      <c r="H613" s="109">
        <f>G466</f>
        <v>47984.620000000024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16271.63</v>
      </c>
      <c r="H614" s="109">
        <f>H466</f>
        <v>16271.63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50076.14</v>
      </c>
      <c r="H616" s="109">
        <f>J466</f>
        <v>50076.14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8637142.9500000011</v>
      </c>
      <c r="H617" s="104">
        <f>SUM(F458)</f>
        <v>8637142.9499999993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218094.99000000002</v>
      </c>
      <c r="H618" s="104">
        <f>SUM(G458)</f>
        <v>218094.99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5000</v>
      </c>
      <c r="H619" s="104">
        <f>SUM(H458)</f>
        <v>5000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50076.14</v>
      </c>
      <c r="H621" s="104">
        <f>SUM(J458)</f>
        <v>50076.14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8857386.3500000015</v>
      </c>
      <c r="H622" s="104">
        <f>SUM(F462)</f>
        <v>8857386.3499999996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199.78</v>
      </c>
      <c r="H623" s="104">
        <f>SUM(H462)</f>
        <v>199.78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87755.51</v>
      </c>
      <c r="H624" s="104">
        <f>I361</f>
        <v>87755.51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244345.58000000002</v>
      </c>
      <c r="H625" s="104">
        <f>SUM(G462)</f>
        <v>244345.58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50076.14</v>
      </c>
      <c r="H627" s="164">
        <f>SUM(J458)</f>
        <v>50076.14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50076.14</v>
      </c>
      <c r="H629" s="104">
        <f>SUM(F451)</f>
        <v>50076.14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50076.14</v>
      </c>
      <c r="H632" s="104">
        <f>SUM(I451)</f>
        <v>50076.14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76.14</v>
      </c>
      <c r="H634" s="104">
        <f>H400</f>
        <v>76.14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50076.14</v>
      </c>
      <c r="H636" s="104">
        <f>L400</f>
        <v>50076.14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349889.43999999994</v>
      </c>
      <c r="H637" s="104">
        <f>L200+L218+L236</f>
        <v>349889.44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41989.47</v>
      </c>
      <c r="H638" s="104">
        <f>(J249+J330)-(J247+J328)</f>
        <v>41989.47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349889.44</v>
      </c>
      <c r="H639" s="104">
        <f>H588</f>
        <v>349889.43999999994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9008901.8000000007</v>
      </c>
      <c r="G650" s="19">
        <f>(L221+L301+L351)</f>
        <v>0</v>
      </c>
      <c r="H650" s="19">
        <f>(L239+L320+L352)</f>
        <v>0</v>
      </c>
      <c r="I650" s="19">
        <f>SUM(F650:H650)</f>
        <v>9008901.8000000007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180119.6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180119.6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349889.44</v>
      </c>
      <c r="G652" s="19">
        <f>(L218+L298)-(J218+J298)</f>
        <v>0</v>
      </c>
      <c r="H652" s="19">
        <f>(L236+L317)-(J236+J317)</f>
        <v>0</v>
      </c>
      <c r="I652" s="19">
        <f>SUM(F652:H652)</f>
        <v>349889.44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69175.61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69175.61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8409717.1500000004</v>
      </c>
      <c r="G654" s="19">
        <f>G650-SUM(G651:G653)</f>
        <v>0</v>
      </c>
      <c r="H654" s="19">
        <f>H650-SUM(H651:H653)</f>
        <v>0</v>
      </c>
      <c r="I654" s="19">
        <f>I650-SUM(I651:I653)</f>
        <v>8409717.1500000004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622.52</v>
      </c>
      <c r="G655" s="249"/>
      <c r="H655" s="249"/>
      <c r="I655" s="19">
        <f>SUM(F655:H655)</f>
        <v>622.52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13509.15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13509.15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13509.15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13509.15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878A-E911-40A6-845D-78D007698878}">
  <sheetPr>
    <tabColor indexed="20"/>
  </sheetPr>
  <dimension ref="A1:C52"/>
  <sheetViews>
    <sheetView topLeftCell="A10"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Stratham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2833378.56</v>
      </c>
      <c r="C9" s="230">
        <f>'DOE25'!G189+'DOE25'!G207+'DOE25'!G225+'DOE25'!G268+'DOE25'!G287+'DOE25'!G306</f>
        <v>680347.68</v>
      </c>
    </row>
    <row r="10" spans="1:3" x14ac:dyDescent="0.2">
      <c r="A10" t="s">
        <v>813</v>
      </c>
      <c r="B10" s="241">
        <v>2698986.21</v>
      </c>
      <c r="C10" s="241">
        <v>658958.65</v>
      </c>
    </row>
    <row r="11" spans="1:3" x14ac:dyDescent="0.2">
      <c r="A11" t="s">
        <v>814</v>
      </c>
      <c r="B11" s="241">
        <v>134392.35</v>
      </c>
      <c r="C11" s="241">
        <v>21389.03</v>
      </c>
    </row>
    <row r="12" spans="1:3" x14ac:dyDescent="0.2">
      <c r="A12" t="s">
        <v>815</v>
      </c>
      <c r="B12" s="241" t="s">
        <v>310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2833378.56</v>
      </c>
      <c r="C13" s="232">
        <f>SUM(C10:C12)</f>
        <v>680347.68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977618.39</v>
      </c>
      <c r="C18" s="230">
        <f>'DOE25'!G190+'DOE25'!G208+'DOE25'!G226+'DOE25'!G269+'DOE25'!G288+'DOE25'!G307</f>
        <v>279561.61</v>
      </c>
    </row>
    <row r="19" spans="1:3" x14ac:dyDescent="0.2">
      <c r="A19" t="s">
        <v>813</v>
      </c>
      <c r="B19" s="241">
        <v>541699.31000000006</v>
      </c>
      <c r="C19" s="241">
        <v>166222.72</v>
      </c>
    </row>
    <row r="20" spans="1:3" x14ac:dyDescent="0.2">
      <c r="A20" t="s">
        <v>814</v>
      </c>
      <c r="B20" s="241">
        <v>389537.33</v>
      </c>
      <c r="C20" s="241">
        <v>101279.62</v>
      </c>
    </row>
    <row r="21" spans="1:3" x14ac:dyDescent="0.2">
      <c r="A21" t="s">
        <v>815</v>
      </c>
      <c r="B21" s="241">
        <v>46381.75</v>
      </c>
      <c r="C21" s="241">
        <v>12059.27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977618.39000000013</v>
      </c>
      <c r="C22" s="232">
        <f>SUM(C19:C21)</f>
        <v>279561.61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500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>
        <v>500</v>
      </c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CBAF-CB35-49A6-AD7A-6083267424DF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Stratham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4983864.2700000005</v>
      </c>
      <c r="D5" s="20">
        <f>SUM('DOE25'!L189:L192)+SUM('DOE25'!L207:L210)+SUM('DOE25'!L225:L228)-F5-G5</f>
        <v>4959618.4200000009</v>
      </c>
      <c r="E5" s="244"/>
      <c r="F5" s="256">
        <f>SUM('DOE25'!J189:J192)+SUM('DOE25'!J207:J210)+SUM('DOE25'!J225:J228)</f>
        <v>24245.85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967233.2300000001</v>
      </c>
      <c r="D6" s="20">
        <f>'DOE25'!L194+'DOE25'!L212+'DOE25'!L230-F6-G6</f>
        <v>967233.2300000001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989511.38</v>
      </c>
      <c r="D7" s="20">
        <f>'DOE25'!L195+'DOE25'!L213+'DOE25'!L231-F7-G7</f>
        <v>973490.41</v>
      </c>
      <c r="E7" s="244"/>
      <c r="F7" s="256">
        <f>'DOE25'!J195+'DOE25'!J213+'DOE25'!J231</f>
        <v>16020.97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210362.81</v>
      </c>
      <c r="D8" s="244"/>
      <c r="E8" s="20">
        <f>'DOE25'!L196+'DOE25'!L214+'DOE25'!L232-F8-G8-D9-D11</f>
        <v>206715.88</v>
      </c>
      <c r="F8" s="256">
        <f>'DOE25'!J196+'DOE25'!J214+'DOE25'!J232</f>
        <v>0</v>
      </c>
      <c r="G8" s="53">
        <f>'DOE25'!K196+'DOE25'!K214+'DOE25'!K232</f>
        <v>3646.93</v>
      </c>
      <c r="H8" s="260"/>
    </row>
    <row r="9" spans="1:9" x14ac:dyDescent="0.2">
      <c r="A9" s="32">
        <v>2310</v>
      </c>
      <c r="B9" t="s">
        <v>852</v>
      </c>
      <c r="C9" s="246">
        <f t="shared" si="0"/>
        <v>10434.92</v>
      </c>
      <c r="D9" s="245">
        <v>10434.92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12054</v>
      </c>
      <c r="D10" s="244"/>
      <c r="E10" s="245">
        <v>12054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30526.17</v>
      </c>
      <c r="D11" s="245">
        <v>30526.17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622297.38</v>
      </c>
      <c r="D12" s="20">
        <f>'DOE25'!L197+'DOE25'!L215+'DOE25'!L233-F12-G12</f>
        <v>608835.64</v>
      </c>
      <c r="E12" s="244"/>
      <c r="F12" s="256">
        <f>'DOE25'!J197+'DOE25'!J215+'DOE25'!J233</f>
        <v>847.98</v>
      </c>
      <c r="G12" s="53">
        <f>'DOE25'!K197+'DOE25'!K215+'DOE25'!K233</f>
        <v>12613.76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600236.84000000008</v>
      </c>
      <c r="D14" s="20">
        <f>'DOE25'!L199+'DOE25'!L217+'DOE25'!L235-F14-G14</f>
        <v>599362.17000000004</v>
      </c>
      <c r="E14" s="244"/>
      <c r="F14" s="256">
        <f>'DOE25'!J199+'DOE25'!J217+'DOE25'!J235</f>
        <v>874.67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349889.44</v>
      </c>
      <c r="D15" s="20">
        <f>'DOE25'!L200+'DOE25'!L218+'DOE25'!L236-F15-G15</f>
        <v>349889.44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43029.91</v>
      </c>
      <c r="D22" s="244"/>
      <c r="E22" s="244"/>
      <c r="F22" s="256">
        <f>'DOE25'!L247+'DOE25'!L328</f>
        <v>43029.91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164081.90000000002</v>
      </c>
      <c r="D29" s="20">
        <f>'DOE25'!L350+'DOE25'!L351+'DOE25'!L352-'DOE25'!I359-F29-G29</f>
        <v>146581.90000000002</v>
      </c>
      <c r="E29" s="244"/>
      <c r="F29" s="256">
        <f>'DOE25'!J350+'DOE25'!J351+'DOE25'!J352</f>
        <v>17500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199.78</v>
      </c>
      <c r="D31" s="20">
        <f>'DOE25'!L282+'DOE25'!L301+'DOE25'!L320+'DOE25'!L325+'DOE25'!L326+'DOE25'!L327-F31-G31</f>
        <v>199.78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8646172.0800000001</v>
      </c>
      <c r="E33" s="247">
        <f>SUM(E5:E31)</f>
        <v>218769.88</v>
      </c>
      <c r="F33" s="247">
        <f>SUM(F5:F31)</f>
        <v>102519.38</v>
      </c>
      <c r="G33" s="247">
        <f>SUM(G5:G31)</f>
        <v>16260.69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218769.88</v>
      </c>
      <c r="E35" s="250"/>
    </row>
    <row r="36" spans="2:8" ht="12" thickTop="1" x14ac:dyDescent="0.2">
      <c r="B36" t="s">
        <v>849</v>
      </c>
      <c r="D36" s="20">
        <f>D33</f>
        <v>8646172.0800000001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96B3-DD94-4424-B1E2-82E288514AF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1167351.05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50076.14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52275.59</v>
      </c>
      <c r="D14" s="95">
        <f>'DOE25'!G14</f>
        <v>15805.05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7266.03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1219626.6400000001</v>
      </c>
      <c r="D19" s="41">
        <f>SUM(D9:D18)</f>
        <v>23071.079999999998</v>
      </c>
      <c r="E19" s="41">
        <f>SUM(E9:E18)</f>
        <v>0</v>
      </c>
      <c r="F19" s="41">
        <f>SUM(F9:F18)</f>
        <v>0</v>
      </c>
      <c r="G19" s="41">
        <f>SUM(G9:G18)</f>
        <v>50076.14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45514.85</v>
      </c>
      <c r="D22" s="95">
        <f>'DOE25'!G23</f>
        <v>-29243.22</v>
      </c>
      <c r="E22" s="95">
        <f>'DOE25'!H23</f>
        <v>-16271.63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396093.48</v>
      </c>
      <c r="D24" s="95">
        <f>'DOE25'!G25</f>
        <v>4329.68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428562.47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-2.75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24971.82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895139.86999999988</v>
      </c>
      <c r="D32" s="41">
        <f>SUM(D22:D31)</f>
        <v>-24913.54</v>
      </c>
      <c r="E32" s="41">
        <f>SUM(E22:E31)</f>
        <v>-16271.63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47984.62</v>
      </c>
      <c r="E40" s="95">
        <f>'DOE25'!H41</f>
        <v>16271.63</v>
      </c>
      <c r="F40" s="95">
        <f>'DOE25'!I41</f>
        <v>0</v>
      </c>
      <c r="G40" s="95">
        <f>'DOE25'!J41</f>
        <v>50076.14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324486.77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324486.77</v>
      </c>
      <c r="D42" s="41">
        <f>SUM(D34:D41)</f>
        <v>47984.62</v>
      </c>
      <c r="E42" s="41">
        <f>SUM(E34:E41)</f>
        <v>16271.63</v>
      </c>
      <c r="F42" s="41">
        <f>SUM(F34:F41)</f>
        <v>0</v>
      </c>
      <c r="G42" s="41">
        <f>SUM(G34:G41)</f>
        <v>50076.14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1219626.6399999999</v>
      </c>
      <c r="D43" s="41">
        <f>D42+D32</f>
        <v>23071.08</v>
      </c>
      <c r="E43" s="41">
        <f>E42+E32</f>
        <v>0</v>
      </c>
      <c r="F43" s="41">
        <f>F42+F32</f>
        <v>0</v>
      </c>
      <c r="G43" s="41">
        <f>G42+G32</f>
        <v>50076.14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6675897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15800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4791.2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76.14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180119.6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184.2</v>
      </c>
      <c r="D53" s="95">
        <f>SUM('DOE25'!G90:G102)</f>
        <v>0</v>
      </c>
      <c r="E53" s="95">
        <f>SUM('DOE25'!H90:H102)</f>
        <v>5000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20775.400000000001</v>
      </c>
      <c r="D54" s="130">
        <f>SUM(D49:D53)</f>
        <v>180119.6</v>
      </c>
      <c r="E54" s="130">
        <f>SUM(E49:E53)</f>
        <v>5000</v>
      </c>
      <c r="F54" s="130">
        <f>SUM(F49:F53)</f>
        <v>0</v>
      </c>
      <c r="G54" s="130">
        <f>SUM(G49:G53)</f>
        <v>76.14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6696672.4000000004</v>
      </c>
      <c r="D55" s="22">
        <f>D48+D54</f>
        <v>180119.6</v>
      </c>
      <c r="E55" s="22">
        <f>E48+E54</f>
        <v>5000</v>
      </c>
      <c r="F55" s="22">
        <f>F48+F54</f>
        <v>0</v>
      </c>
      <c r="G55" s="22">
        <f>G48+G54</f>
        <v>76.14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485963.62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1181866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186448.38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1854278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59371.73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2619.8200000000002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59371.73</v>
      </c>
      <c r="D70" s="130">
        <f>SUM(D64:D69)</f>
        <v>2619.8200000000002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1913649.73</v>
      </c>
      <c r="D73" s="130">
        <f>SUM(D71:D72)+D70+D62</f>
        <v>2619.8200000000002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26820.82</v>
      </c>
      <c r="D80" s="95">
        <f>SUM('DOE25'!G145:G153)</f>
        <v>35355.57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26820.82</v>
      </c>
      <c r="D83" s="131">
        <f>SUM(D77:D82)</f>
        <v>35355.57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8637142.9500000011</v>
      </c>
      <c r="D96" s="86">
        <f>D55+D73+D83+D95</f>
        <v>218094.99000000002</v>
      </c>
      <c r="E96" s="86">
        <f>E55+E73+E83+E95</f>
        <v>5000</v>
      </c>
      <c r="F96" s="86">
        <f>F55+F73+F83+F95</f>
        <v>0</v>
      </c>
      <c r="G96" s="86">
        <f>G55+G73+G95</f>
        <v>50076.14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3644896.8200000003</v>
      </c>
      <c r="D101" s="24" t="s">
        <v>312</v>
      </c>
      <c r="E101" s="95">
        <f>('DOE25'!L268)+('DOE25'!L287)+('DOE25'!L306)</f>
        <v>199.78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1337509.55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1457.9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4983864.2700000005</v>
      </c>
      <c r="D107" s="86">
        <f>SUM(D101:D106)</f>
        <v>0</v>
      </c>
      <c r="E107" s="86">
        <f>SUM(E101:E106)</f>
        <v>199.78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967233.2300000001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989511.38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251323.9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622297.38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600236.84000000008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349889.44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244345.58000000002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3780492.1700000004</v>
      </c>
      <c r="D120" s="86">
        <f>SUM(D110:D119)</f>
        <v>244345.58000000002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43029.91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50076.14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-76.139999999999418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93029.91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8857386.3500000015</v>
      </c>
      <c r="D137" s="86">
        <f>(D107+D120+D136)</f>
        <v>244345.58000000002</v>
      </c>
      <c r="E137" s="86">
        <f>(E107+E120+E136)</f>
        <v>199.78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BCE5-DA23-47AD-813A-E3C63EC9EDB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Stratham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13509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13509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3645097</v>
      </c>
      <c r="D10" s="182">
        <f>ROUND((C10/$C$28)*100,1)</f>
        <v>41.3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1337510</v>
      </c>
      <c r="D11" s="182">
        <f>ROUND((C11/$C$28)*100,1)</f>
        <v>15.1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1458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967233</v>
      </c>
      <c r="D15" s="182">
        <f t="shared" ref="D15:D27" si="0">ROUND((C15/$C$28)*100,1)</f>
        <v>11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989511</v>
      </c>
      <c r="D16" s="182">
        <f t="shared" si="0"/>
        <v>11.2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251324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622297</v>
      </c>
      <c r="D18" s="182">
        <f t="shared" si="0"/>
        <v>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600237</v>
      </c>
      <c r="D20" s="182">
        <f t="shared" si="0"/>
        <v>6.8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349889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64226.399999999994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8828782.4000000004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43030</v>
      </c>
    </row>
    <row r="30" spans="1:4" x14ac:dyDescent="0.2">
      <c r="B30" s="187" t="s">
        <v>760</v>
      </c>
      <c r="C30" s="180">
        <f>SUM(C28:C29)</f>
        <v>8871812.4000000004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6675897</v>
      </c>
      <c r="D35" s="182">
        <f t="shared" ref="D35:D40" si="1">ROUND((C35/$C$41)*100,1)</f>
        <v>76.900000000000006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25851.540000000037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1667830</v>
      </c>
      <c r="D37" s="182">
        <f t="shared" si="1"/>
        <v>19.2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248440</v>
      </c>
      <c r="D38" s="182">
        <f t="shared" si="1"/>
        <v>2.9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62176</v>
      </c>
      <c r="D39" s="182">
        <f t="shared" si="1"/>
        <v>0.7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8680194.5399999991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444F-149A-45BB-8080-17E01BDF76D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Stratham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2010-09-22T17:36:17Z</cp:lastPrinted>
  <dcterms:created xsi:type="dcterms:W3CDTF">1997-12-04T19:04:30Z</dcterms:created>
  <dcterms:modified xsi:type="dcterms:W3CDTF">2025-01-09T20:23:06Z</dcterms:modified>
</cp:coreProperties>
</file>