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8367093-4E18-45FE-9EEB-B9EEE7D88AF3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C51E67BA-B814-48BC-8A97-DC25CB9F687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7" i="12"/>
  <c r="C40" i="12" s="1"/>
  <c r="C39" i="12"/>
  <c r="B39" i="12"/>
  <c r="C18" i="12"/>
  <c r="B18" i="12"/>
  <c r="C19" i="12" s="1"/>
  <c r="B21" i="12"/>
  <c r="B22" i="12" s="1"/>
  <c r="B9" i="12"/>
  <c r="C10" i="12" s="1"/>
  <c r="C9" i="12"/>
  <c r="H350" i="1"/>
  <c r="L350" i="1" s="1"/>
  <c r="H360" i="1"/>
  <c r="H327" i="1"/>
  <c r="H228" i="1"/>
  <c r="H559" i="1"/>
  <c r="I558" i="1"/>
  <c r="H200" i="1"/>
  <c r="L200" i="1" s="1"/>
  <c r="H462" i="1"/>
  <c r="H464" i="1" s="1"/>
  <c r="H458" i="1"/>
  <c r="J327" i="1"/>
  <c r="I327" i="1"/>
  <c r="F327" i="1"/>
  <c r="L327" i="1" s="1"/>
  <c r="E106" i="2" s="1"/>
  <c r="H247" i="1"/>
  <c r="H102" i="1"/>
  <c r="H151" i="1"/>
  <c r="H147" i="1"/>
  <c r="H146" i="1"/>
  <c r="G9" i="1"/>
  <c r="F9" i="1"/>
  <c r="F19" i="1" s="1"/>
  <c r="G607" i="1" s="1"/>
  <c r="C60" i="2"/>
  <c r="B2" i="13"/>
  <c r="F8" i="13"/>
  <c r="G8" i="13"/>
  <c r="L196" i="1"/>
  <c r="L214" i="1"/>
  <c r="L232" i="1"/>
  <c r="D39" i="13"/>
  <c r="F13" i="13"/>
  <c r="G13" i="13"/>
  <c r="L198" i="1"/>
  <c r="L216" i="1"/>
  <c r="C114" i="2" s="1"/>
  <c r="L234" i="1"/>
  <c r="E13" i="13" s="1"/>
  <c r="F16" i="13"/>
  <c r="G16" i="13"/>
  <c r="L201" i="1"/>
  <c r="L219" i="1"/>
  <c r="L237" i="1"/>
  <c r="F5" i="13"/>
  <c r="G5" i="13"/>
  <c r="L189" i="1"/>
  <c r="L190" i="1"/>
  <c r="L191" i="1"/>
  <c r="L192" i="1"/>
  <c r="D5" i="13" s="1"/>
  <c r="L207" i="1"/>
  <c r="C101" i="2" s="1"/>
  <c r="L208" i="1"/>
  <c r="L209" i="1"/>
  <c r="L210" i="1"/>
  <c r="L225" i="1"/>
  <c r="L226" i="1"/>
  <c r="L227" i="1"/>
  <c r="L228" i="1"/>
  <c r="F6" i="13"/>
  <c r="G6" i="13"/>
  <c r="L194" i="1"/>
  <c r="L212" i="1"/>
  <c r="C110" i="2" s="1"/>
  <c r="L230" i="1"/>
  <c r="L239" i="1" s="1"/>
  <c r="H650" i="1" s="1"/>
  <c r="F7" i="13"/>
  <c r="G7" i="13"/>
  <c r="L195" i="1"/>
  <c r="L213" i="1"/>
  <c r="C16" i="10" s="1"/>
  <c r="L231" i="1"/>
  <c r="F12" i="13"/>
  <c r="G12" i="13"/>
  <c r="L197" i="1"/>
  <c r="L215" i="1"/>
  <c r="L233" i="1"/>
  <c r="F14" i="13"/>
  <c r="F33" i="13" s="1"/>
  <c r="G14" i="13"/>
  <c r="G33" i="13" s="1"/>
  <c r="L199" i="1"/>
  <c r="L217" i="1"/>
  <c r="L235" i="1"/>
  <c r="F15" i="13"/>
  <c r="G15" i="13"/>
  <c r="L218" i="1"/>
  <c r="L236" i="1"/>
  <c r="F17" i="13"/>
  <c r="G17" i="13"/>
  <c r="L243" i="1"/>
  <c r="C24" i="10" s="1"/>
  <c r="F18" i="13"/>
  <c r="D18" i="13" s="1"/>
  <c r="C18" i="13" s="1"/>
  <c r="G18" i="13"/>
  <c r="L244" i="1"/>
  <c r="F19" i="13"/>
  <c r="G19" i="13"/>
  <c r="L245" i="1"/>
  <c r="F29" i="13"/>
  <c r="G29" i="13"/>
  <c r="L351" i="1"/>
  <c r="L352" i="1"/>
  <c r="I359" i="1"/>
  <c r="J282" i="1"/>
  <c r="J301" i="1"/>
  <c r="J320" i="1"/>
  <c r="K282" i="1"/>
  <c r="K301" i="1"/>
  <c r="K320" i="1"/>
  <c r="L268" i="1"/>
  <c r="L269" i="1"/>
  <c r="L270" i="1"/>
  <c r="L271" i="1"/>
  <c r="E104" i="2" s="1"/>
  <c r="L273" i="1"/>
  <c r="E110" i="2" s="1"/>
  <c r="E120" i="2" s="1"/>
  <c r="L274" i="1"/>
  <c r="L275" i="1"/>
  <c r="L276" i="1"/>
  <c r="L277" i="1"/>
  <c r="L278" i="1"/>
  <c r="L279" i="1"/>
  <c r="L280" i="1"/>
  <c r="L287" i="1"/>
  <c r="L288" i="1"/>
  <c r="L289" i="1"/>
  <c r="L290" i="1"/>
  <c r="L292" i="1"/>
  <c r="L301" i="1" s="1"/>
  <c r="L293" i="1"/>
  <c r="L294" i="1"/>
  <c r="L295" i="1"/>
  <c r="L296" i="1"/>
  <c r="L297" i="1"/>
  <c r="L298" i="1"/>
  <c r="L299" i="1"/>
  <c r="L306" i="1"/>
  <c r="L307" i="1"/>
  <c r="L308" i="1"/>
  <c r="L309" i="1"/>
  <c r="L320" i="1" s="1"/>
  <c r="L311" i="1"/>
  <c r="L312" i="1"/>
  <c r="L313" i="1"/>
  <c r="L314" i="1"/>
  <c r="L315" i="1"/>
  <c r="L316" i="1"/>
  <c r="L317" i="1"/>
  <c r="L318" i="1"/>
  <c r="L325" i="1"/>
  <c r="L326" i="1"/>
  <c r="L252" i="1"/>
  <c r="H25" i="13" s="1"/>
  <c r="L253" i="1"/>
  <c r="C25" i="10" s="1"/>
  <c r="L333" i="1"/>
  <c r="L334" i="1"/>
  <c r="L247" i="1"/>
  <c r="F22" i="13" s="1"/>
  <c r="C22" i="13" s="1"/>
  <c r="L328" i="1"/>
  <c r="C11" i="13"/>
  <c r="C10" i="13"/>
  <c r="C9" i="13"/>
  <c r="L353" i="1"/>
  <c r="B4" i="12"/>
  <c r="B40" i="12"/>
  <c r="A40" i="12" s="1"/>
  <c r="B27" i="12"/>
  <c r="A31" i="12" s="1"/>
  <c r="C27" i="12"/>
  <c r="B31" i="12"/>
  <c r="C31" i="12"/>
  <c r="B1" i="12"/>
  <c r="L379" i="1"/>
  <c r="L385" i="1" s="1"/>
  <c r="L380" i="1"/>
  <c r="L381" i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6" i="1"/>
  <c r="L399" i="1" s="1"/>
  <c r="C132" i="2" s="1"/>
  <c r="L397" i="1"/>
  <c r="L398" i="1"/>
  <c r="L258" i="1"/>
  <c r="J52" i="1"/>
  <c r="G48" i="2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G52" i="1"/>
  <c r="G104" i="1" s="1"/>
  <c r="H52" i="1"/>
  <c r="E48" i="2" s="1"/>
  <c r="E55" i="2" s="1"/>
  <c r="E96" i="2" s="1"/>
  <c r="I52" i="1"/>
  <c r="I104" i="1" s="1"/>
  <c r="I185" i="1" s="1"/>
  <c r="G620" i="1" s="1"/>
  <c r="J620" i="1" s="1"/>
  <c r="F71" i="1"/>
  <c r="F86" i="1"/>
  <c r="F103" i="1"/>
  <c r="G103" i="1"/>
  <c r="H71" i="1"/>
  <c r="H86" i="1"/>
  <c r="H103" i="1"/>
  <c r="I103" i="1"/>
  <c r="J103" i="1"/>
  <c r="J104" i="1"/>
  <c r="J185" i="1" s="1"/>
  <c r="C37" i="10"/>
  <c r="F113" i="1"/>
  <c r="F128" i="1"/>
  <c r="F132" i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/>
  <c r="F139" i="1"/>
  <c r="F161" i="1" s="1"/>
  <c r="F154" i="1"/>
  <c r="G139" i="1"/>
  <c r="G161" i="1" s="1"/>
  <c r="G154" i="1"/>
  <c r="H139" i="1"/>
  <c r="H161" i="1" s="1"/>
  <c r="H154" i="1"/>
  <c r="I139" i="1"/>
  <c r="I154" i="1"/>
  <c r="I161" i="1"/>
  <c r="C12" i="10"/>
  <c r="C17" i="10"/>
  <c r="C18" i="10"/>
  <c r="C20" i="10"/>
  <c r="L242" i="1"/>
  <c r="L324" i="1"/>
  <c r="C23" i="10"/>
  <c r="L246" i="1"/>
  <c r="L260" i="1"/>
  <c r="L261" i="1"/>
  <c r="L341" i="1"/>
  <c r="L342" i="1"/>
  <c r="E135" i="2" s="1"/>
  <c r="C26" i="10"/>
  <c r="I655" i="1"/>
  <c r="I660" i="1"/>
  <c r="G652" i="1"/>
  <c r="H652" i="1"/>
  <c r="I659" i="1"/>
  <c r="C42" i="10"/>
  <c r="L366" i="1"/>
  <c r="L367" i="1"/>
  <c r="L368" i="1"/>
  <c r="C29" i="10" s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 s="1"/>
  <c r="L512" i="1"/>
  <c r="F540" i="1" s="1"/>
  <c r="L513" i="1"/>
  <c r="F541" i="1"/>
  <c r="L516" i="1"/>
  <c r="L519" i="1" s="1"/>
  <c r="G539" i="1"/>
  <c r="L517" i="1"/>
  <c r="G540" i="1" s="1"/>
  <c r="L518" i="1"/>
  <c r="G541" i="1"/>
  <c r="L521" i="1"/>
  <c r="H539" i="1" s="1"/>
  <c r="H542" i="1" s="1"/>
  <c r="L522" i="1"/>
  <c r="H540" i="1" s="1"/>
  <c r="L523" i="1"/>
  <c r="H541" i="1"/>
  <c r="L526" i="1"/>
  <c r="L529" i="1" s="1"/>
  <c r="I539" i="1"/>
  <c r="L527" i="1"/>
  <c r="I540" i="1" s="1"/>
  <c r="L528" i="1"/>
  <c r="I541" i="1"/>
  <c r="L531" i="1"/>
  <c r="J539" i="1" s="1"/>
  <c r="L532" i="1"/>
  <c r="J540" i="1" s="1"/>
  <c r="L533" i="1"/>
  <c r="J541" i="1"/>
  <c r="E124" i="2"/>
  <c r="E123" i="2"/>
  <c r="K262" i="1"/>
  <c r="J262" i="1"/>
  <c r="I262" i="1"/>
  <c r="H262" i="1"/>
  <c r="G262" i="1"/>
  <c r="F262" i="1"/>
  <c r="A1" i="2"/>
  <c r="A2" i="2"/>
  <c r="C9" i="2"/>
  <c r="C19" i="2" s="1"/>
  <c r="D9" i="2"/>
  <c r="D19" i="2" s="1"/>
  <c r="E9" i="2"/>
  <c r="F9" i="2"/>
  <c r="I431" i="1"/>
  <c r="J9" i="1"/>
  <c r="G9" i="2" s="1"/>
  <c r="C10" i="2"/>
  <c r="D10" i="2"/>
  <c r="E10" i="2"/>
  <c r="F10" i="2"/>
  <c r="I432" i="1"/>
  <c r="J10" i="1"/>
  <c r="J19" i="1" s="1"/>
  <c r="G611" i="1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F19" i="2" s="1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E19" i="2" s="1"/>
  <c r="F18" i="2"/>
  <c r="I437" i="1"/>
  <c r="J18" i="1" s="1"/>
  <c r="G18" i="2" s="1"/>
  <c r="C22" i="2"/>
  <c r="D22" i="2"/>
  <c r="D32" i="2" s="1"/>
  <c r="E22" i="2"/>
  <c r="F22" i="2"/>
  <c r="I440" i="1"/>
  <c r="J23" i="1"/>
  <c r="J33" i="1" s="1"/>
  <c r="G22" i="2"/>
  <c r="C23" i="2"/>
  <c r="D23" i="2"/>
  <c r="E23" i="2"/>
  <c r="F23" i="2"/>
  <c r="F32" i="2" s="1"/>
  <c r="I441" i="1"/>
  <c r="J24" i="1" s="1"/>
  <c r="G23" i="2" s="1"/>
  <c r="C24" i="2"/>
  <c r="D24" i="2"/>
  <c r="E24" i="2"/>
  <c r="F24" i="2"/>
  <c r="F25" i="2"/>
  <c r="F26" i="2"/>
  <c r="F27" i="2"/>
  <c r="F28" i="2"/>
  <c r="F29" i="2"/>
  <c r="F30" i="2"/>
  <c r="F31" i="2"/>
  <c r="I442" i="1"/>
  <c r="J25" i="1" s="1"/>
  <c r="G24" i="2" s="1"/>
  <c r="C25" i="2"/>
  <c r="D25" i="2"/>
  <c r="E25" i="2"/>
  <c r="E32" i="2" s="1"/>
  <c r="C26" i="2"/>
  <c r="C27" i="2"/>
  <c r="C28" i="2"/>
  <c r="D28" i="2"/>
  <c r="E28" i="2"/>
  <c r="C29" i="2"/>
  <c r="D29" i="2"/>
  <c r="E29" i="2"/>
  <c r="C30" i="2"/>
  <c r="D30" i="2"/>
  <c r="E30" i="2"/>
  <c r="C31" i="2"/>
  <c r="C32" i="2" s="1"/>
  <c r="D31" i="2"/>
  <c r="E31" i="2"/>
  <c r="I443" i="1"/>
  <c r="J32" i="1"/>
  <c r="G31" i="2" s="1"/>
  <c r="C34" i="2"/>
  <c r="C42" i="2" s="1"/>
  <c r="D34" i="2"/>
  <c r="E34" i="2"/>
  <c r="F34" i="2"/>
  <c r="C35" i="2"/>
  <c r="D35" i="2"/>
  <c r="D42" i="2" s="1"/>
  <c r="E35" i="2"/>
  <c r="F35" i="2"/>
  <c r="C36" i="2"/>
  <c r="D36" i="2"/>
  <c r="E36" i="2"/>
  <c r="F36" i="2"/>
  <c r="I446" i="1"/>
  <c r="J37" i="1" s="1"/>
  <c r="C37" i="2"/>
  <c r="D37" i="2"/>
  <c r="E37" i="2"/>
  <c r="F37" i="2"/>
  <c r="F42" i="2" s="1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D48" i="2"/>
  <c r="F48" i="2"/>
  <c r="F55" i="2" s="1"/>
  <c r="C49" i="2"/>
  <c r="E49" i="2"/>
  <c r="C50" i="2"/>
  <c r="E50" i="2"/>
  <c r="C51" i="2"/>
  <c r="D51" i="2"/>
  <c r="E51" i="2"/>
  <c r="E54" i="2" s="1"/>
  <c r="F51" i="2"/>
  <c r="D52" i="2"/>
  <c r="D54" i="2" s="1"/>
  <c r="C53" i="2"/>
  <c r="C54" i="2" s="1"/>
  <c r="D53" i="2"/>
  <c r="E53" i="2"/>
  <c r="F53" i="2"/>
  <c r="F54" i="2"/>
  <c r="F64" i="2"/>
  <c r="F65" i="2"/>
  <c r="F70" i="2" s="1"/>
  <c r="F73" i="2" s="1"/>
  <c r="F68" i="2"/>
  <c r="F69" i="2"/>
  <c r="F61" i="2"/>
  <c r="F62" i="2"/>
  <c r="F77" i="2"/>
  <c r="F83" i="2" s="1"/>
  <c r="F79" i="2"/>
  <c r="F80" i="2"/>
  <c r="F81" i="2"/>
  <c r="F85" i="2"/>
  <c r="F95" i="2" s="1"/>
  <c r="F86" i="2"/>
  <c r="F88" i="2"/>
  <c r="F89" i="2"/>
  <c r="F91" i="2"/>
  <c r="F92" i="2"/>
  <c r="F93" i="2"/>
  <c r="F94" i="2"/>
  <c r="C58" i="2"/>
  <c r="C59" i="2"/>
  <c r="C61" i="2"/>
  <c r="D61" i="2"/>
  <c r="D62" i="2"/>
  <c r="D73" i="2" s="1"/>
  <c r="E61" i="2"/>
  <c r="G61" i="2"/>
  <c r="G62" i="2" s="1"/>
  <c r="C62" i="2"/>
  <c r="E62" i="2"/>
  <c r="C64" i="2"/>
  <c r="C65" i="2"/>
  <c r="C66" i="2"/>
  <c r="C67" i="2"/>
  <c r="C68" i="2"/>
  <c r="E68" i="2"/>
  <c r="C69" i="2"/>
  <c r="C70" i="2" s="1"/>
  <c r="C73" i="2" s="1"/>
  <c r="D69" i="2"/>
  <c r="E69" i="2"/>
  <c r="E70" i="2" s="1"/>
  <c r="E73" i="2" s="1"/>
  <c r="G69" i="2"/>
  <c r="G70" i="2" s="1"/>
  <c r="G73" i="2" s="1"/>
  <c r="D70" i="2"/>
  <c r="C71" i="2"/>
  <c r="D71" i="2"/>
  <c r="E71" i="2"/>
  <c r="C72" i="2"/>
  <c r="E72" i="2"/>
  <c r="C77" i="2"/>
  <c r="C83" i="2" s="1"/>
  <c r="D77" i="2"/>
  <c r="E77" i="2"/>
  <c r="E83" i="2" s="1"/>
  <c r="C79" i="2"/>
  <c r="E79" i="2"/>
  <c r="C80" i="2"/>
  <c r="C81" i="2"/>
  <c r="C82" i="2"/>
  <c r="D80" i="2"/>
  <c r="E80" i="2"/>
  <c r="D81" i="2"/>
  <c r="E81" i="2"/>
  <c r="C85" i="2"/>
  <c r="C86" i="2"/>
  <c r="D88" i="2"/>
  <c r="D95" i="2" s="1"/>
  <c r="D89" i="2"/>
  <c r="D90" i="2"/>
  <c r="D91" i="2"/>
  <c r="D92" i="2"/>
  <c r="D93" i="2"/>
  <c r="D94" i="2"/>
  <c r="E88" i="2"/>
  <c r="E95" i="2" s="1"/>
  <c r="G88" i="2"/>
  <c r="G95" i="2" s="1"/>
  <c r="C89" i="2"/>
  <c r="E89" i="2"/>
  <c r="E90" i="2"/>
  <c r="E91" i="2"/>
  <c r="E92" i="2"/>
  <c r="E93" i="2"/>
  <c r="E94" i="2"/>
  <c r="G89" i="2"/>
  <c r="C90" i="2"/>
  <c r="G90" i="2"/>
  <c r="C91" i="2"/>
  <c r="C92" i="2"/>
  <c r="C93" i="2"/>
  <c r="C94" i="2"/>
  <c r="C95" i="2" s="1"/>
  <c r="E102" i="2"/>
  <c r="C103" i="2"/>
  <c r="E103" i="2"/>
  <c r="C105" i="2"/>
  <c r="E105" i="2"/>
  <c r="D107" i="2"/>
  <c r="F107" i="2"/>
  <c r="G107" i="2"/>
  <c r="C111" i="2"/>
  <c r="E111" i="2"/>
  <c r="C112" i="2"/>
  <c r="E112" i="2"/>
  <c r="C113" i="2"/>
  <c r="E113" i="2"/>
  <c r="E114" i="2"/>
  <c r="C115" i="2"/>
  <c r="E115" i="2"/>
  <c r="E116" i="2"/>
  <c r="C117" i="2"/>
  <c r="E117" i="2"/>
  <c r="D126" i="2"/>
  <c r="D136" i="2"/>
  <c r="F120" i="2"/>
  <c r="G120" i="2"/>
  <c r="C122" i="2"/>
  <c r="E122" i="2"/>
  <c r="F122" i="2"/>
  <c r="F136" i="2" s="1"/>
  <c r="F126" i="2"/>
  <c r="K411" i="1"/>
  <c r="K426" i="1"/>
  <c r="G126" i="2" s="1"/>
  <c r="G136" i="2" s="1"/>
  <c r="G137" i="2" s="1"/>
  <c r="K419" i="1"/>
  <c r="K425" i="1"/>
  <c r="L255" i="1"/>
  <c r="C127" i="2" s="1"/>
  <c r="L256" i="1"/>
  <c r="C128" i="2"/>
  <c r="L257" i="1"/>
  <c r="C129" i="2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B151" i="2"/>
  <c r="C151" i="2"/>
  <c r="D151" i="2"/>
  <c r="G151" i="2" s="1"/>
  <c r="E151" i="2"/>
  <c r="F151" i="2"/>
  <c r="B152" i="2"/>
  <c r="G152" i="2" s="1"/>
  <c r="C152" i="2"/>
  <c r="D152" i="2"/>
  <c r="E152" i="2"/>
  <c r="F152" i="2"/>
  <c r="F490" i="1"/>
  <c r="B153" i="2" s="1"/>
  <c r="D153" i="2"/>
  <c r="E153" i="2"/>
  <c r="G490" i="1"/>
  <c r="C153" i="2" s="1"/>
  <c r="H490" i="1"/>
  <c r="I490" i="1"/>
  <c r="J490" i="1"/>
  <c r="F153" i="2" s="1"/>
  <c r="B154" i="2"/>
  <c r="C154" i="2"/>
  <c r="D154" i="2"/>
  <c r="E154" i="2"/>
  <c r="F154" i="2"/>
  <c r="G154" i="2"/>
  <c r="B155" i="2"/>
  <c r="C155" i="2"/>
  <c r="G155" i="2" s="1"/>
  <c r="D155" i="2"/>
  <c r="E155" i="2"/>
  <c r="F155" i="2"/>
  <c r="F493" i="1"/>
  <c r="B156" i="2" s="1"/>
  <c r="F156" i="2"/>
  <c r="G493" i="1"/>
  <c r="K493" i="1" s="1"/>
  <c r="H493" i="1"/>
  <c r="D156" i="2" s="1"/>
  <c r="I493" i="1"/>
  <c r="E156" i="2" s="1"/>
  <c r="J493" i="1"/>
  <c r="G19" i="1"/>
  <c r="H19" i="1"/>
  <c r="G609" i="1" s="1"/>
  <c r="I19" i="1"/>
  <c r="F33" i="1"/>
  <c r="G33" i="1"/>
  <c r="H33" i="1"/>
  <c r="I33" i="1"/>
  <c r="I44" i="1" s="1"/>
  <c r="H610" i="1" s="1"/>
  <c r="F43" i="1"/>
  <c r="F44" i="1" s="1"/>
  <c r="H607" i="1" s="1"/>
  <c r="G43" i="1"/>
  <c r="H43" i="1"/>
  <c r="H44" i="1" s="1"/>
  <c r="H609" i="1" s="1"/>
  <c r="I43" i="1"/>
  <c r="F169" i="1"/>
  <c r="F184" i="1" s="1"/>
  <c r="I169" i="1"/>
  <c r="F175" i="1"/>
  <c r="G175" i="1"/>
  <c r="H175" i="1"/>
  <c r="H184" i="1" s="1"/>
  <c r="I175" i="1"/>
  <c r="J175" i="1"/>
  <c r="J184" i="1"/>
  <c r="F180" i="1"/>
  <c r="G180" i="1"/>
  <c r="G184" i="1" s="1"/>
  <c r="H180" i="1"/>
  <c r="I180" i="1"/>
  <c r="I184" i="1"/>
  <c r="F203" i="1"/>
  <c r="G203" i="1"/>
  <c r="I203" i="1"/>
  <c r="J203" i="1"/>
  <c r="K203" i="1"/>
  <c r="F221" i="1"/>
  <c r="F249" i="1" s="1"/>
  <c r="F263" i="1" s="1"/>
  <c r="G221" i="1"/>
  <c r="G249" i="1" s="1"/>
  <c r="G263" i="1" s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L262" i="1"/>
  <c r="F282" i="1"/>
  <c r="G282" i="1"/>
  <c r="H282" i="1"/>
  <c r="I282" i="1"/>
  <c r="I330" i="1" s="1"/>
  <c r="I344" i="1" s="1"/>
  <c r="F301" i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F329" i="1"/>
  <c r="F330" i="1"/>
  <c r="F344" i="1" s="1"/>
  <c r="G329" i="1"/>
  <c r="L329" i="1" s="1"/>
  <c r="H329" i="1"/>
  <c r="I329" i="1"/>
  <c r="J329" i="1"/>
  <c r="K329" i="1"/>
  <c r="K330" i="1" s="1"/>
  <c r="K344" i="1" s="1"/>
  <c r="J330" i="1"/>
  <c r="J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G411" i="1"/>
  <c r="H411" i="1"/>
  <c r="I411" i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F426" i="1"/>
  <c r="G426" i="1"/>
  <c r="H426" i="1"/>
  <c r="I426" i="1"/>
  <c r="J426" i="1"/>
  <c r="F438" i="1"/>
  <c r="G629" i="1"/>
  <c r="G438" i="1"/>
  <c r="H438" i="1"/>
  <c r="G631" i="1"/>
  <c r="F444" i="1"/>
  <c r="G444" i="1"/>
  <c r="H444" i="1"/>
  <c r="H451" i="1" s="1"/>
  <c r="H631" i="1" s="1"/>
  <c r="J631" i="1" s="1"/>
  <c r="I444" i="1"/>
  <c r="F450" i="1"/>
  <c r="F451" i="1" s="1"/>
  <c r="H629" i="1" s="1"/>
  <c r="G450" i="1"/>
  <c r="G451" i="1" s="1"/>
  <c r="H630" i="1" s="1"/>
  <c r="J630" i="1" s="1"/>
  <c r="H450" i="1"/>
  <c r="I450" i="1"/>
  <c r="I451" i="1" s="1"/>
  <c r="H632" i="1" s="1"/>
  <c r="F460" i="1"/>
  <c r="G460" i="1"/>
  <c r="H460" i="1"/>
  <c r="H466" i="1" s="1"/>
  <c r="H614" i="1" s="1"/>
  <c r="J614" i="1" s="1"/>
  <c r="I460" i="1"/>
  <c r="J460" i="1"/>
  <c r="J466" i="1"/>
  <c r="H616" i="1" s="1"/>
  <c r="F464" i="1"/>
  <c r="F466" i="1" s="1"/>
  <c r="H612" i="1" s="1"/>
  <c r="G464" i="1"/>
  <c r="G466" i="1" s="1"/>
  <c r="H613" i="1" s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K514" i="1"/>
  <c r="K535" i="1" s="1"/>
  <c r="F519" i="1"/>
  <c r="F535" i="1" s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G535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J550" i="1"/>
  <c r="K550" i="1"/>
  <c r="L552" i="1"/>
  <c r="L555" i="1"/>
  <c r="L553" i="1"/>
  <c r="L554" i="1"/>
  <c r="F555" i="1"/>
  <c r="F561" i="1" s="1"/>
  <c r="G555" i="1"/>
  <c r="H555" i="1"/>
  <c r="I555" i="1"/>
  <c r="I561" i="1" s="1"/>
  <c r="J555" i="1"/>
  <c r="K555" i="1"/>
  <c r="L557" i="1"/>
  <c r="L558" i="1"/>
  <c r="L559" i="1"/>
  <c r="F560" i="1"/>
  <c r="G560" i="1"/>
  <c r="H560" i="1"/>
  <c r="I560" i="1"/>
  <c r="J560" i="1"/>
  <c r="J561" i="1" s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K585" i="1"/>
  <c r="K586" i="1"/>
  <c r="K587" i="1"/>
  <c r="H588" i="1"/>
  <c r="H639" i="1"/>
  <c r="I588" i="1"/>
  <c r="H640" i="1" s="1"/>
  <c r="J588" i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L604" i="1"/>
  <c r="G608" i="1"/>
  <c r="J608" i="1" s="1"/>
  <c r="G610" i="1"/>
  <c r="J610" i="1" s="1"/>
  <c r="G612" i="1"/>
  <c r="J612" i="1" s="1"/>
  <c r="G613" i="1"/>
  <c r="G614" i="1"/>
  <c r="G615" i="1"/>
  <c r="H617" i="1"/>
  <c r="H618" i="1"/>
  <c r="H619" i="1"/>
  <c r="H620" i="1"/>
  <c r="H621" i="1"/>
  <c r="H622" i="1"/>
  <c r="H623" i="1"/>
  <c r="H625" i="1"/>
  <c r="G626" i="1"/>
  <c r="H626" i="1"/>
  <c r="J626" i="1"/>
  <c r="H627" i="1"/>
  <c r="H628" i="1"/>
  <c r="G630" i="1"/>
  <c r="G633" i="1"/>
  <c r="J633" i="1" s="1"/>
  <c r="G634" i="1"/>
  <c r="G640" i="1"/>
  <c r="G641" i="1"/>
  <c r="J641" i="1" s="1"/>
  <c r="H641" i="1"/>
  <c r="G642" i="1"/>
  <c r="J642" i="1" s="1"/>
  <c r="H642" i="1"/>
  <c r="G643" i="1"/>
  <c r="J643" i="1" s="1"/>
  <c r="H643" i="1"/>
  <c r="G644" i="1"/>
  <c r="J644" i="1" s="1"/>
  <c r="H644" i="1"/>
  <c r="G645" i="1"/>
  <c r="J645" i="1" s="1"/>
  <c r="H645" i="1"/>
  <c r="F104" i="1"/>
  <c r="E42" i="2"/>
  <c r="E43" i="2" s="1"/>
  <c r="G44" i="1"/>
  <c r="H608" i="1"/>
  <c r="D83" i="2"/>
  <c r="G150" i="2"/>
  <c r="G148" i="2"/>
  <c r="D19" i="13"/>
  <c r="C19" i="13"/>
  <c r="D14" i="13"/>
  <c r="C14" i="13" s="1"/>
  <c r="D7" i="13"/>
  <c r="C7" i="13" s="1"/>
  <c r="G635" i="1"/>
  <c r="G31" i="13"/>
  <c r="C11" i="10"/>
  <c r="F31" i="13"/>
  <c r="E101" i="2"/>
  <c r="E16" i="13"/>
  <c r="C16" i="13"/>
  <c r="D12" i="13"/>
  <c r="C12" i="13" s="1"/>
  <c r="E8" i="13"/>
  <c r="C8" i="13"/>
  <c r="K249" i="1"/>
  <c r="K263" i="1" s="1"/>
  <c r="J249" i="1"/>
  <c r="J263" i="1" s="1"/>
  <c r="I249" i="1"/>
  <c r="I263" i="1"/>
  <c r="C102" i="2"/>
  <c r="L560" i="1"/>
  <c r="K541" i="1"/>
  <c r="J535" i="1"/>
  <c r="H535" i="1"/>
  <c r="L514" i="1"/>
  <c r="L535" i="1" s="1"/>
  <c r="J542" i="1" l="1"/>
  <c r="G55" i="2"/>
  <c r="G96" i="2" s="1"/>
  <c r="D29" i="13"/>
  <c r="C29" i="13" s="1"/>
  <c r="F651" i="1"/>
  <c r="D119" i="2"/>
  <c r="D120" i="2" s="1"/>
  <c r="L354" i="1"/>
  <c r="J609" i="1"/>
  <c r="G542" i="1"/>
  <c r="G621" i="1"/>
  <c r="J621" i="1" s="1"/>
  <c r="G636" i="1"/>
  <c r="G185" i="1"/>
  <c r="G618" i="1" s="1"/>
  <c r="J618" i="1" s="1"/>
  <c r="G153" i="2"/>
  <c r="C11" i="12"/>
  <c r="J615" i="1"/>
  <c r="F137" i="2"/>
  <c r="D43" i="2"/>
  <c r="D137" i="2"/>
  <c r="F43" i="2"/>
  <c r="I542" i="1"/>
  <c r="J613" i="1"/>
  <c r="G19" i="2"/>
  <c r="K540" i="1"/>
  <c r="E33" i="13"/>
  <c r="D35" i="13" s="1"/>
  <c r="C13" i="13"/>
  <c r="F185" i="1"/>
  <c r="G617" i="1" s="1"/>
  <c r="J617" i="1" s="1"/>
  <c r="C39" i="10"/>
  <c r="C25" i="13"/>
  <c r="H33" i="13"/>
  <c r="K539" i="1"/>
  <c r="K542" i="1" s="1"/>
  <c r="F542" i="1"/>
  <c r="L400" i="1"/>
  <c r="C130" i="2"/>
  <c r="C133" i="2" s="1"/>
  <c r="C120" i="2"/>
  <c r="C5" i="13"/>
  <c r="J607" i="1"/>
  <c r="C21" i="10"/>
  <c r="C116" i="2"/>
  <c r="G639" i="1"/>
  <c r="J639" i="1" s="1"/>
  <c r="F652" i="1"/>
  <c r="I652" i="1" s="1"/>
  <c r="D15" i="13"/>
  <c r="C15" i="13" s="1"/>
  <c r="H637" i="1"/>
  <c r="J637" i="1" s="1"/>
  <c r="J638" i="1"/>
  <c r="E136" i="2"/>
  <c r="F96" i="2"/>
  <c r="J43" i="1"/>
  <c r="G36" i="2"/>
  <c r="G42" i="2" s="1"/>
  <c r="C43" i="2"/>
  <c r="C38" i="10"/>
  <c r="J629" i="1"/>
  <c r="D55" i="2"/>
  <c r="D96" i="2" s="1"/>
  <c r="G32" i="2"/>
  <c r="H651" i="1"/>
  <c r="H654" i="1" s="1"/>
  <c r="J640" i="1"/>
  <c r="C55" i="2"/>
  <c r="C96" i="2" s="1"/>
  <c r="E107" i="2"/>
  <c r="E137" i="2" s="1"/>
  <c r="G651" i="1"/>
  <c r="H638" i="1"/>
  <c r="L282" i="1"/>
  <c r="D17" i="13"/>
  <c r="C17" i="13" s="1"/>
  <c r="K490" i="1"/>
  <c r="C106" i="2"/>
  <c r="C20" i="12"/>
  <c r="C21" i="12" s="1"/>
  <c r="C22" i="12" s="1"/>
  <c r="A22" i="12" s="1"/>
  <c r="C10" i="10"/>
  <c r="C123" i="2"/>
  <c r="C19" i="10"/>
  <c r="L203" i="1"/>
  <c r="H104" i="1"/>
  <c r="H185" i="1" s="1"/>
  <c r="G619" i="1" s="1"/>
  <c r="J619" i="1" s="1"/>
  <c r="H203" i="1"/>
  <c r="H249" i="1" s="1"/>
  <c r="H263" i="1" s="1"/>
  <c r="E126" i="2"/>
  <c r="C124" i="2"/>
  <c r="C15" i="10"/>
  <c r="I438" i="1"/>
  <c r="G632" i="1" s="1"/>
  <c r="J632" i="1" s="1"/>
  <c r="C156" i="2"/>
  <c r="G156" i="2" s="1"/>
  <c r="C13" i="10"/>
  <c r="G10" i="2"/>
  <c r="D6" i="13"/>
  <c r="C6" i="13" s="1"/>
  <c r="C104" i="2"/>
  <c r="C107" i="2" s="1"/>
  <c r="B12" i="12"/>
  <c r="B13" i="12" s="1"/>
  <c r="L221" i="1"/>
  <c r="G650" i="1" s="1"/>
  <c r="C35" i="10"/>
  <c r="C32" i="10"/>
  <c r="H662" i="1" l="1"/>
  <c r="C6" i="10" s="1"/>
  <c r="H657" i="1"/>
  <c r="C13" i="12"/>
  <c r="A13" i="12" s="1"/>
  <c r="F650" i="1"/>
  <c r="L249" i="1"/>
  <c r="L263" i="1" s="1"/>
  <c r="G622" i="1" s="1"/>
  <c r="J622" i="1" s="1"/>
  <c r="D33" i="13"/>
  <c r="D36" i="13" s="1"/>
  <c r="C136" i="2"/>
  <c r="C137" i="2" s="1"/>
  <c r="C28" i="10"/>
  <c r="D15" i="10" s="1"/>
  <c r="D10" i="10"/>
  <c r="C36" i="10"/>
  <c r="C41" i="10" s="1"/>
  <c r="C12" i="12"/>
  <c r="C27" i="10"/>
  <c r="G625" i="1"/>
  <c r="J625" i="1" s="1"/>
  <c r="G627" i="1"/>
  <c r="J627" i="1" s="1"/>
  <c r="H636" i="1"/>
  <c r="J636" i="1" s="1"/>
  <c r="J44" i="1"/>
  <c r="H611" i="1" s="1"/>
  <c r="J611" i="1" s="1"/>
  <c r="G616" i="1"/>
  <c r="I651" i="1"/>
  <c r="G654" i="1"/>
  <c r="D31" i="13"/>
  <c r="C31" i="13" s="1"/>
  <c r="L330" i="1"/>
  <c r="L344" i="1" s="1"/>
  <c r="G623" i="1" s="1"/>
  <c r="J623" i="1" s="1"/>
  <c r="G43" i="2"/>
  <c r="D40" i="10" l="1"/>
  <c r="D37" i="10"/>
  <c r="D35" i="10"/>
  <c r="D38" i="10"/>
  <c r="D39" i="10"/>
  <c r="D19" i="10"/>
  <c r="D27" i="10"/>
  <c r="D21" i="10"/>
  <c r="D13" i="10"/>
  <c r="I650" i="1"/>
  <c r="I654" i="1" s="1"/>
  <c r="F654" i="1"/>
  <c r="D36" i="10"/>
  <c r="G662" i="1"/>
  <c r="C5" i="10" s="1"/>
  <c r="G657" i="1"/>
  <c r="D18" i="10"/>
  <c r="D28" i="10" s="1"/>
  <c r="D22" i="10"/>
  <c r="D26" i="10"/>
  <c r="D17" i="10"/>
  <c r="D12" i="10"/>
  <c r="D11" i="10"/>
  <c r="D23" i="10"/>
  <c r="C30" i="10"/>
  <c r="D20" i="10"/>
  <c r="D24" i="10"/>
  <c r="D16" i="10"/>
  <c r="D25" i="10"/>
  <c r="J616" i="1"/>
  <c r="H646" i="1"/>
  <c r="F657" i="1" l="1"/>
  <c r="F662" i="1"/>
  <c r="C4" i="10" s="1"/>
  <c r="I657" i="1"/>
  <c r="I662" i="1"/>
  <c r="C7" i="10" s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7B9F3B8-C7B2-423F-BEE9-6069037D2C5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ED0B40E-7E5A-4AD1-9638-3733863552E2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8638735-4BB8-4E43-893C-62F48AAF9191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007D809-6089-4420-B2B7-BC3BBA3A3A26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8F1B33F8-FDE4-47CB-B60A-27F9088F0D3F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2476570-3426-48DD-8632-20ABF727551E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B30BC25F-4BAB-44BC-B62B-110887258064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B1E9F23A-1F7B-4FDF-82EC-EAFE8193F2E7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364AF009-7C31-4482-A18A-9F9772FE67D2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9822696B-DD05-461D-A433-71E93DB111BF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BD50F461-FAF6-405C-B88D-D546F1294B84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5497D7D-1E37-4800-A18C-4A7431661219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<sst xmlns="http://schemas.openxmlformats.org/spreadsheetml/2006/main" count="3862" uniqueCount="899">
  <si>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</si>
  <si>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</si>
  <si>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</si>
  <si>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</si>
  <si>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</si>
  <si>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</si>
  <si>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</si>
  <si>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</si>
  <si>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</si>
  <si>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</si>
  <si>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</si>
  <si>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</si>
  <si>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</si>
  <si>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</si>
  <si>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</si>
  <si>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</si>
  <si>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</si>
  <si>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</si>
  <si>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</si>
  <si>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</si>
  <si>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</si>
  <si>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</si>
  <si>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</si>
  <si>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</si>
  <si>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</si>
  <si>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</si>
  <si>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</si>
  <si>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</si>
  <si>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</si>
  <si>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</si>
  <si>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</si>
  <si>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</si>
  <si>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</si>
  <si>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</si>
  <si>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</si>
  <si>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</si>
  <si>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</si>
  <si>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</si>
  <si>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</si>
  <si>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</si>
  <si>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</si>
  <si>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</si>
  <si>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</si>
  <si>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</si>
  <si>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</si>
  <si>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</si>
  <si>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</si>
  <si>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</si>
  <si>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</si>
  <si>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</si>
  <si>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</si>
  <si>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</si>
  <si>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</si>
  <si>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</si>
  <si>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</si>
  <si>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</si>
  <si>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</si>
  <si>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</si>
  <si>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</si>
  <si>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</si>
  <si>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</si>
  <si>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</si>
  <si>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</si>
  <si>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</si>
  <si>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</si>
  <si>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</si>
  <si>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</si>
  <si>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</si>
  <si>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</si>
  <si>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</si>
  <si>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</si>
  <si>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</si>
  <si>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</si>
  <si>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</si>
  <si>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</si>
  <si>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</si>
  <si>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</si>
  <si>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</si>
  <si>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</si>
  <si>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</si>
  <si>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</si>
  <si>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</si>
  <si>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</si>
  <si>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</si>
  <si>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</si>
  <si>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</si>
  <si>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</si>
  <si>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</si>
  <si>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</si>
  <si>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</si>
  <si>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</si>
  <si>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</si>
  <si>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</si>
  <si>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</si>
  <si>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</si>
  <si>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</si>
  <si>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</si>
  <si>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</si>
  <si>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</si>
  <si>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</si>
  <si>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</si>
  <si>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</si>
  <si>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</si>
  <si>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</si>
  <si>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</si>
  <si>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</si>
  <si>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</si>
  <si>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</si>
  <si>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</si>
  <si>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</si>
  <si>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</si>
  <si>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</si>
  <si>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</si>
  <si>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</si>
  <si>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</si>
  <si>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</si>
  <si>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</si>
  <si>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</si>
  <si>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</si>
  <si>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</si>
  <si>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</si>
  <si>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</si>
  <si>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</si>
  <si>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</si>
  <si>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</si>
  <si>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</si>
  <si>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</si>
  <si>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</si>
  <si>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</si>
  <si>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</si>
  <si>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</si>
  <si>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</si>
  <si>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</si>
  <si>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</si>
  <si>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</si>
  <si>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</si>
  <si>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</si>
  <si>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</si>
  <si>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</si>
  <si>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</si>
  <si>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</si>
  <si>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</si>
  <si>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</si>
  <si>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</si>
  <si>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</si>
  <si>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</si>
  <si>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</si>
  <si>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</si>
  <si>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</si>
  <si>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</si>
  <si>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</si>
  <si>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</si>
  <si>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</si>
  <si>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</si>
  <si>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</si>
  <si>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</si>
  <si>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</si>
  <si>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</si>
  <si>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</si>
  <si>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</si>
  <si>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</si>
  <si>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</si>
  <si>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</si>
  <si>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</si>
  <si>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</si>
  <si>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</si>
  <si>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</si>
  <si>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</si>
  <si>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</si>
  <si>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</si>
  <si>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</si>
  <si>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</si>
  <si>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</si>
  <si>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</si>
  <si>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</si>
  <si>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</si>
  <si>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</si>
  <si>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</si>
  <si>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</si>
  <si>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</si>
  <si>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</si>
  <si>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</si>
  <si>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</si>
  <si>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</si>
  <si>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</si>
  <si>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</si>
  <si>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</si>
  <si>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</si>
  <si>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</si>
  <si>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</si>
  <si>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</si>
  <si>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</si>
  <si>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</si>
  <si>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</si>
  <si>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</si>
  <si>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</si>
  <si>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</si>
  <si>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</si>
  <si>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</si>
  <si>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</si>
  <si>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</si>
  <si>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</si>
  <si>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</si>
  <si>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</si>
  <si>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</si>
  <si>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</si>
  <si>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</si>
  <si>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</si>
  <si>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</si>
  <si>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</si>
  <si>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</si>
  <si>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</si>
  <si>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</si>
  <si>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</si>
  <si>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</si>
  <si>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</si>
  <si>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</si>
  <si>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</si>
  <si>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</si>
  <si>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</si>
  <si>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</si>
  <si>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</si>
  <si>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</si>
  <si>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</si>
  <si>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</si>
  <si>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</si>
  <si>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</si>
  <si>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</si>
  <si>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</si>
  <si>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</si>
  <si>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</si>
  <si>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</si>
  <si>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</si>
  <si>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</si>
  <si>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</si>
  <si>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</si>
  <si>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</si>
  <si>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</si>
  <si>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</si>
  <si>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</si>
  <si>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</si>
  <si>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</si>
  <si>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</si>
  <si>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</si>
  <si>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</si>
  <si>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</si>
  <si>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</si>
  <si>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</si>
  <si>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</si>
  <si>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</si>
  <si>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</si>
  <si>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</si>
  <si>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</si>
  <si>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</si>
  <si>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</si>
  <si>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</si>
  <si>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</si>
  <si>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</si>
  <si>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</si>
  <si>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</si>
  <si>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</si>
  <si>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</si>
  <si>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</si>
  <si>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</si>
  <si>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</si>
  <si>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</si>
  <si>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</si>
  <si>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</si>
  <si>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</si>
  <si>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</si>
  <si>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</si>
  <si>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</si>
  <si>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</si>
  <si>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</si>
  <si>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</si>
  <si>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</si>
  <si>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</si>
  <si>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</si>
  <si>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</si>
  <si>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</si>
  <si>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</si>
  <si>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</si>
  <si>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</si>
  <si>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</si>
  <si>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</si>
  <si>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</si>
  <si>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</si>
  <si>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</si>
  <si>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</si>
  <si>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</si>
  <si>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</si>
  <si>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</si>
  <si>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</si>
  <si>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</si>
  <si>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</si>
  <si>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</si>
  <si>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</si>
  <si>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</si>
  <si>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</si>
  <si>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</si>
  <si>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</si>
  <si>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</si>
  <si>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</si>
  <si>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</si>
  <si>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</si>
  <si>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</si>
  <si>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</si>
  <si>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</si>
  <si>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</si>
  <si>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</si>
  <si>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</si>
  <si>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</si>
  <si>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</si>
  <si>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</si>
  <si>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</si>
  <si>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</si>
  <si>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</si>
  <si>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</si>
  <si>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</si>
  <si>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</si>
  <si>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</si>
  <si>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</si>
  <si>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</si>
  <si>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</si>
  <si>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</si>
  <si>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</si>
  <si>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</si>
  <si>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</si>
  <si>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</si>
  <si>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</si>
  <si>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</si>
  <si>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</si>
  <si>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</si>
  <si>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</si>
  <si>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</si>
  <si>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</si>
  <si>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</si>
  <si>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</si>
  <si>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</si>
  <si>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</si>
  <si>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</si>
  <si>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</si>
  <si>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</si>
  <si>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</si>
  <si>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</si>
  <si>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</si>
  <si>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</si>
  <si>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</si>
  <si>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</si>
  <si>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</si>
  <si>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</si>
  <si>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</si>
  <si>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</si>
  <si>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</si>
  <si>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</si>
  <si>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</si>
  <si>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</si>
  <si>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</si>
  <si>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</si>
  <si>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</si>
  <si>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</si>
  <si>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</si>
  <si>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</si>
  <si>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</si>
  <si>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</si>
  <si>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</si>
  <si>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</si>
  <si>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</si>
  <si>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</si>
  <si>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</si>
  <si>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</si>
  <si>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</si>
  <si>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</si>
  <si>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</si>
  <si>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</si>
  <si>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</si>
  <si>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</si>
  <si>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</si>
  <si>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</si>
  <si>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</si>
  <si>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</si>
  <si>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</si>
  <si>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</si>
  <si>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</si>
  <si>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</si>
  <si>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</si>
  <si>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</si>
  <si>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</si>
  <si>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</si>
  <si>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</si>
  <si>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</si>
  <si>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</si>
  <si>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</si>
  <si>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</si>
  <si>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</si>
  <si>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</si>
  <si>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</si>
  <si>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</si>
  <si>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</si>
  <si>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</si>
  <si>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</si>
  <si>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</si>
  <si>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</si>
  <si>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</si>
  <si>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</si>
  <si>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</si>
  <si>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</si>
  <si>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</si>
  <si>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</si>
  <si>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</si>
  <si>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</si>
  <si>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</si>
  <si>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</si>
  <si>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</si>
  <si>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</si>
  <si>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</si>
  <si>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</si>
  <si>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</si>
  <si>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</si>
  <si>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</si>
  <si>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</si>
  <si>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</si>
  <si>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</si>
  <si>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</si>
  <si>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</si>
  <si>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</si>
  <si>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</si>
  <si>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</si>
  <si>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</si>
  <si>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</si>
  <si>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</si>
  <si>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</si>
  <si>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</si>
  <si>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</si>
  <si>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</si>
  <si>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</si>
  <si>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</si>
  <si>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</si>
  <si>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</si>
  <si>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</si>
  <si>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</si>
  <si>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</si>
  <si>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</si>
  <si>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</si>
  <si>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</si>
  <si>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</si>
  <si>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</si>
  <si>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</si>
  <si>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</si>
  <si>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</si>
  <si>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</si>
  <si>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</si>
  <si>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</si>
  <si>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</si>
  <si>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</si>
  <si>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</si>
  <si>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</si>
  <si>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</si>
  <si>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</si>
  <si>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</si>
  <si>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</si>
  <si>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</si>
  <si>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</si>
  <si>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</si>
  <si>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</si>
  <si>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</si>
  <si>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</si>
  <si>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</si>
  <si>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</si>
  <si>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</si>
  <si>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</si>
  <si>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</si>
  <si>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</si>
  <si>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</si>
  <si>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</si>
  <si>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</si>
  <si>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</si>
  <si>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</si>
  <si>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</si>
  <si>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</si>
  <si>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</si>
  <si>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</si>
  <si>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</si>
  <si>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</si>
  <si>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</si>
  <si>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</si>
  <si>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</si>
  <si>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</si>
  <si>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</si>
  <si>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</si>
  <si>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</si>
  <si>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</si>
  <si>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</si>
  <si>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</si>
  <si>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</si>
  <si>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</si>
  <si>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</si>
  <si>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</si>
  <si>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</si>
  <si>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</si>
  <si>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</si>
  <si>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</si>
  <si>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</si>
  <si>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</si>
  <si>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</si>
  <si>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</si>
  <si>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</si>
  <si>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</si>
  <si>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</si>
  <si>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</si>
  <si>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</si>
  <si>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</si>
  <si>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</si>
  <si>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</si>
  <si>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</si>
  <si>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</si>
  <si>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</si>
  <si>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</si>
  <si>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</si>
  <si>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</si>
  <si>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</si>
  <si>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</si>
  <si>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</si>
  <si>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</si>
  <si>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</si>
  <si>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</si>
  <si>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</si>
  <si>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</si>
  <si>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</si>
  <si>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</si>
  <si>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</si>
  <si>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</si>
  <si>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</si>
  <si>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</si>
  <si>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</si>
  <si>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</si>
  <si>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</si>
  <si>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</si>
  <si>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</si>
  <si>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</si>
  <si>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</si>
  <si>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</si>
  <si>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</si>
  <si>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</si>
  <si>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</si>
  <si>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</si>
  <si>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</si>
  <si>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</si>
  <si>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</si>
  <si>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</si>
  <si>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</si>
  <si>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</si>
  <si>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</si>
  <si>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</si>
  <si>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</si>
  <si>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</si>
  <si>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</si>
  <si>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</si>
  <si>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</si>
  <si>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</si>
  <si>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</si>
  <si>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</si>
  <si>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</si>
  <si>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</si>
  <si>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</si>
  <si>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</si>
  <si>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</si>
  <si>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</si>
  <si>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</si>
  <si>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</si>
  <si>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</si>
  <si>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</si>
  <si>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</si>
  <si>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</si>
  <si>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</si>
  <si>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</si>
  <si>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</si>
  <si>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</si>
  <si>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</si>
  <si>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</si>
  <si>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</si>
  <si>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</si>
  <si>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</si>
  <si>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</si>
  <si>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</si>
  <si>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</si>
  <si>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</si>
  <si>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</si>
  <si>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</si>
  <si>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</si>
  <si>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</si>
  <si>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</si>
  <si>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</si>
  <si>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</si>
  <si>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</si>
  <si>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</si>
  <si>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</si>
  <si>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</si>
  <si>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</si>
  <si>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</si>
  <si>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</si>
  <si>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</si>
  <si>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</si>
  <si>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</si>
  <si>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</si>
  <si>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</si>
  <si>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</si>
  <si>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</si>
  <si>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</si>
  <si>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</si>
  <si>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</si>
  <si>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</si>
  <si>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</si>
  <si>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</si>
  <si>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</si>
  <si>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</si>
  <si>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</si>
  <si>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</si>
  <si>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</si>
  <si>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</si>
  <si>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</si>
  <si>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</si>
  <si>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</si>
  <si>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</si>
  <si>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</si>
  <si>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</si>
  <si>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</si>
  <si>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</si>
  <si>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</si>
  <si>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</si>
  <si>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</si>
  <si>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</si>
  <si>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</si>
  <si>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</si>
  <si>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</si>
  <si>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</si>
  <si>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</si>
  <si>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</si>
  <si>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</si>
  <si>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</si>
  <si>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</si>
  <si>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</si>
  <si>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</si>
  <si>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</si>
  <si>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</si>
  <si>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</si>
  <si>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</si>
  <si>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</si>
  <si>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</si>
  <si>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</si>
  <si>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</si>
  <si>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</si>
  <si>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</si>
  <si>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</si>
  <si>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</si>
  <si>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</si>
  <si>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</si>
  <si>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</si>
  <si>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</si>
  <si>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</si>
  <si>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</si>
  <si>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</si>
  <si>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</si>
  <si>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</si>
  <si>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</si>
  <si>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</si>
  <si>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</si>
  <si>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</si>
  <si>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</si>
  <si>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</si>
  <si>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</si>
  <si>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</si>
  <si>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</si>
  <si>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</si>
  <si>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</si>
  <si>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</si>
  <si>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</si>
  <si>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</si>
  <si>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</si>
  <si>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</si>
  <si>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</si>
  <si>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</si>
  <si>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</si>
  <si>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</si>
  <si>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</si>
  <si>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</si>
  <si>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</si>
  <si>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</si>
  <si>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</si>
  <si>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</si>
  <si>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</si>
  <si>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</si>
  <si>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</si>
  <si>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</si>
  <si>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</si>
  <si>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</si>
  <si>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</si>
  <si>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</si>
  <si>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</si>
  <si>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</si>
  <si>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</si>
  <si>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</si>
  <si>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</si>
  <si>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</si>
  <si>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</si>
  <si>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</si>
  <si>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</si>
  <si>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</si>
  <si>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</si>
  <si>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</si>
  <si>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</si>
  <si>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</si>
  <si>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</si>
  <si>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</si>
  <si>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</si>
  <si>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</si>
  <si>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</si>
  <si>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</si>
  <si>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</si>
  <si>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</si>
  <si>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</si>
  <si>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</si>
  <si>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</si>
  <si>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</si>
  <si>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</si>
  <si>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</si>
  <si>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</si>
  <si>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</si>
  <si>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</si>
  <si>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</si>
  <si>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</si>
  <si>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</si>
  <si>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</si>
  <si>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</si>
  <si>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</si>
  <si>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</si>
  <si>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</si>
  <si>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</si>
  <si>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</si>
  <si>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</si>
  <si>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</si>
  <si>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</si>
  <si>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</si>
  <si>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</si>
  <si>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</si>
  <si>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</si>
  <si>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</si>
  <si>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</si>
  <si>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</si>
  <si>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</si>
  <si>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</si>
  <si>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</si>
  <si>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</si>
  <si>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</si>
  <si>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</si>
  <si>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</si>
  <si>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</si>
  <si>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</si>
  <si>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</si>
  <si>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</si>
  <si>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</si>
  <si>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</si>
  <si>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</si>
  <si>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</si>
  <si>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</si>
  <si>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</si>
  <si>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</si>
  <si>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</si>
  <si>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</si>
  <si>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</si>
  <si>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</si>
  <si>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</si>
  <si>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</si>
  <si>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</si>
  <si>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</si>
  <si>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</si>
  <si>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</si>
  <si>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</si>
  <si>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</si>
  <si>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</si>
  <si>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</si>
  <si>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</si>
  <si>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</si>
  <si>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</si>
  <si>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</si>
  <si>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</si>
  <si>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</si>
  <si>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</si>
  <si>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</si>
  <si>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</si>
  <si>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</si>
  <si>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</si>
  <si>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</si>
  <si>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</si>
  <si>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</si>
  <si>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</si>
  <si>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</si>
  <si>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</si>
  <si>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</si>
  <si>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</si>
  <si>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</si>
  <si>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</si>
  <si>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</si>
  <si>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</si>
  <si>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</si>
  <si>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</si>
  <si>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</si>
  <si>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</si>
  <si>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</si>
  <si>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</si>
  <si>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</si>
  <si>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</si>
  <si>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</si>
  <si>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</si>
  <si>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</si>
  <si>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</si>
  <si>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</si>
  <si>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</si>
  <si>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</si>
  <si>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</si>
  <si>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</si>
  <si>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</si>
  <si>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</si>
  <si>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</si>
  <si>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</si>
  <si>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</si>
  <si>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</si>
  <si>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</si>
  <si>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</si>
  <si>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</si>
  <si>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</si>
  <si>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</si>
  <si>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</si>
  <si>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</si>
  <si>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</si>
  <si>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</si>
  <si>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</si>
  <si>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</si>
  <si>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</si>
  <si>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</si>
  <si>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</si>
  <si>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</si>
  <si>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</si>
  <si>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</si>
  <si>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</si>
  <si>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</si>
  <si>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</si>
  <si>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</si>
  <si>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</si>
  <si>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</si>
  <si>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</si>
  <si>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</si>
  <si>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</si>
  <si>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</si>
  <si>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</si>
  <si>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</si>
  <si>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</si>
  <si>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</si>
  <si>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</si>
  <si>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</si>
  <si>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</si>
  <si>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</si>
  <si>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</si>
  <si>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</si>
  <si>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</si>
  <si>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</si>
  <si>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</si>
  <si>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</si>
  <si>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</si>
  <si>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</si>
  <si>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</si>
  <si>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</si>
  <si>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</si>
  <si>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</si>
  <si>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</si>
  <si>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</si>
  <si>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</si>
  <si>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</si>
  <si>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</si>
  <si>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</si>
  <si>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</si>
  <si>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</si>
  <si>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</si>
  <si>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</si>
  <si>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</si>
  <si>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</si>
  <si>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</si>
  <si>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</si>
  <si>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</si>
  <si>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</si>
  <si>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</si>
  <si>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</si>
  <si>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</si>
  <si>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</si>
  <si>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TIMBERLANE REGIONAL SCHOOL DISTRICT</t>
  </si>
  <si>
    <t>07/99</t>
  </si>
  <si>
    <t>8/19</t>
  </si>
  <si>
    <t>(4.25 to 5.25)</t>
  </si>
  <si>
    <t>prior year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</si>
</sst>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EB1-B5EE-44FF-8D9D-665A0A18A5BF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534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1071253.19+1900</f>
        <v>1073153.19</v>
      </c>
      <c r="G9" s="18">
        <f>199906.95+120</f>
        <v>200026.95</v>
      </c>
      <c r="H9" s="18">
        <v>32341.65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428466.33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748840.39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962672.46</v>
      </c>
      <c r="G13" s="18">
        <v>19450.84</v>
      </c>
      <c r="H13" s="18">
        <v>498468.35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90917.759999999995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30851.14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102665.19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2887331.23</v>
      </c>
      <c r="G19" s="41">
        <f>SUM(G9:G18)</f>
        <v>341246.69</v>
      </c>
      <c r="H19" s="41">
        <f>SUM(H9:H18)</f>
        <v>530810</v>
      </c>
      <c r="I19" s="41">
        <f>SUM(I9:I18)</f>
        <v>0</v>
      </c>
      <c r="J19" s="41">
        <f>SUM(J9:J18)</f>
        <v>428466.33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262134.39</v>
      </c>
      <c r="H23" s="18">
        <v>486706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39414.53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103912.61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154467.93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2125</v>
      </c>
      <c r="G31" s="18">
        <v>26822.19</v>
      </c>
      <c r="H31" s="18">
        <v>15131.97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299920.07</v>
      </c>
      <c r="G33" s="41">
        <f>SUM(G23:G32)</f>
        <v>288956.58</v>
      </c>
      <c r="H33" s="41">
        <f>SUM(H23:H32)</f>
        <v>501837.97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30851.14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349979.66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21438.97</v>
      </c>
      <c r="H41" s="18">
        <v>28972.03</v>
      </c>
      <c r="I41" s="18"/>
      <c r="J41" s="13">
        <f>SUM(I449)</f>
        <v>428466.33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2137431.5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2587411.16</v>
      </c>
      <c r="G43" s="41">
        <f>SUM(G35:G42)</f>
        <v>52290.11</v>
      </c>
      <c r="H43" s="41">
        <f>SUM(H35:H42)</f>
        <v>28972.03</v>
      </c>
      <c r="I43" s="41">
        <f>SUM(I35:I42)</f>
        <v>0</v>
      </c>
      <c r="J43" s="41">
        <f>SUM(J35:J42)</f>
        <v>428466.33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2887331.23</v>
      </c>
      <c r="G44" s="41">
        <f>G43+G33</f>
        <v>341246.69</v>
      </c>
      <c r="H44" s="41">
        <f>H43+H33</f>
        <v>530810</v>
      </c>
      <c r="I44" s="41">
        <f>I43+I33</f>
        <v>0</v>
      </c>
      <c r="J44" s="41">
        <f>J43+J33</f>
        <v>428466.33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34890926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235561.71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35126487.710000001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84557.95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16271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105032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11745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9604.32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227210.27000000002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9435.11</v>
      </c>
      <c r="G88" s="18">
        <v>590.41999999999996</v>
      </c>
      <c r="H88" s="18">
        <v>57.58</v>
      </c>
      <c r="I88" s="18">
        <v>43.96</v>
      </c>
      <c r="J88" s="18">
        <v>1003.91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1150892.8799999999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3313.61</v>
      </c>
      <c r="G93" s="18"/>
      <c r="H93" s="18">
        <v>44705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278211.34000000003</v>
      </c>
      <c r="G102" s="18"/>
      <c r="H102" s="18">
        <f>16732.6+40571.63</f>
        <v>57304.229999999996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290960.06000000006</v>
      </c>
      <c r="G103" s="41">
        <f>SUM(G88:G102)</f>
        <v>1151483.2999999998</v>
      </c>
      <c r="H103" s="41">
        <f>SUM(H88:H102)</f>
        <v>102066.81</v>
      </c>
      <c r="I103" s="41">
        <f>SUM(I88:I102)</f>
        <v>43.96</v>
      </c>
      <c r="J103" s="41">
        <f>SUM(J88:J102)</f>
        <v>1003.91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35644658.040000007</v>
      </c>
      <c r="G104" s="41">
        <f>G52+G103</f>
        <v>1151483.2999999998</v>
      </c>
      <c r="H104" s="41">
        <f>H52+H71+H86+H103</f>
        <v>102066.81</v>
      </c>
      <c r="I104" s="41">
        <f>I52+I103</f>
        <v>43.96</v>
      </c>
      <c r="J104" s="41">
        <f>J52+J103</f>
        <v>1003.91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8379464.2400000002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6518931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3214938.76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18113334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1103810.6599999999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370875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657012.18000000005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20565.759999999998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19517.75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35400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2187663.5999999996</v>
      </c>
      <c r="G128" s="41">
        <f>SUM(G115:G127)</f>
        <v>19517.75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20300997.600000001</v>
      </c>
      <c r="G132" s="41">
        <f>G113+SUM(G128:G129)</f>
        <v>19517.75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174035.67</f>
        <v>174035.67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238849.98+99973.75</f>
        <v>338823.73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329379.92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865592.35+366750.81</f>
        <v>1232343.1599999999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635051.5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3378.45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635051.5</v>
      </c>
      <c r="G154" s="41">
        <f>SUM(G142:G153)</f>
        <v>329379.92</v>
      </c>
      <c r="H154" s="41">
        <f>SUM(H142:H153)</f>
        <v>1748581.01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635051.5</v>
      </c>
      <c r="G161" s="41">
        <f>G139+G154+SUM(G155:G160)</f>
        <v>329379.92</v>
      </c>
      <c r="H161" s="41">
        <f>H139+H154+SUM(H155:H160)</f>
        <v>1748581.01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56580707.140000008</v>
      </c>
      <c r="G185" s="47">
        <f>G104+G132+G161+G184</f>
        <v>1500380.9699999997</v>
      </c>
      <c r="H185" s="47">
        <f>H104+H132+H161+H184</f>
        <v>1850647.82</v>
      </c>
      <c r="I185" s="47">
        <f>I104+I132+I161+I184</f>
        <v>43.96</v>
      </c>
      <c r="J185" s="47">
        <f>J104+J132+J184</f>
        <v>101003.91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7274868.6900000004</v>
      </c>
      <c r="G189" s="18">
        <v>2710789.02</v>
      </c>
      <c r="H189" s="18">
        <v>19866.189999999999</v>
      </c>
      <c r="I189" s="18">
        <v>389072.11</v>
      </c>
      <c r="J189" s="18">
        <v>196214.94</v>
      </c>
      <c r="K189" s="18">
        <v>1470.03</v>
      </c>
      <c r="L189" s="19">
        <f>SUM(F189:K189)</f>
        <v>10592280.979999999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1926611.6</v>
      </c>
      <c r="G190" s="18">
        <v>717901.28</v>
      </c>
      <c r="H190" s="18">
        <v>381669.3</v>
      </c>
      <c r="I190" s="18">
        <v>16032.94</v>
      </c>
      <c r="J190" s="18">
        <v>15130.25</v>
      </c>
      <c r="K190" s="18">
        <v>161.32</v>
      </c>
      <c r="L190" s="19">
        <f>SUM(F190:K190)</f>
        <v>3057506.6899999995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67788.69</v>
      </c>
      <c r="G192" s="18">
        <v>25259.68</v>
      </c>
      <c r="H192" s="18">
        <v>3569.7</v>
      </c>
      <c r="I192" s="18"/>
      <c r="J192" s="18"/>
      <c r="K192" s="18">
        <v>1270</v>
      </c>
      <c r="L192" s="19">
        <f>SUM(F192:K192)</f>
        <v>97888.069999999992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1190734.53</v>
      </c>
      <c r="G194" s="18">
        <v>443695.99</v>
      </c>
      <c r="H194" s="18">
        <v>65118.97</v>
      </c>
      <c r="I194" s="18">
        <v>18412.05</v>
      </c>
      <c r="J194" s="18">
        <v>3742.97</v>
      </c>
      <c r="K194" s="18">
        <v>6392.79</v>
      </c>
      <c r="L194" s="19">
        <f t="shared" ref="L194:L200" si="0">SUM(F194:K194)</f>
        <v>1728097.3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269264.11</v>
      </c>
      <c r="G195" s="18">
        <v>153395.85999999999</v>
      </c>
      <c r="H195" s="18">
        <v>32430.13</v>
      </c>
      <c r="I195" s="18">
        <v>55723.82</v>
      </c>
      <c r="J195" s="18">
        <v>10516.6</v>
      </c>
      <c r="K195" s="18"/>
      <c r="L195" s="19">
        <f t="shared" si="0"/>
        <v>521330.51999999996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213561.79</v>
      </c>
      <c r="G196" s="18">
        <v>79578.2</v>
      </c>
      <c r="H196" s="18">
        <v>413663.89</v>
      </c>
      <c r="I196" s="18">
        <v>3470.91</v>
      </c>
      <c r="J196" s="18"/>
      <c r="K196" s="18">
        <v>10620.72</v>
      </c>
      <c r="L196" s="19">
        <f t="shared" si="0"/>
        <v>720895.51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971823.29</v>
      </c>
      <c r="G197" s="18">
        <v>362124.46</v>
      </c>
      <c r="H197" s="18">
        <v>90820.91</v>
      </c>
      <c r="I197" s="18">
        <v>21127.63</v>
      </c>
      <c r="J197" s="18">
        <v>2891.65</v>
      </c>
      <c r="K197" s="18">
        <v>1074</v>
      </c>
      <c r="L197" s="19">
        <f t="shared" si="0"/>
        <v>1449861.9399999997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20757.25</v>
      </c>
      <c r="I198" s="18"/>
      <c r="J198" s="18"/>
      <c r="K198" s="18"/>
      <c r="L198" s="19">
        <f t="shared" si="0"/>
        <v>20757.25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723944.25</v>
      </c>
      <c r="G199" s="18">
        <v>278364.84999999998</v>
      </c>
      <c r="H199" s="18">
        <v>257937.5</v>
      </c>
      <c r="I199" s="18">
        <v>493819.33</v>
      </c>
      <c r="J199" s="18">
        <v>18425.71</v>
      </c>
      <c r="K199" s="18"/>
      <c r="L199" s="19">
        <f t="shared" si="0"/>
        <v>1772491.6400000001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931706.21+11970.23</f>
        <v>943676.44</v>
      </c>
      <c r="I200" s="18"/>
      <c r="J200" s="18"/>
      <c r="K200" s="18"/>
      <c r="L200" s="19">
        <f t="shared" si="0"/>
        <v>943676.44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49623.71</v>
      </c>
      <c r="G201" s="18">
        <v>18490.97</v>
      </c>
      <c r="H201" s="18"/>
      <c r="I201" s="18">
        <v>33645.78</v>
      </c>
      <c r="J201" s="18">
        <v>1450.09</v>
      </c>
      <c r="K201" s="18"/>
      <c r="L201" s="19">
        <f>SUM(F201:K201)</f>
        <v>103210.54999999999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12688220.66</v>
      </c>
      <c r="G203" s="41">
        <f t="shared" si="1"/>
        <v>4789600.3099999996</v>
      </c>
      <c r="H203" s="41">
        <f t="shared" si="1"/>
        <v>2229510.2800000003</v>
      </c>
      <c r="I203" s="41">
        <f t="shared" si="1"/>
        <v>1031304.5700000001</v>
      </c>
      <c r="J203" s="41">
        <f t="shared" si="1"/>
        <v>248372.21</v>
      </c>
      <c r="K203" s="41">
        <f t="shared" si="1"/>
        <v>20988.86</v>
      </c>
      <c r="L203" s="41">
        <f t="shared" si="1"/>
        <v>21007996.890000001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4415369.3</v>
      </c>
      <c r="G207" s="18">
        <v>1645271.57</v>
      </c>
      <c r="H207" s="18">
        <v>17072.64</v>
      </c>
      <c r="I207" s="18">
        <v>227248.86</v>
      </c>
      <c r="J207" s="18">
        <v>158783.26999999999</v>
      </c>
      <c r="K207" s="18">
        <v>1681.13</v>
      </c>
      <c r="L207" s="19">
        <f>SUM(F207:K207)</f>
        <v>6465426.7699999996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1695896.76</v>
      </c>
      <c r="G208" s="18">
        <v>631931.44999999995</v>
      </c>
      <c r="H208" s="18">
        <v>304915.52</v>
      </c>
      <c r="I208" s="18">
        <v>12639.75</v>
      </c>
      <c r="J208" s="18">
        <v>9711.64</v>
      </c>
      <c r="K208" s="18">
        <v>101.91</v>
      </c>
      <c r="L208" s="19">
        <f>SUM(F208:K208)</f>
        <v>2655197.0300000003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95205.05</v>
      </c>
      <c r="G210" s="18">
        <v>35475.660000000003</v>
      </c>
      <c r="H210" s="18">
        <v>30276.3</v>
      </c>
      <c r="I210" s="18">
        <v>5778.67</v>
      </c>
      <c r="J210" s="18">
        <v>3151.3</v>
      </c>
      <c r="K210" s="18">
        <v>1295</v>
      </c>
      <c r="L210" s="19">
        <f>SUM(F210:K210)</f>
        <v>171181.98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735929.53</v>
      </c>
      <c r="G212" s="18">
        <v>274224.84000000003</v>
      </c>
      <c r="H212" s="18">
        <v>41332.11</v>
      </c>
      <c r="I212" s="18">
        <v>9789.36</v>
      </c>
      <c r="J212" s="18">
        <v>1400.41</v>
      </c>
      <c r="K212" s="18">
        <v>4038.27</v>
      </c>
      <c r="L212" s="19">
        <f t="shared" ref="L212:L218" si="2">SUM(F212:K212)</f>
        <v>1066714.5200000003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113210.79</v>
      </c>
      <c r="G213" s="18">
        <v>75703.600000000006</v>
      </c>
      <c r="H213" s="18">
        <v>20841.13</v>
      </c>
      <c r="I213" s="18">
        <v>30820.41</v>
      </c>
      <c r="J213" s="18">
        <v>3701.05</v>
      </c>
      <c r="K213" s="18"/>
      <c r="L213" s="19">
        <f t="shared" si="2"/>
        <v>244276.98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134905.07999999999</v>
      </c>
      <c r="G214" s="18">
        <v>50268.84</v>
      </c>
      <c r="H214" s="18">
        <v>261307.79</v>
      </c>
      <c r="I214" s="18">
        <v>2192.54</v>
      </c>
      <c r="J214" s="18"/>
      <c r="K214" s="18">
        <v>6709.02</v>
      </c>
      <c r="L214" s="19">
        <f t="shared" si="2"/>
        <v>455383.26999999996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472572.86</v>
      </c>
      <c r="G215" s="18">
        <v>176091.88</v>
      </c>
      <c r="H215" s="18">
        <v>21083.29</v>
      </c>
      <c r="I215" s="18">
        <v>22576.76</v>
      </c>
      <c r="J215" s="18">
        <v>5858.29</v>
      </c>
      <c r="K215" s="18">
        <v>464</v>
      </c>
      <c r="L215" s="19">
        <f t="shared" si="2"/>
        <v>698647.08000000007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13112.17</v>
      </c>
      <c r="I216" s="18"/>
      <c r="J216" s="18"/>
      <c r="K216" s="18"/>
      <c r="L216" s="19">
        <f t="shared" si="2"/>
        <v>13112.17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214943.61</v>
      </c>
      <c r="G217" s="18">
        <v>85529.44</v>
      </c>
      <c r="H217" s="18">
        <v>162936.82</v>
      </c>
      <c r="I217" s="18">
        <v>234971.17</v>
      </c>
      <c r="J217" s="18">
        <v>11639.36</v>
      </c>
      <c r="K217" s="18"/>
      <c r="L217" s="19">
        <f t="shared" si="2"/>
        <v>710020.4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610459.22</v>
      </c>
      <c r="I218" s="18"/>
      <c r="J218" s="18"/>
      <c r="K218" s="18"/>
      <c r="L218" s="19">
        <f t="shared" si="2"/>
        <v>610459.22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31346.85</v>
      </c>
      <c r="G219" s="18">
        <v>11680.58</v>
      </c>
      <c r="H219" s="18"/>
      <c r="I219" s="18">
        <v>21253.74</v>
      </c>
      <c r="J219" s="18">
        <v>916.01</v>
      </c>
      <c r="K219" s="18"/>
      <c r="L219" s="19">
        <f>SUM(F219:K219)</f>
        <v>65197.18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7909379.8300000001</v>
      </c>
      <c r="G221" s="41">
        <f>SUM(G207:G220)</f>
        <v>2986177.86</v>
      </c>
      <c r="H221" s="41">
        <f>SUM(H207:H220)</f>
        <v>1483336.99</v>
      </c>
      <c r="I221" s="41">
        <f>SUM(I207:I220)</f>
        <v>567271.26</v>
      </c>
      <c r="J221" s="41">
        <f>SUM(J207:J220)</f>
        <v>195161.32999999996</v>
      </c>
      <c r="K221" s="41">
        <f t="shared" si="3"/>
        <v>14289.33</v>
      </c>
      <c r="L221" s="41">
        <f t="shared" si="3"/>
        <v>13155616.600000001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5299971.3499999996</v>
      </c>
      <c r="G225" s="18">
        <v>1974895.32</v>
      </c>
      <c r="H225" s="18">
        <v>37956.06</v>
      </c>
      <c r="I225" s="18">
        <v>321779.38</v>
      </c>
      <c r="J225" s="18">
        <v>224414.48</v>
      </c>
      <c r="K225" s="18">
        <v>4427.83</v>
      </c>
      <c r="L225" s="19">
        <f>SUM(F225:K225)</f>
        <v>7863444.4199999999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1901903.06</v>
      </c>
      <c r="G226" s="18">
        <v>708694.29</v>
      </c>
      <c r="H226" s="18">
        <v>1360419.36</v>
      </c>
      <c r="I226" s="18">
        <v>13165.63</v>
      </c>
      <c r="J226" s="18">
        <v>13409.14</v>
      </c>
      <c r="K226" s="18">
        <v>136.77000000000001</v>
      </c>
      <c r="L226" s="19">
        <f>SUM(F226:K226)</f>
        <v>3997728.25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33277.42</v>
      </c>
      <c r="I227" s="18"/>
      <c r="J227" s="18"/>
      <c r="K227" s="18"/>
      <c r="L227" s="19">
        <f>SUM(F227:K227)</f>
        <v>33277.42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423229.95</v>
      </c>
      <c r="G228" s="18">
        <v>157705.54</v>
      </c>
      <c r="H228" s="18">
        <f>98441.71+0.01</f>
        <v>98441.72</v>
      </c>
      <c r="I228" s="18">
        <v>38274.639999999999</v>
      </c>
      <c r="J228" s="18">
        <v>29248.48</v>
      </c>
      <c r="K228" s="18">
        <v>51407.54</v>
      </c>
      <c r="L228" s="19">
        <f>SUM(F228:K228)</f>
        <v>798307.87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1035707.32</v>
      </c>
      <c r="G230" s="18">
        <v>385929.17</v>
      </c>
      <c r="H230" s="18">
        <v>63656.58</v>
      </c>
      <c r="I230" s="18">
        <v>13899.07</v>
      </c>
      <c r="J230" s="18">
        <v>2489.16</v>
      </c>
      <c r="K230" s="18">
        <v>5419.74</v>
      </c>
      <c r="L230" s="19">
        <f t="shared" ref="L230:L236" si="4">SUM(F230:K230)</f>
        <v>1507101.04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106265.47</v>
      </c>
      <c r="G231" s="18">
        <v>84582.13</v>
      </c>
      <c r="H231" s="18">
        <v>23980.17</v>
      </c>
      <c r="I231" s="18">
        <v>51071.46</v>
      </c>
      <c r="J231" s="18">
        <v>5375.61</v>
      </c>
      <c r="K231" s="18"/>
      <c r="L231" s="19">
        <f t="shared" si="4"/>
        <v>271274.84000000003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181055.35999999999</v>
      </c>
      <c r="G232" s="18">
        <v>67465.53</v>
      </c>
      <c r="H232" s="18">
        <v>350699.74</v>
      </c>
      <c r="I232" s="18">
        <v>2942.6</v>
      </c>
      <c r="J232" s="18"/>
      <c r="K232" s="18">
        <v>9004.1299999999992</v>
      </c>
      <c r="L232" s="19">
        <f t="shared" si="4"/>
        <v>611167.36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594559.81999999995</v>
      </c>
      <c r="G233" s="18">
        <v>221547.12</v>
      </c>
      <c r="H233" s="18">
        <v>26469.87</v>
      </c>
      <c r="I233" s="18">
        <v>47989.47</v>
      </c>
      <c r="J233" s="18">
        <v>1752.29</v>
      </c>
      <c r="K233" s="18">
        <v>10880</v>
      </c>
      <c r="L233" s="19">
        <f t="shared" si="4"/>
        <v>903198.57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17597.77</v>
      </c>
      <c r="I234" s="18"/>
      <c r="J234" s="18"/>
      <c r="K234" s="18"/>
      <c r="L234" s="19">
        <f t="shared" si="4"/>
        <v>17597.77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472345.04</v>
      </c>
      <c r="G235" s="18">
        <v>183303.07</v>
      </c>
      <c r="H235" s="18">
        <v>299075.12</v>
      </c>
      <c r="I235" s="18">
        <v>283147.40999999997</v>
      </c>
      <c r="J235" s="18">
        <v>15621.12</v>
      </c>
      <c r="K235" s="18"/>
      <c r="L235" s="19">
        <f t="shared" si="4"/>
        <v>1253491.76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916449.49</v>
      </c>
      <c r="I236" s="18"/>
      <c r="J236" s="18"/>
      <c r="K236" s="18"/>
      <c r="L236" s="19">
        <f t="shared" si="4"/>
        <v>916449.49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42070.44</v>
      </c>
      <c r="G237" s="18">
        <v>15676.45</v>
      </c>
      <c r="H237" s="18"/>
      <c r="I237" s="18">
        <v>28524.53</v>
      </c>
      <c r="J237" s="18">
        <v>1229.3699999999999</v>
      </c>
      <c r="K237" s="18"/>
      <c r="L237" s="19">
        <f>SUM(F237:K237)</f>
        <v>87500.79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10057107.809999999</v>
      </c>
      <c r="G239" s="41">
        <f t="shared" si="5"/>
        <v>3799798.62</v>
      </c>
      <c r="H239" s="41">
        <f t="shared" si="5"/>
        <v>3228023.3</v>
      </c>
      <c r="I239" s="41">
        <f t="shared" si="5"/>
        <v>800794.19</v>
      </c>
      <c r="J239" s="41">
        <f t="shared" si="5"/>
        <v>293539.64999999991</v>
      </c>
      <c r="K239" s="41">
        <f t="shared" si="5"/>
        <v>81276.009999999995</v>
      </c>
      <c r="L239" s="41">
        <f t="shared" si="5"/>
        <v>18260539.579999998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125626.6</v>
      </c>
      <c r="G243" s="18">
        <v>46811.46</v>
      </c>
      <c r="H243" s="18">
        <v>200</v>
      </c>
      <c r="I243" s="18">
        <v>29222.400000000001</v>
      </c>
      <c r="J243" s="18"/>
      <c r="K243" s="18"/>
      <c r="L243" s="19">
        <f t="shared" si="6"/>
        <v>201860.46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76442+411200.72+17335+208160.97</f>
        <v>713138.69</v>
      </c>
      <c r="I247" s="18"/>
      <c r="J247" s="18"/>
      <c r="K247" s="18"/>
      <c r="L247" s="19">
        <f t="shared" si="6"/>
        <v>713138.69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125626.6</v>
      </c>
      <c r="G248" s="41">
        <f t="shared" si="7"/>
        <v>46811.46</v>
      </c>
      <c r="H248" s="41">
        <f t="shared" si="7"/>
        <v>713338.69</v>
      </c>
      <c r="I248" s="41">
        <f t="shared" si="7"/>
        <v>29222.400000000001</v>
      </c>
      <c r="J248" s="41">
        <f t="shared" si="7"/>
        <v>0</v>
      </c>
      <c r="K248" s="41">
        <f t="shared" si="7"/>
        <v>0</v>
      </c>
      <c r="L248" s="41">
        <f>SUM(F248:K248)</f>
        <v>914999.15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30780334.900000002</v>
      </c>
      <c r="G249" s="41">
        <f t="shared" si="8"/>
        <v>11622388.25</v>
      </c>
      <c r="H249" s="41">
        <f t="shared" si="8"/>
        <v>7654209.2599999998</v>
      </c>
      <c r="I249" s="41">
        <f t="shared" si="8"/>
        <v>2428592.42</v>
      </c>
      <c r="J249" s="41">
        <f t="shared" si="8"/>
        <v>737073.18999999983</v>
      </c>
      <c r="K249" s="41">
        <f t="shared" si="8"/>
        <v>116554.2</v>
      </c>
      <c r="L249" s="41">
        <f t="shared" si="8"/>
        <v>53339152.219999999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1600000</v>
      </c>
      <c r="L252" s="19">
        <f>SUM(F252:K252)</f>
        <v>1600000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882000</v>
      </c>
      <c r="L253" s="19">
        <f>SUM(F253:K253)</f>
        <v>882000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2582000</v>
      </c>
      <c r="L262" s="41">
        <f t="shared" si="9"/>
        <v>2582000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30780334.900000002</v>
      </c>
      <c r="G263" s="42">
        <f t="shared" si="11"/>
        <v>11622388.25</v>
      </c>
      <c r="H263" s="42">
        <f t="shared" si="11"/>
        <v>7654209.2599999998</v>
      </c>
      <c r="I263" s="42">
        <f t="shared" si="11"/>
        <v>2428592.42</v>
      </c>
      <c r="J263" s="42">
        <f t="shared" si="11"/>
        <v>737073.18999999983</v>
      </c>
      <c r="K263" s="42">
        <f t="shared" si="11"/>
        <v>2698554.2</v>
      </c>
      <c r="L263" s="42">
        <f t="shared" si="11"/>
        <v>55921152.219999999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88433.29</v>
      </c>
      <c r="G268" s="18">
        <v>3055.12</v>
      </c>
      <c r="H268" s="18">
        <v>44120.76</v>
      </c>
      <c r="I268" s="18">
        <v>13556.89</v>
      </c>
      <c r="J268" s="18">
        <v>41084.870000000003</v>
      </c>
      <c r="K268" s="18"/>
      <c r="L268" s="19">
        <f>SUM(F268:K268)</f>
        <v>190250.93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295902.40000000002</v>
      </c>
      <c r="G269" s="18">
        <v>4898.37</v>
      </c>
      <c r="H269" s="18">
        <v>68399.929999999993</v>
      </c>
      <c r="I269" s="18">
        <v>62869.31</v>
      </c>
      <c r="J269" s="18">
        <v>26400.89</v>
      </c>
      <c r="K269" s="18"/>
      <c r="L269" s="19">
        <f>SUM(F269:K269)</f>
        <v>458470.9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900</v>
      </c>
      <c r="G271" s="18"/>
      <c r="H271" s="18">
        <v>602.76</v>
      </c>
      <c r="I271" s="18">
        <v>168.89</v>
      </c>
      <c r="J271" s="18"/>
      <c r="K271" s="18">
        <v>590.91</v>
      </c>
      <c r="L271" s="19">
        <f>SUM(F271:K271)</f>
        <v>2262.56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8171.7</v>
      </c>
      <c r="G273" s="18"/>
      <c r="H273" s="18"/>
      <c r="I273" s="18"/>
      <c r="J273" s="18"/>
      <c r="K273" s="18"/>
      <c r="L273" s="19">
        <f t="shared" ref="L273:L279" si="12">SUM(F273:K273)</f>
        <v>8171.7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15514.64</v>
      </c>
      <c r="G274" s="18"/>
      <c r="H274" s="18">
        <v>38520.35</v>
      </c>
      <c r="I274" s="18">
        <v>4712.24</v>
      </c>
      <c r="J274" s="18"/>
      <c r="K274" s="18"/>
      <c r="L274" s="19">
        <f t="shared" si="12"/>
        <v>58747.229999999996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408922.03</v>
      </c>
      <c r="G282" s="42">
        <f t="shared" si="13"/>
        <v>7953.49</v>
      </c>
      <c r="H282" s="42">
        <f t="shared" si="13"/>
        <v>151643.79999999999</v>
      </c>
      <c r="I282" s="42">
        <f t="shared" si="13"/>
        <v>81307.33</v>
      </c>
      <c r="J282" s="42">
        <f t="shared" si="13"/>
        <v>67485.760000000009</v>
      </c>
      <c r="K282" s="42">
        <f t="shared" si="13"/>
        <v>590.91</v>
      </c>
      <c r="L282" s="41">
        <f t="shared" si="13"/>
        <v>717903.32000000007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55862.52</v>
      </c>
      <c r="G287" s="18">
        <v>1929.89</v>
      </c>
      <c r="H287" s="18">
        <v>27870.69</v>
      </c>
      <c r="I287" s="18">
        <v>8563.76</v>
      </c>
      <c r="J287" s="18">
        <v>20239.3</v>
      </c>
      <c r="K287" s="18"/>
      <c r="L287" s="19">
        <f>SUM(F287:K287)</f>
        <v>114466.15999999999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186918.91</v>
      </c>
      <c r="G288" s="18">
        <v>3094.26</v>
      </c>
      <c r="H288" s="18">
        <v>43207.63</v>
      </c>
      <c r="I288" s="18">
        <v>39713.980000000003</v>
      </c>
      <c r="J288" s="18">
        <v>16677.21</v>
      </c>
      <c r="K288" s="18"/>
      <c r="L288" s="19">
        <f>SUM(F288:K288)</f>
        <v>289611.99000000005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>
        <v>380.76</v>
      </c>
      <c r="I290" s="18">
        <v>106.69</v>
      </c>
      <c r="J290" s="18">
        <v>373.27</v>
      </c>
      <c r="K290" s="18"/>
      <c r="L290" s="19">
        <f>SUM(F290:K290)</f>
        <v>860.72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5161.99</v>
      </c>
      <c r="G292" s="18"/>
      <c r="H292" s="18"/>
      <c r="I292" s="18"/>
      <c r="J292" s="18"/>
      <c r="K292" s="18"/>
      <c r="L292" s="19">
        <f t="shared" ref="L292:L298" si="14">SUM(F292:K292)</f>
        <v>5161.99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9800.4599999999991</v>
      </c>
      <c r="G293" s="18"/>
      <c r="H293" s="18">
        <v>24332.959999999999</v>
      </c>
      <c r="I293" s="18">
        <v>2976.68</v>
      </c>
      <c r="J293" s="18"/>
      <c r="K293" s="18"/>
      <c r="L293" s="19">
        <f t="shared" si="14"/>
        <v>37110.1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257743.87999999998</v>
      </c>
      <c r="G301" s="42">
        <f t="shared" si="15"/>
        <v>5024.1500000000005</v>
      </c>
      <c r="H301" s="42">
        <f t="shared" si="15"/>
        <v>95792.039999999979</v>
      </c>
      <c r="I301" s="42">
        <f t="shared" si="15"/>
        <v>51361.110000000008</v>
      </c>
      <c r="J301" s="42">
        <f t="shared" si="15"/>
        <v>37289.779999999992</v>
      </c>
      <c r="K301" s="42">
        <f t="shared" si="15"/>
        <v>0</v>
      </c>
      <c r="L301" s="41">
        <f t="shared" si="15"/>
        <v>447210.95999999996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74972.78</v>
      </c>
      <c r="G306" s="18">
        <v>2590.09</v>
      </c>
      <c r="H306" s="18">
        <v>37405.1</v>
      </c>
      <c r="I306" s="18">
        <v>11493.38</v>
      </c>
      <c r="J306" s="18">
        <v>27163.06</v>
      </c>
      <c r="K306" s="18"/>
      <c r="L306" s="19">
        <f>SUM(F306:K306)</f>
        <v>153624.41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250862.83</v>
      </c>
      <c r="G307" s="18">
        <v>4152.79</v>
      </c>
      <c r="H307" s="18">
        <v>57988.72</v>
      </c>
      <c r="I307" s="18">
        <v>53299.91</v>
      </c>
      <c r="J307" s="18">
        <v>22382.39</v>
      </c>
      <c r="K307" s="18"/>
      <c r="L307" s="19">
        <f>SUM(F307:K307)</f>
        <v>388686.64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511.01</v>
      </c>
      <c r="I309" s="18">
        <v>143.19</v>
      </c>
      <c r="J309" s="18"/>
      <c r="K309" s="18">
        <v>500.97</v>
      </c>
      <c r="L309" s="19">
        <f>SUM(F309:K309)</f>
        <v>1155.17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6927.88</v>
      </c>
      <c r="G311" s="18"/>
      <c r="H311" s="18"/>
      <c r="I311" s="18"/>
      <c r="J311" s="18"/>
      <c r="K311" s="18"/>
      <c r="L311" s="19">
        <f t="shared" ref="L311:L317" si="16">SUM(F311:K311)</f>
        <v>6927.88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13153.14</v>
      </c>
      <c r="G312" s="18"/>
      <c r="H312" s="18">
        <v>32657.13</v>
      </c>
      <c r="I312" s="18">
        <v>3994.98</v>
      </c>
      <c r="J312" s="18"/>
      <c r="K312" s="18"/>
      <c r="L312" s="19">
        <f t="shared" si="16"/>
        <v>49805.250000000007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345916.63</v>
      </c>
      <c r="G320" s="42">
        <f t="shared" si="17"/>
        <v>6742.88</v>
      </c>
      <c r="H320" s="42">
        <f t="shared" si="17"/>
        <v>128561.96</v>
      </c>
      <c r="I320" s="42">
        <f t="shared" si="17"/>
        <v>68931.460000000006</v>
      </c>
      <c r="J320" s="42">
        <f t="shared" si="17"/>
        <v>49545.45</v>
      </c>
      <c r="K320" s="42">
        <f t="shared" si="17"/>
        <v>500.97</v>
      </c>
      <c r="L320" s="41">
        <f t="shared" si="17"/>
        <v>600199.35000000009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f>4713.08+3511.74+5559.26</f>
        <v>13784.08</v>
      </c>
      <c r="G327" s="18">
        <v>1585.54</v>
      </c>
      <c r="H327" s="18">
        <f>19553.36+12351.69+16577.13-0.02</f>
        <v>48482.160000000011</v>
      </c>
      <c r="I327" s="18">
        <f>551.21+410.71+650.17</f>
        <v>1612.0900000000001</v>
      </c>
      <c r="J327" s="18">
        <f>170.62+201.25+127.13</f>
        <v>499</v>
      </c>
      <c r="K327" s="18"/>
      <c r="L327" s="19">
        <f t="shared" si="18"/>
        <v>65962.87000000001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13784.08</v>
      </c>
      <c r="G329" s="41">
        <f t="shared" si="19"/>
        <v>1585.54</v>
      </c>
      <c r="H329" s="41">
        <f t="shared" si="19"/>
        <v>48482.160000000011</v>
      </c>
      <c r="I329" s="41">
        <f t="shared" si="19"/>
        <v>1612.0900000000001</v>
      </c>
      <c r="J329" s="41">
        <f t="shared" si="19"/>
        <v>499</v>
      </c>
      <c r="K329" s="41">
        <f t="shared" si="19"/>
        <v>0</v>
      </c>
      <c r="L329" s="41">
        <f t="shared" si="18"/>
        <v>65962.87000000001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1026366.62</v>
      </c>
      <c r="G330" s="41">
        <f t="shared" si="20"/>
        <v>21306.06</v>
      </c>
      <c r="H330" s="41">
        <f t="shared" si="20"/>
        <v>424479.96</v>
      </c>
      <c r="I330" s="41">
        <f t="shared" si="20"/>
        <v>203211.99000000002</v>
      </c>
      <c r="J330" s="41">
        <f t="shared" si="20"/>
        <v>154819.99</v>
      </c>
      <c r="K330" s="41">
        <f t="shared" si="20"/>
        <v>1091.8800000000001</v>
      </c>
      <c r="L330" s="41">
        <f t="shared" si="20"/>
        <v>1831276.5000000002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1026366.62</v>
      </c>
      <c r="G344" s="41">
        <f>G330</f>
        <v>21306.06</v>
      </c>
      <c r="H344" s="41">
        <f>H330</f>
        <v>424479.96</v>
      </c>
      <c r="I344" s="41">
        <f>I330</f>
        <v>203211.99000000002</v>
      </c>
      <c r="J344" s="41">
        <f>J330</f>
        <v>154819.99</v>
      </c>
      <c r="K344" s="47">
        <f>K330+K343</f>
        <v>1091.8800000000001</v>
      </c>
      <c r="L344" s="41">
        <f>L330+L343</f>
        <v>1831276.5000000002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220111.45</v>
      </c>
      <c r="G350" s="18">
        <v>48860.97</v>
      </c>
      <c r="H350" s="18">
        <f>364956.77-0.01</f>
        <v>364956.76</v>
      </c>
      <c r="I350" s="18">
        <v>12782.91</v>
      </c>
      <c r="J350" s="18"/>
      <c r="K350" s="18">
        <v>10251.66</v>
      </c>
      <c r="L350" s="13">
        <f>SUM(F350:K350)</f>
        <v>656963.75000000012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98603.04</v>
      </c>
      <c r="G351" s="18">
        <v>21888.18</v>
      </c>
      <c r="H351" s="18">
        <v>233359.92</v>
      </c>
      <c r="I351" s="18">
        <v>5915.47</v>
      </c>
      <c r="J351" s="18"/>
      <c r="K351" s="18">
        <v>5263.19</v>
      </c>
      <c r="L351" s="19">
        <f>SUM(F351:K351)</f>
        <v>365029.8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141303.74</v>
      </c>
      <c r="G352" s="18">
        <v>31367.01</v>
      </c>
      <c r="H352" s="18">
        <v>299064.71000000002</v>
      </c>
      <c r="I352" s="18">
        <v>11069.34</v>
      </c>
      <c r="J352" s="18"/>
      <c r="K352" s="18">
        <v>7063.7</v>
      </c>
      <c r="L352" s="19">
        <f>SUM(F352:K352)</f>
        <v>489868.50000000006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460018.23</v>
      </c>
      <c r="G354" s="47">
        <f t="shared" si="22"/>
        <v>102116.15999999999</v>
      </c>
      <c r="H354" s="47">
        <f t="shared" si="22"/>
        <v>897381.39000000013</v>
      </c>
      <c r="I354" s="47">
        <f t="shared" si="22"/>
        <v>29767.72</v>
      </c>
      <c r="J354" s="47">
        <f t="shared" si="22"/>
        <v>0</v>
      </c>
      <c r="K354" s="47">
        <f t="shared" si="22"/>
        <v>22578.55</v>
      </c>
      <c r="L354" s="47">
        <f t="shared" si="22"/>
        <v>1511862.05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9185.58</v>
      </c>
      <c r="G359" s="18">
        <v>5802.45</v>
      </c>
      <c r="H359" s="18">
        <v>7787.44</v>
      </c>
      <c r="I359" s="56">
        <f>SUM(F359:H359)</f>
        <v>22775.469999999998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3597.32</v>
      </c>
      <c r="G360" s="63">
        <v>113.02</v>
      </c>
      <c r="H360" s="63">
        <f>3281.9+0.01</f>
        <v>3281.9100000000003</v>
      </c>
      <c r="I360" s="56">
        <f>SUM(F360:H360)</f>
        <v>6992.25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12782.9</v>
      </c>
      <c r="G361" s="47">
        <f>SUM(G359:G360)</f>
        <v>5915.47</v>
      </c>
      <c r="H361" s="47">
        <f>SUM(H359:H360)</f>
        <v>11069.35</v>
      </c>
      <c r="I361" s="47">
        <f>SUM(I359:I360)</f>
        <v>29767.719999999998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8452.0400000000009</v>
      </c>
      <c r="I368" s="18"/>
      <c r="J368" s="18"/>
      <c r="K368" s="18"/>
      <c r="L368" s="13">
        <f t="shared" si="23"/>
        <v>8452.0400000000009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8452.0400000000009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8452.0400000000009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>
        <v>100000</v>
      </c>
      <c r="H380" s="18">
        <v>1003.91</v>
      </c>
      <c r="I380" s="18"/>
      <c r="J380" s="24" t="s">
        <v>312</v>
      </c>
      <c r="K380" s="24" t="s">
        <v>312</v>
      </c>
      <c r="L380" s="56">
        <f t="shared" si="25"/>
        <v>101003.91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100000</v>
      </c>
      <c r="H385" s="139">
        <f>SUM(H379:H384)</f>
        <v>1003.91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101003.91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1003.91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101003.91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428466.33</v>
      </c>
      <c r="G432" s="18"/>
      <c r="H432" s="18"/>
      <c r="I432" s="56">
        <f t="shared" si="33"/>
        <v>428466.33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428466.33</v>
      </c>
      <c r="G438" s="13">
        <f>SUM(G431:G437)</f>
        <v>0</v>
      </c>
      <c r="H438" s="13">
        <f>SUM(H431:H437)</f>
        <v>0</v>
      </c>
      <c r="I438" s="13">
        <f>SUM(I431:I437)</f>
        <v>428466.33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428466.33</v>
      </c>
      <c r="G449" s="18"/>
      <c r="H449" s="18"/>
      <c r="I449" s="56">
        <f>SUM(F449:H449)</f>
        <v>428466.33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428466.33</v>
      </c>
      <c r="G450" s="83">
        <f>SUM(G446:G449)</f>
        <v>0</v>
      </c>
      <c r="H450" s="83">
        <f>SUM(H446:H449)</f>
        <v>0</v>
      </c>
      <c r="I450" s="83">
        <f>SUM(I446:I449)</f>
        <v>428466.33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428466.33</v>
      </c>
      <c r="G451" s="42">
        <f>G444+G450</f>
        <v>0</v>
      </c>
      <c r="H451" s="42">
        <f>H444+H450</f>
        <v>0</v>
      </c>
      <c r="I451" s="42">
        <f>I444+I450</f>
        <v>428466.33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1927858.24</v>
      </c>
      <c r="G455" s="18">
        <v>63771.19</v>
      </c>
      <c r="H455" s="18">
        <v>9600.7099999999991</v>
      </c>
      <c r="I455" s="18">
        <v>8408.08</v>
      </c>
      <c r="J455" s="18">
        <v>327462.42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56580707.140000001</v>
      </c>
      <c r="G458" s="18">
        <v>1500380.97</v>
      </c>
      <c r="H458" s="18">
        <f>1298589.05+466724.56+85334.21</f>
        <v>1850647.82</v>
      </c>
      <c r="I458" s="18">
        <v>43.96</v>
      </c>
      <c r="J458" s="18">
        <v>101003.91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56580707.140000001</v>
      </c>
      <c r="G460" s="53">
        <f>SUM(G458:G459)</f>
        <v>1500380.97</v>
      </c>
      <c r="H460" s="53">
        <f>SUM(H458:H459)</f>
        <v>1850647.82</v>
      </c>
      <c r="I460" s="53">
        <f>SUM(I458:I459)</f>
        <v>43.96</v>
      </c>
      <c r="J460" s="53">
        <f>SUM(J458:J459)</f>
        <v>101003.91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55921152.219999999</v>
      </c>
      <c r="G462" s="18">
        <v>1511862.05</v>
      </c>
      <c r="H462" s="18">
        <f>1298589.05+466724.56+65962.89</f>
        <v>1831276.5</v>
      </c>
      <c r="I462" s="18">
        <v>8452.0400000000009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2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55921154.219999999</v>
      </c>
      <c r="G464" s="53">
        <f>SUM(G462:G463)</f>
        <v>1511862.05</v>
      </c>
      <c r="H464" s="53">
        <f>SUM(H462:H463)</f>
        <v>1831276.5</v>
      </c>
      <c r="I464" s="53">
        <f>SUM(I462:I463)</f>
        <v>8452.0400000000009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2587411.1600000039</v>
      </c>
      <c r="G466" s="53">
        <f>(G455+G460)- G464</f>
        <v>52290.10999999987</v>
      </c>
      <c r="H466" s="53">
        <f>(H455+H460)- H464</f>
        <v>28972.030000000028</v>
      </c>
      <c r="I466" s="53">
        <f>(I455+I460)- I464</f>
        <v>0</v>
      </c>
      <c r="J466" s="53">
        <f>(J455+J460)- J464</f>
        <v>428466.32999999996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898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32000000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271" t="s">
        <v>897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17600000</v>
      </c>
      <c r="G485" s="18"/>
      <c r="H485" s="18"/>
      <c r="I485" s="18"/>
      <c r="J485" s="18"/>
      <c r="K485" s="53">
        <f>SUM(F485:J485)</f>
        <v>17600000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1600000</v>
      </c>
      <c r="G487" s="18"/>
      <c r="H487" s="18"/>
      <c r="I487" s="18"/>
      <c r="J487" s="18"/>
      <c r="K487" s="53">
        <f t="shared" si="34"/>
        <v>1600000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16000000</v>
      </c>
      <c r="G488" s="205"/>
      <c r="H488" s="205"/>
      <c r="I488" s="205"/>
      <c r="J488" s="205"/>
      <c r="K488" s="206">
        <f t="shared" si="34"/>
        <v>16000000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4200000</v>
      </c>
      <c r="G489" s="18"/>
      <c r="H489" s="18"/>
      <c r="I489" s="18"/>
      <c r="J489" s="18"/>
      <c r="K489" s="53">
        <f t="shared" si="34"/>
        <v>4200000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20200000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20200000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1600000</v>
      </c>
      <c r="G491" s="205"/>
      <c r="H491" s="205"/>
      <c r="I491" s="205"/>
      <c r="J491" s="205"/>
      <c r="K491" s="206">
        <f t="shared" si="34"/>
        <v>1600000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798000</v>
      </c>
      <c r="G492" s="18"/>
      <c r="H492" s="18"/>
      <c r="I492" s="18"/>
      <c r="J492" s="18"/>
      <c r="K492" s="53">
        <f t="shared" si="34"/>
        <v>798000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2398000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2398000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2105861.89</v>
      </c>
      <c r="G511" s="18">
        <v>679070.12</v>
      </c>
      <c r="H511" s="18">
        <v>436998.27</v>
      </c>
      <c r="I511" s="18">
        <v>78336.61</v>
      </c>
      <c r="J511" s="18">
        <v>41531.14</v>
      </c>
      <c r="K511" s="18">
        <v>161.32</v>
      </c>
      <c r="L511" s="88">
        <f>SUM(F511:K511)</f>
        <v>3341959.35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1809116.3</v>
      </c>
      <c r="G512" s="18">
        <v>607328.59</v>
      </c>
      <c r="H512" s="18">
        <v>339865.08</v>
      </c>
      <c r="I512" s="18">
        <v>51996.37</v>
      </c>
      <c r="J512" s="18">
        <v>26388.85</v>
      </c>
      <c r="K512" s="18">
        <v>101.91</v>
      </c>
      <c r="L512" s="88">
        <f>SUM(F512:K512)</f>
        <v>2834797.1000000006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2053873.37</v>
      </c>
      <c r="G513" s="18">
        <v>675736.21</v>
      </c>
      <c r="H513" s="18">
        <v>1407327.1</v>
      </c>
      <c r="I513" s="18">
        <v>65986.02</v>
      </c>
      <c r="J513" s="18">
        <v>35791.53</v>
      </c>
      <c r="K513" s="18">
        <v>136.77000000000001</v>
      </c>
      <c r="L513" s="88">
        <f>SUM(F513:K513)</f>
        <v>4238851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5968851.5600000005</v>
      </c>
      <c r="G514" s="108">
        <f t="shared" ref="G514:L514" si="35">SUM(G511:G513)</f>
        <v>1962134.92</v>
      </c>
      <c r="H514" s="108">
        <f t="shared" si="35"/>
        <v>2184190.4500000002</v>
      </c>
      <c r="I514" s="108">
        <f t="shared" si="35"/>
        <v>196319</v>
      </c>
      <c r="J514" s="108">
        <f t="shared" si="35"/>
        <v>103711.51999999999</v>
      </c>
      <c r="K514" s="108">
        <f t="shared" si="35"/>
        <v>400</v>
      </c>
      <c r="L514" s="89">
        <f t="shared" si="35"/>
        <v>10415607.450000001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469796.75</v>
      </c>
      <c r="G516" s="18">
        <v>174989.38</v>
      </c>
      <c r="H516" s="18">
        <v>43813.56</v>
      </c>
      <c r="I516" s="18">
        <v>5640.06</v>
      </c>
      <c r="J516" s="18">
        <v>1552.98</v>
      </c>
      <c r="K516" s="18">
        <v>6392.63</v>
      </c>
      <c r="L516" s="88">
        <f>SUM(F516:K516)</f>
        <v>702185.36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296811.83</v>
      </c>
      <c r="G517" s="18">
        <v>110556.15</v>
      </c>
      <c r="H517" s="18">
        <v>27680.87</v>
      </c>
      <c r="I517" s="18">
        <v>3563.32</v>
      </c>
      <c r="J517" s="18">
        <v>981.15</v>
      </c>
      <c r="K517" s="18">
        <v>4038.78</v>
      </c>
      <c r="L517" s="88">
        <f>SUM(F517:K517)</f>
        <v>443632.10000000003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398273.02</v>
      </c>
      <c r="G518" s="18">
        <v>148348.29999999999</v>
      </c>
      <c r="H518" s="18">
        <v>37143.21</v>
      </c>
      <c r="I518" s="18">
        <v>4781.3900000000003</v>
      </c>
      <c r="J518" s="18">
        <v>1316.54</v>
      </c>
      <c r="K518" s="18">
        <v>5419.39</v>
      </c>
      <c r="L518" s="88">
        <f>SUM(F518:K518)</f>
        <v>595281.85000000009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1164881.6000000001</v>
      </c>
      <c r="G519" s="89">
        <f t="shared" ref="G519:L519" si="36">SUM(G516:G518)</f>
        <v>433893.83</v>
      </c>
      <c r="H519" s="89">
        <f t="shared" si="36"/>
        <v>108637.63999999998</v>
      </c>
      <c r="I519" s="89">
        <f t="shared" si="36"/>
        <v>13984.77</v>
      </c>
      <c r="J519" s="89">
        <f t="shared" si="36"/>
        <v>3850.67</v>
      </c>
      <c r="K519" s="89">
        <f t="shared" si="36"/>
        <v>15850.8</v>
      </c>
      <c r="L519" s="89">
        <f t="shared" si="36"/>
        <v>1741099.31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116652.11</v>
      </c>
      <c r="G521" s="18">
        <v>43450.45</v>
      </c>
      <c r="H521" s="18">
        <v>13070.96</v>
      </c>
      <c r="I521" s="18">
        <v>565.64</v>
      </c>
      <c r="J521" s="18"/>
      <c r="K521" s="18"/>
      <c r="L521" s="88">
        <f>SUM(F521:K521)</f>
        <v>173739.16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73699.37</v>
      </c>
      <c r="G522" s="18">
        <v>27451.46</v>
      </c>
      <c r="H522" s="18">
        <v>8258.07</v>
      </c>
      <c r="I522" s="18">
        <v>357.36</v>
      </c>
      <c r="J522" s="18"/>
      <c r="K522" s="18"/>
      <c r="L522" s="88">
        <f>SUM(F522:K522)</f>
        <v>109766.26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98892.52</v>
      </c>
      <c r="G523" s="18">
        <v>36835.379999999997</v>
      </c>
      <c r="H523" s="18">
        <v>11080.98</v>
      </c>
      <c r="I523" s="18">
        <v>479.52</v>
      </c>
      <c r="J523" s="18"/>
      <c r="K523" s="18"/>
      <c r="L523" s="88">
        <f>SUM(F523:K523)</f>
        <v>147288.4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289244</v>
      </c>
      <c r="G524" s="89">
        <f t="shared" ref="G524:L524" si="37">SUM(G521:G523)</f>
        <v>107737.29000000001</v>
      </c>
      <c r="H524" s="89">
        <f t="shared" si="37"/>
        <v>32410.01</v>
      </c>
      <c r="I524" s="89">
        <f t="shared" si="37"/>
        <v>1402.52</v>
      </c>
      <c r="J524" s="89">
        <f t="shared" si="37"/>
        <v>0</v>
      </c>
      <c r="K524" s="89">
        <f t="shared" si="37"/>
        <v>0</v>
      </c>
      <c r="L524" s="89">
        <f t="shared" si="37"/>
        <v>430793.81999999995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12247.59</v>
      </c>
      <c r="I526" s="18"/>
      <c r="J526" s="18"/>
      <c r="K526" s="18"/>
      <c r="L526" s="88">
        <f>SUM(F526:K526)</f>
        <v>12247.59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7737.88</v>
      </c>
      <c r="I527" s="18"/>
      <c r="J527" s="18"/>
      <c r="K527" s="18"/>
      <c r="L527" s="88">
        <f>SUM(F527:K527)</f>
        <v>7737.88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10382.969999999999</v>
      </c>
      <c r="I528" s="18"/>
      <c r="J528" s="18"/>
      <c r="K528" s="18"/>
      <c r="L528" s="88">
        <f>SUM(F528:K528)</f>
        <v>10382.969999999999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30368.440000000002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30368.440000000002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314415.48</v>
      </c>
      <c r="I531" s="18"/>
      <c r="J531" s="18"/>
      <c r="K531" s="18"/>
      <c r="L531" s="88">
        <f>SUM(F531:K531)</f>
        <v>314415.48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198643.85</v>
      </c>
      <c r="I532" s="18"/>
      <c r="J532" s="18"/>
      <c r="K532" s="18"/>
      <c r="L532" s="88">
        <f>SUM(F532:K532)</f>
        <v>198643.85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266547.61</v>
      </c>
      <c r="I533" s="18"/>
      <c r="J533" s="18"/>
      <c r="K533" s="18"/>
      <c r="L533" s="88">
        <f>SUM(F533:K533)</f>
        <v>266547.61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779606.94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779606.94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7422977.1600000001</v>
      </c>
      <c r="G535" s="89">
        <f t="shared" ref="G535:L535" si="40">G514+G519+G524+G529+G534</f>
        <v>2503766.04</v>
      </c>
      <c r="H535" s="89">
        <f t="shared" si="40"/>
        <v>3135213.48</v>
      </c>
      <c r="I535" s="89">
        <f t="shared" si="40"/>
        <v>211706.28999999998</v>
      </c>
      <c r="J535" s="89">
        <f t="shared" si="40"/>
        <v>107562.18999999999</v>
      </c>
      <c r="K535" s="89">
        <f t="shared" si="40"/>
        <v>16250.8</v>
      </c>
      <c r="L535" s="89">
        <f t="shared" si="40"/>
        <v>13397475.960000001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3341959.35</v>
      </c>
      <c r="G539" s="87">
        <f>L516</f>
        <v>702185.36</v>
      </c>
      <c r="H539" s="87">
        <f>L521</f>
        <v>173739.16</v>
      </c>
      <c r="I539" s="87">
        <f>L526</f>
        <v>12247.59</v>
      </c>
      <c r="J539" s="87">
        <f>L531</f>
        <v>314415.48</v>
      </c>
      <c r="K539" s="87">
        <f>SUM(F539:J539)</f>
        <v>4544546.9399999995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2834797.1000000006</v>
      </c>
      <c r="G540" s="87">
        <f>L517</f>
        <v>443632.10000000003</v>
      </c>
      <c r="H540" s="87">
        <f>L522</f>
        <v>109766.26</v>
      </c>
      <c r="I540" s="87">
        <f>L527</f>
        <v>7737.88</v>
      </c>
      <c r="J540" s="87">
        <f>L532</f>
        <v>198643.85</v>
      </c>
      <c r="K540" s="87">
        <f>SUM(F540:J540)</f>
        <v>3594577.1900000004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4238851</v>
      </c>
      <c r="G541" s="87">
        <f>L518</f>
        <v>595281.85000000009</v>
      </c>
      <c r="H541" s="87">
        <f>L523</f>
        <v>147288.4</v>
      </c>
      <c r="I541" s="87">
        <f>L528</f>
        <v>10382.969999999999</v>
      </c>
      <c r="J541" s="87">
        <f>L533</f>
        <v>266547.61</v>
      </c>
      <c r="K541" s="87">
        <f>SUM(F541:J541)</f>
        <v>5258351.83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10415607.450000001</v>
      </c>
      <c r="G542" s="89">
        <f t="shared" si="41"/>
        <v>1741099.31</v>
      </c>
      <c r="H542" s="89">
        <f t="shared" si="41"/>
        <v>430793.81999999995</v>
      </c>
      <c r="I542" s="89">
        <f t="shared" si="41"/>
        <v>30368.440000000002</v>
      </c>
      <c r="J542" s="89">
        <f t="shared" si="41"/>
        <v>779606.94</v>
      </c>
      <c r="K542" s="89">
        <f t="shared" si="41"/>
        <v>13397475.960000001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270091.28000000003</v>
      </c>
      <c r="G557" s="18">
        <v>89130.12</v>
      </c>
      <c r="H557" s="18"/>
      <c r="I557" s="18">
        <v>3979.72</v>
      </c>
      <c r="J557" s="18"/>
      <c r="K557" s="18"/>
      <c r="L557" s="88">
        <f>SUM(F557:K557)</f>
        <v>363201.12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51957</v>
      </c>
      <c r="G558" s="18">
        <v>17145.810000000001</v>
      </c>
      <c r="H558" s="18"/>
      <c r="I558" s="18">
        <f>1948.96+1650.13</f>
        <v>3599.09</v>
      </c>
      <c r="J558" s="18">
        <v>606</v>
      </c>
      <c r="K558" s="18"/>
      <c r="L558" s="88">
        <f>SUM(F558:K558)</f>
        <v>73307.899999999994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>
        <f>1529.53+2005.74</f>
        <v>3535.27</v>
      </c>
      <c r="I559" s="18"/>
      <c r="J559" s="18">
        <v>569.95000000000005</v>
      </c>
      <c r="K559" s="18"/>
      <c r="L559" s="88">
        <f>SUM(F559:K559)</f>
        <v>4105.22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322048.28000000003</v>
      </c>
      <c r="G560" s="194">
        <f t="shared" ref="G560:L560" si="44">SUM(G557:G559)</f>
        <v>106275.93</v>
      </c>
      <c r="H560" s="194">
        <f t="shared" si="44"/>
        <v>3535.27</v>
      </c>
      <c r="I560" s="194">
        <f t="shared" si="44"/>
        <v>7578.8099999999995</v>
      </c>
      <c r="J560" s="194">
        <f t="shared" si="44"/>
        <v>1175.95</v>
      </c>
      <c r="K560" s="194">
        <f t="shared" si="44"/>
        <v>0</v>
      </c>
      <c r="L560" s="194">
        <f t="shared" si="44"/>
        <v>440614.24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322048.28000000003</v>
      </c>
      <c r="G561" s="89">
        <f t="shared" ref="G561:L561" si="45">G550+G555+G560</f>
        <v>106275.93</v>
      </c>
      <c r="H561" s="89">
        <f t="shared" si="45"/>
        <v>3535.27</v>
      </c>
      <c r="I561" s="89">
        <f t="shared" si="45"/>
        <v>7578.8099999999995</v>
      </c>
      <c r="J561" s="89">
        <f t="shared" si="45"/>
        <v>1175.95</v>
      </c>
      <c r="K561" s="89">
        <f t="shared" si="45"/>
        <v>0</v>
      </c>
      <c r="L561" s="89">
        <f t="shared" si="45"/>
        <v>440614.24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297768.5</v>
      </c>
      <c r="G572" s="18">
        <v>251116.99</v>
      </c>
      <c r="H572" s="18">
        <v>1288645.8799999999</v>
      </c>
      <c r="I572" s="87">
        <f t="shared" si="46"/>
        <v>1837531.3699999999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29163.200000000001</v>
      </c>
      <c r="I574" s="87">
        <f t="shared" si="46"/>
        <v>29163.200000000001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4114.22</v>
      </c>
      <c r="I576" s="87">
        <f t="shared" si="46"/>
        <v>4114.22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617290.73</v>
      </c>
      <c r="I581" s="18">
        <v>389906.65</v>
      </c>
      <c r="J581" s="18">
        <v>510102.27</v>
      </c>
      <c r="K581" s="104">
        <f t="shared" ref="K581:K587" si="47">SUM(H581:J581)</f>
        <v>1517299.65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314415.48</v>
      </c>
      <c r="I582" s="18">
        <v>198643.85</v>
      </c>
      <c r="J582" s="18">
        <v>266547.61</v>
      </c>
      <c r="K582" s="104">
        <f t="shared" si="47"/>
        <v>779606.94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45606.75</v>
      </c>
      <c r="K583" s="104">
        <f t="shared" si="47"/>
        <v>45606.75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15503.72</v>
      </c>
      <c r="J584" s="18">
        <v>72887.8</v>
      </c>
      <c r="K584" s="104">
        <f t="shared" si="47"/>
        <v>88391.52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11970.23</v>
      </c>
      <c r="I585" s="18">
        <v>6405</v>
      </c>
      <c r="J585" s="18">
        <v>8064.56</v>
      </c>
      <c r="K585" s="104">
        <f t="shared" si="47"/>
        <v>26439.79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>
        <v>13240.5</v>
      </c>
      <c r="K587" s="104">
        <f t="shared" si="47"/>
        <v>13240.5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943676.44</v>
      </c>
      <c r="I588" s="108">
        <f>SUM(I581:I587)</f>
        <v>610459.22</v>
      </c>
      <c r="J588" s="108">
        <f>SUM(J581:J587)</f>
        <v>916449.49000000011</v>
      </c>
      <c r="K588" s="108">
        <f>SUM(K581:K587)</f>
        <v>2470585.15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315857.96999999997</v>
      </c>
      <c r="I594" s="18">
        <v>232451.11</v>
      </c>
      <c r="J594" s="18">
        <v>343584.1</v>
      </c>
      <c r="K594" s="104">
        <f>SUM(H594:J594)</f>
        <v>891893.17999999993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315857.96999999997</v>
      </c>
      <c r="I595" s="108">
        <f>SUM(I592:I594)</f>
        <v>232451.11</v>
      </c>
      <c r="J595" s="108">
        <f>SUM(J592:J594)</f>
        <v>343584.1</v>
      </c>
      <c r="K595" s="108">
        <f>SUM(K592:K594)</f>
        <v>891893.17999999993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2887331.23</v>
      </c>
      <c r="H607" s="109">
        <f>SUM(F44)</f>
        <v>2887331.23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341246.69</v>
      </c>
      <c r="H608" s="109">
        <f>SUM(G44)</f>
        <v>341246.69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530810</v>
      </c>
      <c r="H609" s="109">
        <f>SUM(H44)</f>
        <v>530810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428466.33</v>
      </c>
      <c r="H611" s="109">
        <f>SUM(J44)</f>
        <v>428466.33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2587411.16</v>
      </c>
      <c r="H612" s="109">
        <f>F466</f>
        <v>2587411.1600000039</v>
      </c>
      <c r="I612" s="121" t="s">
        <v>106</v>
      </c>
      <c r="J612" s="109">
        <f t="shared" ref="J612:J645" si="49">G612-H612</f>
        <v>-3.7252902984619141E-9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52290.11</v>
      </c>
      <c r="H613" s="109">
        <f>G466</f>
        <v>52290.10999999987</v>
      </c>
      <c r="I613" s="121" t="s">
        <v>108</v>
      </c>
      <c r="J613" s="109">
        <f t="shared" si="49"/>
        <v>1.3096723705530167E-10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28972.03</v>
      </c>
      <c r="H614" s="109">
        <f>H466</f>
        <v>28972.030000000028</v>
      </c>
      <c r="I614" s="121" t="s">
        <v>110</v>
      </c>
      <c r="J614" s="109">
        <f t="shared" si="49"/>
        <v>-2.9103830456733704E-11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428466.33</v>
      </c>
      <c r="H616" s="109">
        <f>J466</f>
        <v>428466.32999999996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56580707.140000008</v>
      </c>
      <c r="H617" s="104">
        <f>SUM(F458)</f>
        <v>56580707.140000001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1500380.9699999997</v>
      </c>
      <c r="H618" s="104">
        <f>SUM(G458)</f>
        <v>1500380.97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1850647.82</v>
      </c>
      <c r="H619" s="104">
        <f>SUM(H458)</f>
        <v>1850647.82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43.96</v>
      </c>
      <c r="H620" s="104">
        <f>SUM(I458)</f>
        <v>43.96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101003.91</v>
      </c>
      <c r="H621" s="104">
        <f>SUM(J458)</f>
        <v>101003.91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55921152.219999999</v>
      </c>
      <c r="H622" s="104">
        <f>SUM(F462)</f>
        <v>55921152.219999999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1831276.5000000002</v>
      </c>
      <c r="H623" s="104">
        <f>SUM(H462)</f>
        <v>1831276.5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29767.72</v>
      </c>
      <c r="H624" s="104">
        <f>I361</f>
        <v>29767.719999999998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1511862.05</v>
      </c>
      <c r="H625" s="104">
        <f>SUM(G462)</f>
        <v>1511862.05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8452.0400000000009</v>
      </c>
      <c r="H626" s="104">
        <f>SUM(I462)</f>
        <v>8452.0400000000009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101003.91</v>
      </c>
      <c r="H627" s="164">
        <f>SUM(J458)</f>
        <v>101003.91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428466.33</v>
      </c>
      <c r="H629" s="104">
        <f>SUM(F451)</f>
        <v>428466.33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428466.33</v>
      </c>
      <c r="H632" s="104">
        <f>SUM(I451)</f>
        <v>428466.33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1003.91</v>
      </c>
      <c r="H634" s="104">
        <f>H400</f>
        <v>1003.91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101003.91</v>
      </c>
      <c r="H636" s="104">
        <f>L400</f>
        <v>101003.91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2470585.15</v>
      </c>
      <c r="H637" s="104">
        <f>L200+L218+L236</f>
        <v>2470585.15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891893.17999999993</v>
      </c>
      <c r="H638" s="104">
        <f>(J249+J330)-(J247+J328)</f>
        <v>891893.17999999982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943676.44</v>
      </c>
      <c r="H639" s="104">
        <f>H588</f>
        <v>943676.44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610459.22</v>
      </c>
      <c r="H640" s="104">
        <f>I588</f>
        <v>610459.22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916449.49</v>
      </c>
      <c r="H641" s="104">
        <f>J588</f>
        <v>916449.49000000011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22382863.960000001</v>
      </c>
      <c r="G650" s="19">
        <f>(L221+L301+L351)</f>
        <v>13967857.360000003</v>
      </c>
      <c r="H650" s="19">
        <f>(L239+L320+L352)</f>
        <v>19350607.43</v>
      </c>
      <c r="I650" s="19">
        <f>SUM(F650:H650)</f>
        <v>55701328.750000007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500108.39434265846</v>
      </c>
      <c r="G651" s="19">
        <f>(L351/IF(SUM(L350:L352)=0,1,SUM(L350:L352))*(SUM(G89:G102)))</f>
        <v>277876.01243633567</v>
      </c>
      <c r="H651" s="19">
        <f>(L352/IF(SUM(L350:L352)=0,1,SUM(L350:L352))*(SUM(G89:G102)))</f>
        <v>372908.47322100581</v>
      </c>
      <c r="I651" s="19">
        <f>SUM(F651:H651)</f>
        <v>1150892.8799999999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943676.44</v>
      </c>
      <c r="G652" s="19">
        <f>(L218+L298)-(J218+J298)</f>
        <v>610459.22</v>
      </c>
      <c r="H652" s="19">
        <f>(L236+L317)-(J236+J317)</f>
        <v>916449.49</v>
      </c>
      <c r="I652" s="19">
        <f>SUM(F652:H652)</f>
        <v>2470585.15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613626.47</v>
      </c>
      <c r="G653" s="200">
        <f>SUM(G565:G577)+SUM(I592:I594)+L602</f>
        <v>483568.1</v>
      </c>
      <c r="H653" s="200">
        <f>SUM(H565:H577)+SUM(J592:J594)+L603</f>
        <v>1665507.4</v>
      </c>
      <c r="I653" s="19">
        <f>SUM(F653:H653)</f>
        <v>2762701.9699999997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20325452.655657344</v>
      </c>
      <c r="G654" s="19">
        <f>G650-SUM(G651:G653)</f>
        <v>12595954.027563667</v>
      </c>
      <c r="H654" s="19">
        <f>H650-SUM(H651:H653)</f>
        <v>16395742.066778995</v>
      </c>
      <c r="I654" s="19">
        <f>I650-SUM(I651:I653)</f>
        <v>49317148.750000007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1699.09</v>
      </c>
      <c r="G655" s="249">
        <v>1073.3</v>
      </c>
      <c r="H655" s="249">
        <v>1440.47</v>
      </c>
      <c r="I655" s="19">
        <f>SUM(F655:H655)</f>
        <v>4212.8599999999997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11962.55</v>
      </c>
      <c r="G657" s="19">
        <f>ROUND(G654/G655,2)</f>
        <v>11735.73</v>
      </c>
      <c r="H657" s="19">
        <f>ROUND(H654/H655,2)</f>
        <v>11382.22</v>
      </c>
      <c r="I657" s="19">
        <f>ROUND(I654/I655,2)</f>
        <v>11706.33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-20.09</v>
      </c>
      <c r="I660" s="19">
        <f>SUM(F660:H660)</f>
        <v>-20.09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11962.55</v>
      </c>
      <c r="G662" s="19">
        <f>ROUND((G654+G659)/(G655+G660),2)</f>
        <v>11735.73</v>
      </c>
      <c r="H662" s="19">
        <f>ROUND((H654+H659)/(H655+H660),2)</f>
        <v>11543.21</v>
      </c>
      <c r="I662" s="19">
        <f>ROUND((I654+I659)/(I655+I660),2)</f>
        <v>11762.43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4020-7DC0-4218-9E68-197862AFAA56}">
  <sheetPr>
    <tabColor indexed="20"/>
  </sheetPr>
  <dimension ref="A1:C52"/>
  <sheetViews>
    <sheetView topLeftCell="A3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TIMBERLANE REGIONAL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17209477.93</v>
      </c>
      <c r="C9" s="230">
        <f>'DOE25'!G189+'DOE25'!G207+'DOE25'!G225+'DOE25'!G268+'DOE25'!G287+'DOE25'!G306</f>
        <v>6338531.0099999998</v>
      </c>
    </row>
    <row r="10" spans="1:3" x14ac:dyDescent="0.2">
      <c r="A10" t="s">
        <v>813</v>
      </c>
      <c r="B10" s="241">
        <v>15842007.869999999</v>
      </c>
      <c r="C10" s="241">
        <f>B10/B9*C9</f>
        <v>5834869.5151067283</v>
      </c>
    </row>
    <row r="11" spans="1:3" x14ac:dyDescent="0.2">
      <c r="A11" t="s">
        <v>814</v>
      </c>
      <c r="B11" s="241">
        <v>957345.73</v>
      </c>
      <c r="C11" s="241">
        <f>B11/B10*C10</f>
        <v>352606.02451617119</v>
      </c>
    </row>
    <row r="12" spans="1:3" x14ac:dyDescent="0.2">
      <c r="A12" t="s">
        <v>815</v>
      </c>
      <c r="B12" s="241">
        <f>B9-B10-B11</f>
        <v>410124.33000000054</v>
      </c>
      <c r="C12" s="241">
        <f>C9-C10-C11</f>
        <v>151055.47037710028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17209477.93</v>
      </c>
      <c r="C13" s="232">
        <f>SUM(C10:C12)</f>
        <v>6338531.0099999998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6258095.5600000005</v>
      </c>
      <c r="C18" s="230">
        <f>'DOE25'!G190+'DOE25'!G208+'DOE25'!G226+'DOE25'!G269+'DOE25'!G288+'DOE25'!G307</f>
        <v>2070672.4400000002</v>
      </c>
    </row>
    <row r="19" spans="1:3" x14ac:dyDescent="0.2">
      <c r="A19" t="s">
        <v>813</v>
      </c>
      <c r="B19" s="241">
        <v>3922360.62</v>
      </c>
      <c r="C19" s="241">
        <f>B19/B18*C18</f>
        <v>1297826.7841559313</v>
      </c>
    </row>
    <row r="20" spans="1:3" x14ac:dyDescent="0.2">
      <c r="A20" t="s">
        <v>814</v>
      </c>
      <c r="B20" s="241">
        <v>2003005.36</v>
      </c>
      <c r="C20" s="241">
        <f>B20/B18*C18</f>
        <v>662752.42305892147</v>
      </c>
    </row>
    <row r="21" spans="1:3" x14ac:dyDescent="0.2">
      <c r="A21" t="s">
        <v>815</v>
      </c>
      <c r="B21" s="241">
        <f>B18-B19-B20</f>
        <v>332729.58000000031</v>
      </c>
      <c r="C21" s="241">
        <f>C18-C19-C20</f>
        <v>110093.23278514738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6258095.5600000005</v>
      </c>
      <c r="C22" s="232">
        <f>SUM(C19:C21)</f>
        <v>2070672.4400000002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587123.68999999994</v>
      </c>
      <c r="C36" s="236">
        <f>'DOE25'!G192+'DOE25'!G210+'DOE25'!G228+'DOE25'!G271+'DOE25'!G290+'DOE25'!G309</f>
        <v>218440.88</v>
      </c>
    </row>
    <row r="37" spans="1:3" x14ac:dyDescent="0.2">
      <c r="A37" t="s">
        <v>813</v>
      </c>
      <c r="B37" s="241">
        <v>471612.69</v>
      </c>
      <c r="C37" s="241">
        <f>B37/B36*C36</f>
        <v>175464.71514846763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24696+90815</f>
        <v>115511</v>
      </c>
      <c r="C39" s="241">
        <f>C36-C37</f>
        <v>42976.164851532376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587123.68999999994</v>
      </c>
      <c r="C40" s="232">
        <f>SUM(C37:C39)</f>
        <v>218440.88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39C8-E569-477D-AFD3-4929EDC4AAF9}">
  <sheetPr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TIMBERLANE REGIONAL SCHOOL DISTRICT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35732239.479999997</v>
      </c>
      <c r="D5" s="20">
        <f>SUM('DOE25'!L189:L192)+SUM('DOE25'!L207:L210)+SUM('DOE25'!L225:L228)-F5-G5</f>
        <v>35020224.449999996</v>
      </c>
      <c r="E5" s="244"/>
      <c r="F5" s="256">
        <f>SUM('DOE25'!J189:J192)+SUM('DOE25'!J207:J210)+SUM('DOE25'!J225:J228)</f>
        <v>650063.5</v>
      </c>
      <c r="G5" s="53">
        <f>SUM('DOE25'!K189:K192)+SUM('DOE25'!K207:K210)+SUM('DOE25'!K225:K228)</f>
        <v>61951.53</v>
      </c>
      <c r="H5" s="260"/>
    </row>
    <row r="6" spans="1:9" x14ac:dyDescent="0.2">
      <c r="A6" s="32">
        <v>2100</v>
      </c>
      <c r="B6" t="s">
        <v>835</v>
      </c>
      <c r="C6" s="246">
        <f t="shared" si="0"/>
        <v>4301912.8600000003</v>
      </c>
      <c r="D6" s="20">
        <f>'DOE25'!L194+'DOE25'!L212+'DOE25'!L230-F6-G6</f>
        <v>4278429.5200000005</v>
      </c>
      <c r="E6" s="244"/>
      <c r="F6" s="256">
        <f>'DOE25'!J194+'DOE25'!J212+'DOE25'!J230</f>
        <v>7632.54</v>
      </c>
      <c r="G6" s="53">
        <f>'DOE25'!K194+'DOE25'!K212+'DOE25'!K230</f>
        <v>15850.8</v>
      </c>
      <c r="H6" s="260"/>
    </row>
    <row r="7" spans="1:9" x14ac:dyDescent="0.2">
      <c r="A7" s="32">
        <v>2200</v>
      </c>
      <c r="B7" t="s">
        <v>868</v>
      </c>
      <c r="C7" s="246">
        <f t="shared" si="0"/>
        <v>1036882.3400000001</v>
      </c>
      <c r="D7" s="20">
        <f>'DOE25'!L195+'DOE25'!L213+'DOE25'!L231-F7-G7</f>
        <v>1017289.0800000001</v>
      </c>
      <c r="E7" s="244"/>
      <c r="F7" s="256">
        <f>'DOE25'!J195+'DOE25'!J213+'DOE25'!J231</f>
        <v>19593.260000000002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1478583.6</v>
      </c>
      <c r="D8" s="244"/>
      <c r="E8" s="20">
        <f>'DOE25'!L196+'DOE25'!L214+'DOE25'!L232-F8-G8-D9-D11</f>
        <v>1452249.73</v>
      </c>
      <c r="F8" s="256">
        <f>'DOE25'!J196+'DOE25'!J214+'DOE25'!J232</f>
        <v>0</v>
      </c>
      <c r="G8" s="53">
        <f>'DOE25'!K196+'DOE25'!K214+'DOE25'!K232</f>
        <v>26333.869999999995</v>
      </c>
      <c r="H8" s="260"/>
    </row>
    <row r="9" spans="1:9" x14ac:dyDescent="0.2">
      <c r="A9" s="32">
        <v>2310</v>
      </c>
      <c r="B9" t="s">
        <v>852</v>
      </c>
      <c r="C9" s="246">
        <f t="shared" si="0"/>
        <v>11600</v>
      </c>
      <c r="D9" s="245">
        <v>11600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30500</v>
      </c>
      <c r="D10" s="244"/>
      <c r="E10" s="245">
        <v>30500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297262.53999999998</v>
      </c>
      <c r="D11" s="245">
        <v>297262.53999999998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3051707.5899999994</v>
      </c>
      <c r="D12" s="20">
        <f>'DOE25'!L197+'DOE25'!L215+'DOE25'!L233-F12-G12</f>
        <v>3028787.3599999994</v>
      </c>
      <c r="E12" s="244"/>
      <c r="F12" s="256">
        <f>'DOE25'!J197+'DOE25'!J215+'DOE25'!J233</f>
        <v>10502.23</v>
      </c>
      <c r="G12" s="53">
        <f>'DOE25'!K197+'DOE25'!K215+'DOE25'!K233</f>
        <v>12418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51467.19</v>
      </c>
      <c r="D13" s="244"/>
      <c r="E13" s="20">
        <f>'DOE25'!L198+'DOE25'!L216+'DOE25'!L234-F13-G13</f>
        <v>51467.19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3736003.8</v>
      </c>
      <c r="D14" s="20">
        <f>'DOE25'!L199+'DOE25'!L217+'DOE25'!L235-F14-G14</f>
        <v>3690317.61</v>
      </c>
      <c r="E14" s="244"/>
      <c r="F14" s="256">
        <f>'DOE25'!J199+'DOE25'!J217+'DOE25'!J235</f>
        <v>45686.19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2470585.15</v>
      </c>
      <c r="D15" s="20">
        <f>'DOE25'!L200+'DOE25'!L218+'DOE25'!L236-F15-G15</f>
        <v>2470585.15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255908.51999999996</v>
      </c>
      <c r="D16" s="244"/>
      <c r="E16" s="20">
        <f>'DOE25'!L201+'DOE25'!L219+'DOE25'!L237-F16-G16</f>
        <v>252313.04999999996</v>
      </c>
      <c r="F16" s="256">
        <f>'DOE25'!J201+'DOE25'!J219+'DOE25'!J237</f>
        <v>3595.47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201860.46</v>
      </c>
      <c r="D17" s="20">
        <f>'DOE25'!L243-F17-G17</f>
        <v>201860.46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713138.69</v>
      </c>
      <c r="D22" s="244"/>
      <c r="E22" s="244"/>
      <c r="F22" s="256">
        <f>'DOE25'!L247+'DOE25'!L328</f>
        <v>713138.69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2482000</v>
      </c>
      <c r="D25" s="244"/>
      <c r="E25" s="244"/>
      <c r="F25" s="259"/>
      <c r="G25" s="257"/>
      <c r="H25" s="258">
        <f>'DOE25'!L252+'DOE25'!L253+'DOE25'!L333+'DOE25'!L334</f>
        <v>2482000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1489086.58</v>
      </c>
      <c r="D29" s="20">
        <f>'DOE25'!L350+'DOE25'!L351+'DOE25'!L352-'DOE25'!I359-F29-G29</f>
        <v>1466508.03</v>
      </c>
      <c r="E29" s="244"/>
      <c r="F29" s="256">
        <f>'DOE25'!J350+'DOE25'!J351+'DOE25'!J352</f>
        <v>0</v>
      </c>
      <c r="G29" s="53">
        <f>'DOE25'!K350+'DOE25'!K351+'DOE25'!K352</f>
        <v>22578.55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1831276.5000000002</v>
      </c>
      <c r="D31" s="20">
        <f>'DOE25'!L282+'DOE25'!L301+'DOE25'!L320+'DOE25'!L325+'DOE25'!L326+'DOE25'!L327-F31-G31</f>
        <v>1675364.6300000004</v>
      </c>
      <c r="E31" s="244"/>
      <c r="F31" s="256">
        <f>'DOE25'!J282+'DOE25'!J301+'DOE25'!J320+'DOE25'!J325+'DOE25'!J326+'DOE25'!J327</f>
        <v>154819.99</v>
      </c>
      <c r="G31" s="53">
        <f>'DOE25'!K282+'DOE25'!K301+'DOE25'!K320+'DOE25'!K325+'DOE25'!K326+'DOE25'!K327</f>
        <v>1091.8800000000001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53158228.829999998</v>
      </c>
      <c r="E33" s="247">
        <f>SUM(E5:E31)</f>
        <v>1786529.97</v>
      </c>
      <c r="F33" s="247">
        <f>SUM(F5:F31)</f>
        <v>1605031.8699999999</v>
      </c>
      <c r="G33" s="247">
        <f>SUM(G5:G31)</f>
        <v>140224.63</v>
      </c>
      <c r="H33" s="247">
        <f>SUM(H5:H31)</f>
        <v>2482000</v>
      </c>
    </row>
    <row r="35" spans="2:8" ht="12" thickBot="1" x14ac:dyDescent="0.25">
      <c r="B35" s="254" t="s">
        <v>881</v>
      </c>
      <c r="D35" s="255">
        <f>E33</f>
        <v>1786529.97</v>
      </c>
      <c r="E35" s="250"/>
    </row>
    <row r="36" spans="2:8" ht="12" thickTop="1" x14ac:dyDescent="0.2">
      <c r="B36" t="s">
        <v>849</v>
      </c>
      <c r="D36" s="20">
        <f>D33</f>
        <v>53158228.829999998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8175-FE83-4F32-9E54-76687A2D81F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TIMBERLANE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1073153.19</v>
      </c>
      <c r="D9" s="95">
        <f>'DOE25'!G9</f>
        <v>200026.95</v>
      </c>
      <c r="E9" s="95">
        <f>'DOE25'!H9</f>
        <v>32341.65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428466.33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748840.39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962672.46</v>
      </c>
      <c r="D13" s="95">
        <f>'DOE25'!G13</f>
        <v>19450.84</v>
      </c>
      <c r="E13" s="95">
        <f>'DOE25'!H13</f>
        <v>498468.35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90917.759999999995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30851.14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102665.19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2887331.23</v>
      </c>
      <c r="D19" s="41">
        <f>SUM(D9:D18)</f>
        <v>341246.69</v>
      </c>
      <c r="E19" s="41">
        <f>SUM(E9:E18)</f>
        <v>530810</v>
      </c>
      <c r="F19" s="41">
        <f>SUM(F9:F18)</f>
        <v>0</v>
      </c>
      <c r="G19" s="41">
        <f>SUM(G9:G18)</f>
        <v>428466.33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262134.39</v>
      </c>
      <c r="E22" s="95">
        <f>'DOE25'!H23</f>
        <v>486706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39414.53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103912.61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154467.93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2125</v>
      </c>
      <c r="D30" s="95">
        <f>'DOE25'!G31</f>
        <v>26822.19</v>
      </c>
      <c r="E30" s="95">
        <f>'DOE25'!H31</f>
        <v>15131.97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299920.07</v>
      </c>
      <c r="D32" s="41">
        <f>SUM(D22:D31)</f>
        <v>288956.58</v>
      </c>
      <c r="E32" s="41">
        <f>SUM(E22:E31)</f>
        <v>501837.97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30851.14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349979.66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21438.97</v>
      </c>
      <c r="E40" s="95">
        <f>'DOE25'!H41</f>
        <v>28972.03</v>
      </c>
      <c r="F40" s="95">
        <f>'DOE25'!I41</f>
        <v>0</v>
      </c>
      <c r="G40" s="95">
        <f>'DOE25'!J41</f>
        <v>428466.33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2137431.5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2587411.16</v>
      </c>
      <c r="D42" s="41">
        <f>SUM(D34:D41)</f>
        <v>52290.11</v>
      </c>
      <c r="E42" s="41">
        <f>SUM(E34:E41)</f>
        <v>28972.03</v>
      </c>
      <c r="F42" s="41">
        <f>SUM(F34:F41)</f>
        <v>0</v>
      </c>
      <c r="G42" s="41">
        <f>SUM(G34:G41)</f>
        <v>428466.33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2887331.23</v>
      </c>
      <c r="D43" s="41">
        <f>D42+D32</f>
        <v>341246.69</v>
      </c>
      <c r="E43" s="41">
        <f>E42+E32</f>
        <v>530810</v>
      </c>
      <c r="F43" s="41">
        <f>F42+F32</f>
        <v>0</v>
      </c>
      <c r="G43" s="41">
        <f>G42+G32</f>
        <v>428466.33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35126487.710000001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227210.27000000002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9435.11</v>
      </c>
      <c r="D51" s="95">
        <f>'DOE25'!G88</f>
        <v>590.41999999999996</v>
      </c>
      <c r="E51" s="95">
        <f>'DOE25'!H88</f>
        <v>57.58</v>
      </c>
      <c r="F51" s="95">
        <f>'DOE25'!I88</f>
        <v>43.96</v>
      </c>
      <c r="G51" s="95">
        <f>'DOE25'!J88</f>
        <v>1003.91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1150892.8799999999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281524.95</v>
      </c>
      <c r="D53" s="95">
        <f>SUM('DOE25'!G90:G102)</f>
        <v>0</v>
      </c>
      <c r="E53" s="95">
        <f>SUM('DOE25'!H90:H102)</f>
        <v>102009.23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518170.33</v>
      </c>
      <c r="D54" s="130">
        <f>SUM(D49:D53)</f>
        <v>1151483.2999999998</v>
      </c>
      <c r="E54" s="130">
        <f>SUM(E49:E53)</f>
        <v>102066.81</v>
      </c>
      <c r="F54" s="130">
        <f>SUM(F49:F53)</f>
        <v>43.96</v>
      </c>
      <c r="G54" s="130">
        <f>SUM(G49:G53)</f>
        <v>1003.91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35644658.039999999</v>
      </c>
      <c r="D55" s="22">
        <f>D48+D54</f>
        <v>1151483.2999999998</v>
      </c>
      <c r="E55" s="22">
        <f>E48+E54</f>
        <v>102066.81</v>
      </c>
      <c r="F55" s="22">
        <f>F48+F54</f>
        <v>43.96</v>
      </c>
      <c r="G55" s="22">
        <f>G48+G54</f>
        <v>1003.91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8379464.2400000002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6518931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3214938.76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18113334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1103810.6599999999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370875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657012.18000000005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20565.759999999998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35400</v>
      </c>
      <c r="D69" s="95">
        <f>SUM('DOE25'!G123:G127)</f>
        <v>19517.75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2187663.5999999996</v>
      </c>
      <c r="D70" s="130">
        <f>SUM(D64:D69)</f>
        <v>19517.75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20300997.600000001</v>
      </c>
      <c r="D73" s="130">
        <f>SUM(D71:D72)+D70+D62</f>
        <v>19517.75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635051.5</v>
      </c>
      <c r="D80" s="95">
        <f>SUM('DOE25'!G145:G153)</f>
        <v>329379.92</v>
      </c>
      <c r="E80" s="95">
        <f>SUM('DOE25'!H145:H153)</f>
        <v>1748581.01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635051.5</v>
      </c>
      <c r="D83" s="131">
        <f>SUM(D77:D82)</f>
        <v>329379.92</v>
      </c>
      <c r="E83" s="131">
        <f>SUM(E77:E82)</f>
        <v>1748581.01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797</v>
      </c>
      <c r="C96" s="86">
        <f>C55+C73+C83+C95</f>
        <v>56580707.140000001</v>
      </c>
      <c r="D96" s="86">
        <f>D55+D73+D83+D95</f>
        <v>1500380.9699999997</v>
      </c>
      <c r="E96" s="86">
        <f>E55+E73+E83+E95</f>
        <v>1850647.82</v>
      </c>
      <c r="F96" s="86">
        <f>F55+F73+F83+F95</f>
        <v>43.96</v>
      </c>
      <c r="G96" s="86">
        <f>G55+G73+G95</f>
        <v>101003.91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24921152.170000002</v>
      </c>
      <c r="D101" s="24" t="s">
        <v>312</v>
      </c>
      <c r="E101" s="95">
        <f>('DOE25'!L268)+('DOE25'!L287)+('DOE25'!L306)</f>
        <v>458341.5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9710431.9699999988</v>
      </c>
      <c r="D102" s="24" t="s">
        <v>312</v>
      </c>
      <c r="E102" s="95">
        <f>('DOE25'!L269)+('DOE25'!L288)+('DOE25'!L307)</f>
        <v>1136769.5300000003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33277.42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1067377.92</v>
      </c>
      <c r="D104" s="24" t="s">
        <v>312</v>
      </c>
      <c r="E104" s="95">
        <f>+('DOE25'!L271)+('DOE25'!L290)+('DOE25'!L309)</f>
        <v>4278.45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201860.46</v>
      </c>
      <c r="D106" s="24" t="s">
        <v>312</v>
      </c>
      <c r="E106" s="95">
        <f>+ SUM('DOE25'!L325:L327)</f>
        <v>65962.87000000001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35934099.940000005</v>
      </c>
      <c r="D107" s="86">
        <f>SUM(D101:D106)</f>
        <v>0</v>
      </c>
      <c r="E107" s="86">
        <f>SUM(E101:E106)</f>
        <v>1665352.3500000003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4301912.8600000003</v>
      </c>
      <c r="D110" s="24" t="s">
        <v>312</v>
      </c>
      <c r="E110" s="95">
        <f>+('DOE25'!L273)+('DOE25'!L292)+('DOE25'!L311)</f>
        <v>20261.57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1036882.3400000001</v>
      </c>
      <c r="D111" s="24" t="s">
        <v>312</v>
      </c>
      <c r="E111" s="95">
        <f>+('DOE25'!L274)+('DOE25'!L293)+('DOE25'!L312)</f>
        <v>145662.57999999999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1787446.1400000001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3051707.5899999994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51467.19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3736003.8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2470585.15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255908.51999999996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1511862.05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16691913.589999998</v>
      </c>
      <c r="D120" s="86">
        <f>SUM(D110:D119)</f>
        <v>1511862.05</v>
      </c>
      <c r="E120" s="86">
        <f>SUM(E110:E119)</f>
        <v>165924.15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713138.69</v>
      </c>
      <c r="D122" s="24" t="s">
        <v>312</v>
      </c>
      <c r="E122" s="129">
        <f>'DOE25'!L328</f>
        <v>0</v>
      </c>
      <c r="F122" s="129">
        <f>SUM('DOE25'!L366:'DOE25'!L372)</f>
        <v>8452.0400000000009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1600000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882000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101003.91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-1003.9100000000035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3295138.69</v>
      </c>
      <c r="D136" s="141">
        <f>SUM(D122:D135)</f>
        <v>0</v>
      </c>
      <c r="E136" s="141">
        <f>SUM(E122:E135)</f>
        <v>0</v>
      </c>
      <c r="F136" s="141">
        <f>SUM(F122:F135)</f>
        <v>8452.0400000000009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55921152.219999999</v>
      </c>
      <c r="D137" s="86">
        <f>(D107+D120+D136)</f>
        <v>1511862.05</v>
      </c>
      <c r="E137" s="86">
        <f>(E107+E120+E136)</f>
        <v>1831276.5000000002</v>
      </c>
      <c r="F137" s="86">
        <f>(F107+F120+F136)</f>
        <v>8452.0400000000009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07/99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8/19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32000000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>(4.25 to 5.25)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17600000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17600000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1600000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1600000</v>
      </c>
    </row>
    <row r="151" spans="1:7" x14ac:dyDescent="0.2">
      <c r="A151" s="22" t="s">
        <v>35</v>
      </c>
      <c r="B151" s="137">
        <f>'DOE25'!F488</f>
        <v>16000000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16000000</v>
      </c>
    </row>
    <row r="152" spans="1:7" x14ac:dyDescent="0.2">
      <c r="A152" s="22" t="s">
        <v>36</v>
      </c>
      <c r="B152" s="137">
        <f>'DOE25'!F489</f>
        <v>4200000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4200000</v>
      </c>
    </row>
    <row r="153" spans="1:7" x14ac:dyDescent="0.2">
      <c r="A153" s="22" t="s">
        <v>37</v>
      </c>
      <c r="B153" s="137">
        <f>'DOE25'!F490</f>
        <v>20200000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20200000</v>
      </c>
    </row>
    <row r="154" spans="1:7" x14ac:dyDescent="0.2">
      <c r="A154" s="22" t="s">
        <v>38</v>
      </c>
      <c r="B154" s="137">
        <f>'DOE25'!F491</f>
        <v>1600000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1600000</v>
      </c>
    </row>
    <row r="155" spans="1:7" x14ac:dyDescent="0.2">
      <c r="A155" s="22" t="s">
        <v>39</v>
      </c>
      <c r="B155" s="137">
        <f>'DOE25'!F492</f>
        <v>798000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798000</v>
      </c>
    </row>
    <row r="156" spans="1:7" x14ac:dyDescent="0.2">
      <c r="A156" s="22" t="s">
        <v>269</v>
      </c>
      <c r="B156" s="137">
        <f>'DOE25'!F493</f>
        <v>2398000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2398000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9A16-9224-4471-BBD6-591E9BE33EE9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TIMBERLANE REGIONAL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11963</v>
      </c>
    </row>
    <row r="5" spans="1:4" x14ac:dyDescent="0.2">
      <c r="B5" t="s">
        <v>735</v>
      </c>
      <c r="C5" s="179">
        <f>IF('DOE25'!G655+'DOE25'!G660=0,0,ROUND('DOE25'!G662,0))</f>
        <v>11736</v>
      </c>
    </row>
    <row r="6" spans="1:4" x14ac:dyDescent="0.2">
      <c r="B6" t="s">
        <v>62</v>
      </c>
      <c r="C6" s="179">
        <f>IF('DOE25'!H655+'DOE25'!H660=0,0,ROUND('DOE25'!H662,0))</f>
        <v>11543</v>
      </c>
    </row>
    <row r="7" spans="1:4" x14ac:dyDescent="0.2">
      <c r="B7" t="s">
        <v>736</v>
      </c>
      <c r="C7" s="179">
        <f>IF('DOE25'!I655+'DOE25'!I660=0,0,ROUND('DOE25'!I662,0))</f>
        <v>11762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25379494</v>
      </c>
      <c r="D10" s="182">
        <f>ROUND((C10/$C$28)*100,1)</f>
        <v>45.6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10847202</v>
      </c>
      <c r="D11" s="182">
        <f>ROUND((C11/$C$28)*100,1)</f>
        <v>19.5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33277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1071656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4322174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1182545</v>
      </c>
      <c r="D16" s="182">
        <f t="shared" si="0"/>
        <v>2.1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2043355</v>
      </c>
      <c r="D17" s="182">
        <f t="shared" si="0"/>
        <v>3.7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3051708</v>
      </c>
      <c r="D18" s="182">
        <f t="shared" si="0"/>
        <v>5.5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51467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3736004</v>
      </c>
      <c r="D20" s="182">
        <f t="shared" si="0"/>
        <v>6.7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2470585</v>
      </c>
      <c r="D21" s="182">
        <f t="shared" si="0"/>
        <v>4.4000000000000004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267823</v>
      </c>
      <c r="D24" s="182">
        <f t="shared" si="0"/>
        <v>0.5</v>
      </c>
    </row>
    <row r="25" spans="1:4" x14ac:dyDescent="0.2">
      <c r="A25">
        <v>5120</v>
      </c>
      <c r="B25" t="s">
        <v>751</v>
      </c>
      <c r="C25" s="179">
        <f>ROUND('DOE25'!L253+'DOE25'!L334,0)</f>
        <v>882000</v>
      </c>
      <c r="D25" s="182">
        <f t="shared" si="0"/>
        <v>1.6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360969.12000000011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55700259.119999997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721591</v>
      </c>
    </row>
    <row r="30" spans="1:4" x14ac:dyDescent="0.2">
      <c r="B30" s="187" t="s">
        <v>760</v>
      </c>
      <c r="C30" s="180">
        <f>SUM(C28:C29)</f>
        <v>56421850.119999997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1600000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35126488</v>
      </c>
      <c r="D35" s="182">
        <f t="shared" ref="D35:D40" si="1">ROUND((C35/$C$41)*100,1)</f>
        <v>59.8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621875.1400000006</v>
      </c>
      <c r="D36" s="182">
        <f t="shared" si="1"/>
        <v>1.1000000000000001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14898395</v>
      </c>
      <c r="D37" s="182">
        <f t="shared" si="1"/>
        <v>25.3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5422120</v>
      </c>
      <c r="D38" s="182">
        <f t="shared" si="1"/>
        <v>9.1999999999999993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2713012</v>
      </c>
      <c r="D39" s="182">
        <f t="shared" si="1"/>
        <v>4.5999999999999996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58781890.140000001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B67B-64A0-469C-8462-BBEB54AD43D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TIMBERLANE REGIONAL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893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2010-09-17T17:46:14Z</cp:lastPrinted>
  <dcterms:created xsi:type="dcterms:W3CDTF">1997-12-04T19:04:30Z</dcterms:created>
  <dcterms:modified xsi:type="dcterms:W3CDTF">2025-01-09T20:20:44Z</dcterms:modified>
</cp:coreProperties>
</file>