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65888C2-9544-4C57-A377-40127BFD849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CE28A56-4FE9-4BBE-A939-7AF5EE05CB66}"/>
  </bookViews>
  <sheets>
    <sheet name="DOE25" sheetId="1" r:id="rId1"/>
    <sheet name="Salaries-Benefits" sheetId="2" r:id="rId2"/>
    <sheet name="Indirect Cost Rate" sheetId="3" r:id="rId3"/>
    <sheet name="MS-25" sheetId="4" r:id="rId4"/>
    <sheet name="District Profile" sheetId="5" r:id="rId5"/>
    <sheet name="District &amp; DOE Notes" sheetId="6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  <definedName name="Z_E30DB129_39E8_48B9_8E25_02212AA3B7DA_.wvu.Cols" localSheetId="0" hidden="1">'DOE25'!$D:$D</definedName>
    <definedName name="Z_E30DB129_39E8_48B9_8E25_02212AA3B7DA_.wvu.PrintArea" localSheetId="5" hidden="1">'District &amp; DOE Notes'!$A$1:$N$70</definedName>
    <definedName name="Z_E30DB129_39E8_48B9_8E25_02212AA3B7DA_.wvu.PrintArea" localSheetId="4" hidden="1">'District Profile'!$A$1:$D$42</definedName>
    <definedName name="Z_E30DB129_39E8_48B9_8E25_02212AA3B7DA_.wvu.PrintArea" localSheetId="0" hidden="1">'DOE25'!$A$1:$L$663</definedName>
    <definedName name="Z_E30DB129_39E8_48B9_8E25_02212AA3B7DA_.wvu.PrintArea" localSheetId="2" hidden="1">'Indirect Cost Rate'!$A$1:$H$51</definedName>
    <definedName name="Z_E30DB129_39E8_48B9_8E25_02212AA3B7DA_.wvu.PrintArea" localSheetId="1" hidden="1">'Salaries-Benefits'!$A$1:$C$54</definedName>
    <definedName name="Z_E30DB129_39E8_48B9_8E25_02212AA3B7DA_.wvu.PrintTitles" localSheetId="0" hidden="1">'DOE25'!$A:$C,'DOE25'!$1:$3</definedName>
  </definedNames>
  <calcPr calcId="191029" fullCalcOnLoad="1"/>
  <customWorkbookViews>
    <customWorkbookView name="  - Personal View" guid="{E30DB129-39E8-48B9-8E25-02212AA3B7DA}" mergeInterval="0" personalView="1" maximized="1" xWindow="1" yWindow="1" windowWidth="1020" windowHeight="501" tabRatio="855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2" i="1" l="1"/>
  <c r="J459" i="1"/>
  <c r="F432" i="1"/>
  <c r="F449" i="1" s="1"/>
  <c r="J521" i="1"/>
  <c r="K521" i="1"/>
  <c r="I519" i="1"/>
  <c r="F519" i="1"/>
  <c r="H511" i="1"/>
  <c r="I511" i="1"/>
  <c r="J511" i="1"/>
  <c r="K511" i="1"/>
  <c r="K514" i="1" s="1"/>
  <c r="G511" i="1"/>
  <c r="G514" i="1" s="1"/>
  <c r="F511" i="1"/>
  <c r="F531" i="1"/>
  <c r="G531" i="1" s="1"/>
  <c r="D11" i="3"/>
  <c r="H384" i="1"/>
  <c r="J88" i="1"/>
  <c r="G601" i="1"/>
  <c r="H569" i="1"/>
  <c r="F7" i="3"/>
  <c r="C22" i="2"/>
  <c r="B18" i="2"/>
  <c r="A22" i="2" s="1"/>
  <c r="C18" i="2"/>
  <c r="H147" i="1"/>
  <c r="H154" i="1" s="1"/>
  <c r="H161" i="1" s="1"/>
  <c r="H458" i="1"/>
  <c r="L274" i="1"/>
  <c r="J282" i="1"/>
  <c r="H282" i="1"/>
  <c r="G282" i="1"/>
  <c r="H146" i="1"/>
  <c r="H13" i="1"/>
  <c r="H513" i="1"/>
  <c r="H512" i="1"/>
  <c r="L225" i="1"/>
  <c r="G23" i="1"/>
  <c r="D22" i="4" s="1"/>
  <c r="D32" i="4" s="1"/>
  <c r="D43" i="4" s="1"/>
  <c r="K585" i="1"/>
  <c r="I565" i="1"/>
  <c r="J532" i="1"/>
  <c r="G532" i="1"/>
  <c r="H532" i="1"/>
  <c r="I532" i="1"/>
  <c r="K532" i="1"/>
  <c r="F532" i="1"/>
  <c r="G522" i="1"/>
  <c r="H522" i="1"/>
  <c r="I522" i="1"/>
  <c r="J522" i="1"/>
  <c r="L522" i="1" s="1"/>
  <c r="H540" i="1" s="1"/>
  <c r="K522" i="1"/>
  <c r="K524" i="1" s="1"/>
  <c r="G523" i="1"/>
  <c r="L523" i="1" s="1"/>
  <c r="H541" i="1" s="1"/>
  <c r="H523" i="1"/>
  <c r="I523" i="1"/>
  <c r="I524" i="1" s="1"/>
  <c r="J523" i="1"/>
  <c r="K523" i="1"/>
  <c r="F523" i="1"/>
  <c r="F522" i="1"/>
  <c r="G512" i="1"/>
  <c r="I512" i="1"/>
  <c r="J512" i="1"/>
  <c r="K512" i="1"/>
  <c r="G513" i="1"/>
  <c r="I513" i="1"/>
  <c r="I514" i="1" s="1"/>
  <c r="I535" i="1" s="1"/>
  <c r="J513" i="1"/>
  <c r="K513" i="1"/>
  <c r="F513" i="1"/>
  <c r="L513" i="1" s="1"/>
  <c r="F541" i="1" s="1"/>
  <c r="F512" i="1"/>
  <c r="I359" i="1"/>
  <c r="J354" i="1"/>
  <c r="I354" i="1"/>
  <c r="G624" i="1" s="1"/>
  <c r="J624" i="1" s="1"/>
  <c r="H354" i="1"/>
  <c r="G354" i="1"/>
  <c r="F102" i="1"/>
  <c r="F103" i="1" s="1"/>
  <c r="F42" i="1"/>
  <c r="C41" i="4" s="1"/>
  <c r="L255" i="1"/>
  <c r="C127" i="4"/>
  <c r="L252" i="1"/>
  <c r="F14" i="3"/>
  <c r="L197" i="1"/>
  <c r="L196" i="1"/>
  <c r="G7" i="3"/>
  <c r="C36" i="2"/>
  <c r="J514" i="1"/>
  <c r="F5" i="3"/>
  <c r="D5" i="3" s="1"/>
  <c r="B9" i="2"/>
  <c r="A13" i="2" s="1"/>
  <c r="C9" i="2"/>
  <c r="F88" i="1"/>
  <c r="F75" i="1"/>
  <c r="F55" i="1"/>
  <c r="F29" i="1"/>
  <c r="F9" i="1"/>
  <c r="F2" i="6"/>
  <c r="B2" i="5"/>
  <c r="C5" i="5"/>
  <c r="C6" i="5"/>
  <c r="C37" i="5"/>
  <c r="C40" i="5"/>
  <c r="C42" i="5"/>
  <c r="G19" i="1"/>
  <c r="H19" i="1"/>
  <c r="G609" i="1" s="1"/>
  <c r="J609" i="1" s="1"/>
  <c r="I19" i="1"/>
  <c r="F33" i="1"/>
  <c r="H33" i="1"/>
  <c r="H44" i="1" s="1"/>
  <c r="H609" i="1" s="1"/>
  <c r="I33" i="1"/>
  <c r="I44" i="1" s="1"/>
  <c r="H610" i="1" s="1"/>
  <c r="F43" i="1"/>
  <c r="G612" i="1" s="1"/>
  <c r="G43" i="1"/>
  <c r="H43" i="1"/>
  <c r="I43" i="1"/>
  <c r="F52" i="1"/>
  <c r="G52" i="1"/>
  <c r="G104" i="1" s="1"/>
  <c r="G185" i="1" s="1"/>
  <c r="G618" i="1" s="1"/>
  <c r="J618" i="1" s="1"/>
  <c r="H52" i="1"/>
  <c r="H104" i="1" s="1"/>
  <c r="H185" i="1" s="1"/>
  <c r="G619" i="1" s="1"/>
  <c r="J619" i="1" s="1"/>
  <c r="I52" i="1"/>
  <c r="I104" i="1" s="1"/>
  <c r="J52" i="1"/>
  <c r="F71" i="1"/>
  <c r="F104" i="1" s="1"/>
  <c r="F185" i="1" s="1"/>
  <c r="H71" i="1"/>
  <c r="F86" i="1"/>
  <c r="H86" i="1"/>
  <c r="E50" i="4" s="1"/>
  <c r="E54" i="4" s="1"/>
  <c r="G103" i="1"/>
  <c r="H103" i="1"/>
  <c r="I103" i="1"/>
  <c r="J103" i="1"/>
  <c r="J104" i="1"/>
  <c r="F113" i="1"/>
  <c r="G113" i="1"/>
  <c r="H113" i="1"/>
  <c r="H132" i="1" s="1"/>
  <c r="I113" i="1"/>
  <c r="J113" i="1"/>
  <c r="F128" i="1"/>
  <c r="G128" i="1"/>
  <c r="H128" i="1"/>
  <c r="I128" i="1"/>
  <c r="J128" i="1"/>
  <c r="J132" i="1" s="1"/>
  <c r="I132" i="1"/>
  <c r="F139" i="1"/>
  <c r="F161" i="1" s="1"/>
  <c r="C39" i="5" s="1"/>
  <c r="G139" i="1"/>
  <c r="H139" i="1"/>
  <c r="I139" i="1"/>
  <c r="F154" i="1"/>
  <c r="G154" i="1"/>
  <c r="I154" i="1"/>
  <c r="I161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H184" i="1" s="1"/>
  <c r="I180" i="1"/>
  <c r="L191" i="1"/>
  <c r="C12" i="5" s="1"/>
  <c r="L198" i="1"/>
  <c r="L207" i="1"/>
  <c r="L209" i="1"/>
  <c r="L210" i="1"/>
  <c r="L212" i="1"/>
  <c r="L213" i="1"/>
  <c r="L214" i="1"/>
  <c r="L215" i="1"/>
  <c r="L216" i="1"/>
  <c r="C114" i="4" s="1"/>
  <c r="L217" i="1"/>
  <c r="L218" i="1"/>
  <c r="C116" i="4" s="1"/>
  <c r="L219" i="1"/>
  <c r="F221" i="1"/>
  <c r="G221" i="1"/>
  <c r="I221" i="1"/>
  <c r="J221" i="1"/>
  <c r="K221" i="1"/>
  <c r="L227" i="1"/>
  <c r="L228" i="1"/>
  <c r="L230" i="1"/>
  <c r="L231" i="1"/>
  <c r="C16" i="5" s="1"/>
  <c r="L232" i="1"/>
  <c r="C17" i="5" s="1"/>
  <c r="L233" i="1"/>
  <c r="C18" i="5" s="1"/>
  <c r="L234" i="1"/>
  <c r="L235" i="1"/>
  <c r="L237" i="1"/>
  <c r="L242" i="1"/>
  <c r="C23" i="5" s="1"/>
  <c r="L243" i="1"/>
  <c r="L244" i="1"/>
  <c r="L245" i="1"/>
  <c r="L246" i="1"/>
  <c r="L247" i="1"/>
  <c r="F248" i="1"/>
  <c r="L248" i="1" s="1"/>
  <c r="G248" i="1"/>
  <c r="H248" i="1"/>
  <c r="I248" i="1"/>
  <c r="J248" i="1"/>
  <c r="K248" i="1"/>
  <c r="L253" i="1"/>
  <c r="C124" i="4" s="1"/>
  <c r="L256" i="1"/>
  <c r="L257" i="1"/>
  <c r="L258" i="1"/>
  <c r="L260" i="1"/>
  <c r="C134" i="4" s="1"/>
  <c r="L261" i="1"/>
  <c r="F262" i="1"/>
  <c r="L262" i="1" s="1"/>
  <c r="G262" i="1"/>
  <c r="H262" i="1"/>
  <c r="I262" i="1"/>
  <c r="J262" i="1"/>
  <c r="L270" i="1"/>
  <c r="L271" i="1"/>
  <c r="L273" i="1"/>
  <c r="L275" i="1"/>
  <c r="L276" i="1"/>
  <c r="L277" i="1"/>
  <c r="L278" i="1"/>
  <c r="L282" i="1" s="1"/>
  <c r="L279" i="1"/>
  <c r="E116" i="4" s="1"/>
  <c r="L280" i="1"/>
  <c r="I282" i="1"/>
  <c r="L287" i="1"/>
  <c r="L288" i="1"/>
  <c r="L289" i="1"/>
  <c r="L290" i="1"/>
  <c r="L292" i="1"/>
  <c r="L293" i="1"/>
  <c r="E111" i="4" s="1"/>
  <c r="L294" i="1"/>
  <c r="E112" i="4" s="1"/>
  <c r="L295" i="1"/>
  <c r="E113" i="4" s="1"/>
  <c r="L296" i="1"/>
  <c r="L297" i="1"/>
  <c r="L298" i="1"/>
  <c r="L299" i="1"/>
  <c r="F301" i="1"/>
  <c r="G301" i="1"/>
  <c r="H301" i="1"/>
  <c r="H330" i="1" s="1"/>
  <c r="H344" i="1" s="1"/>
  <c r="I301" i="1"/>
  <c r="J301" i="1"/>
  <c r="K301" i="1"/>
  <c r="L306" i="1"/>
  <c r="L307" i="1"/>
  <c r="E102" i="4" s="1"/>
  <c r="L308" i="1"/>
  <c r="L309" i="1"/>
  <c r="L311" i="1"/>
  <c r="L312" i="1"/>
  <c r="L313" i="1"/>
  <c r="L314" i="1"/>
  <c r="L315" i="1"/>
  <c r="L316" i="1"/>
  <c r="L317" i="1"/>
  <c r="L318" i="1"/>
  <c r="E117" i="4" s="1"/>
  <c r="F320" i="1"/>
  <c r="G320" i="1"/>
  <c r="G330" i="1" s="1"/>
  <c r="G344" i="1" s="1"/>
  <c r="H320" i="1"/>
  <c r="I320" i="1"/>
  <c r="J320" i="1"/>
  <c r="K320" i="1"/>
  <c r="L324" i="1"/>
  <c r="L325" i="1"/>
  <c r="L326" i="1"/>
  <c r="L327" i="1"/>
  <c r="C24" i="5"/>
  <c r="L328" i="1"/>
  <c r="F22" i="3" s="1"/>
  <c r="C22" i="3" s="1"/>
  <c r="F329" i="1"/>
  <c r="L329" i="1" s="1"/>
  <c r="G329" i="1"/>
  <c r="H329" i="1"/>
  <c r="I329" i="1"/>
  <c r="I330" i="1" s="1"/>
  <c r="I344" i="1" s="1"/>
  <c r="J329" i="1"/>
  <c r="K329" i="1"/>
  <c r="L333" i="1"/>
  <c r="L334" i="1"/>
  <c r="L336" i="1"/>
  <c r="L337" i="1"/>
  <c r="L343" i="1" s="1"/>
  <c r="L338" i="1"/>
  <c r="E129" i="4" s="1"/>
  <c r="L339" i="1"/>
  <c r="L341" i="1"/>
  <c r="L342" i="1"/>
  <c r="K343" i="1"/>
  <c r="L351" i="1"/>
  <c r="L352" i="1"/>
  <c r="L353" i="1"/>
  <c r="K354" i="1"/>
  <c r="I360" i="1"/>
  <c r="G361" i="1"/>
  <c r="H361" i="1"/>
  <c r="L366" i="1"/>
  <c r="F122" i="4" s="1"/>
  <c r="F136" i="4" s="1"/>
  <c r="F137" i="4" s="1"/>
  <c r="L367" i="1"/>
  <c r="C29" i="5" s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0" i="1"/>
  <c r="L381" i="1"/>
  <c r="L382" i="1"/>
  <c r="L383" i="1"/>
  <c r="L384" i="1"/>
  <c r="F385" i="1"/>
  <c r="G385" i="1"/>
  <c r="H385" i="1"/>
  <c r="I385" i="1"/>
  <c r="L387" i="1"/>
  <c r="L393" i="1" s="1"/>
  <c r="L388" i="1"/>
  <c r="L389" i="1"/>
  <c r="L390" i="1"/>
  <c r="L391" i="1"/>
  <c r="L392" i="1"/>
  <c r="F393" i="1"/>
  <c r="G393" i="1"/>
  <c r="H393" i="1"/>
  <c r="I393" i="1"/>
  <c r="L395" i="1"/>
  <c r="L396" i="1"/>
  <c r="L399" i="1" s="1"/>
  <c r="C132" i="4" s="1"/>
  <c r="L397" i="1"/>
  <c r="L398" i="1"/>
  <c r="F399" i="1"/>
  <c r="G399" i="1"/>
  <c r="H399" i="1"/>
  <c r="I399" i="1"/>
  <c r="L405" i="1"/>
  <c r="L406" i="1"/>
  <c r="L407" i="1"/>
  <c r="L408" i="1"/>
  <c r="L409" i="1"/>
  <c r="L411" i="1" s="1"/>
  <c r="L410" i="1"/>
  <c r="F411" i="1"/>
  <c r="F426" i="1" s="1"/>
  <c r="G411" i="1"/>
  <c r="H411" i="1"/>
  <c r="I411" i="1"/>
  <c r="J411" i="1"/>
  <c r="K411" i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K419" i="1"/>
  <c r="L421" i="1"/>
  <c r="L422" i="1"/>
  <c r="L423" i="1"/>
  <c r="L424" i="1"/>
  <c r="L425" i="1"/>
  <c r="F425" i="1"/>
  <c r="G425" i="1"/>
  <c r="G426" i="1" s="1"/>
  <c r="H425" i="1"/>
  <c r="I425" i="1"/>
  <c r="J425" i="1"/>
  <c r="K425" i="1"/>
  <c r="K426" i="1" s="1"/>
  <c r="G126" i="4" s="1"/>
  <c r="G136" i="4" s="1"/>
  <c r="G137" i="4" s="1"/>
  <c r="I431" i="1"/>
  <c r="J9" i="1"/>
  <c r="I432" i="1"/>
  <c r="I438" i="1" s="1"/>
  <c r="G632" i="1" s="1"/>
  <c r="I433" i="1"/>
  <c r="J12" i="1" s="1"/>
  <c r="G12" i="4" s="1"/>
  <c r="I434" i="1"/>
  <c r="J13" i="1" s="1"/>
  <c r="G13" i="4" s="1"/>
  <c r="I435" i="1"/>
  <c r="J14" i="1"/>
  <c r="G14" i="4" s="1"/>
  <c r="I436" i="1"/>
  <c r="J17" i="1"/>
  <c r="G17" i="4"/>
  <c r="I437" i="1"/>
  <c r="J18" i="1" s="1"/>
  <c r="G18" i="4" s="1"/>
  <c r="F438" i="1"/>
  <c r="G629" i="1" s="1"/>
  <c r="G438" i="1"/>
  <c r="H438" i="1"/>
  <c r="G631" i="1"/>
  <c r="I440" i="1"/>
  <c r="J23" i="1" s="1"/>
  <c r="I441" i="1"/>
  <c r="I444" i="1" s="1"/>
  <c r="J24" i="1"/>
  <c r="G23" i="4"/>
  <c r="I442" i="1"/>
  <c r="J25" i="1"/>
  <c r="G24" i="4"/>
  <c r="I443" i="1"/>
  <c r="J32" i="1" s="1"/>
  <c r="G31" i="4" s="1"/>
  <c r="F444" i="1"/>
  <c r="G444" i="1"/>
  <c r="H444" i="1"/>
  <c r="I446" i="1"/>
  <c r="J37" i="1" s="1"/>
  <c r="I447" i="1"/>
  <c r="J38" i="1"/>
  <c r="G37" i="4" s="1"/>
  <c r="I448" i="1"/>
  <c r="J40" i="1"/>
  <c r="G450" i="1"/>
  <c r="G451" i="1"/>
  <c r="H630" i="1" s="1"/>
  <c r="J630" i="1" s="1"/>
  <c r="H450" i="1"/>
  <c r="H451" i="1"/>
  <c r="H631" i="1"/>
  <c r="J631" i="1" s="1"/>
  <c r="G460" i="1"/>
  <c r="H460" i="1"/>
  <c r="I460" i="1"/>
  <c r="I466" i="1" s="1"/>
  <c r="H615" i="1" s="1"/>
  <c r="F464" i="1"/>
  <c r="G464" i="1"/>
  <c r="H464" i="1"/>
  <c r="I464" i="1"/>
  <c r="J464" i="1"/>
  <c r="K485" i="1"/>
  <c r="K486" i="1"/>
  <c r="K487" i="1"/>
  <c r="K488" i="1"/>
  <c r="K489" i="1"/>
  <c r="F490" i="1"/>
  <c r="K490" i="1" s="1"/>
  <c r="G490" i="1"/>
  <c r="H490" i="1"/>
  <c r="I490" i="1"/>
  <c r="J490" i="1"/>
  <c r="K491" i="1"/>
  <c r="K492" i="1"/>
  <c r="F493" i="1"/>
  <c r="K493" i="1" s="1"/>
  <c r="G493" i="1"/>
  <c r="H493" i="1"/>
  <c r="I493" i="1"/>
  <c r="J493" i="1"/>
  <c r="F507" i="1"/>
  <c r="G507" i="1"/>
  <c r="H507" i="1"/>
  <c r="I507" i="1"/>
  <c r="L517" i="1"/>
  <c r="G540" i="1" s="1"/>
  <c r="K540" i="1" s="1"/>
  <c r="L518" i="1"/>
  <c r="G541" i="1" s="1"/>
  <c r="H519" i="1"/>
  <c r="J519" i="1"/>
  <c r="K519" i="1"/>
  <c r="L526" i="1"/>
  <c r="L527" i="1"/>
  <c r="I540" i="1" s="1"/>
  <c r="I542" i="1" s="1"/>
  <c r="L528" i="1"/>
  <c r="F529" i="1"/>
  <c r="G529" i="1"/>
  <c r="H529" i="1"/>
  <c r="I529" i="1"/>
  <c r="J529" i="1"/>
  <c r="K529" i="1"/>
  <c r="L532" i="1"/>
  <c r="J540" i="1" s="1"/>
  <c r="I539" i="1"/>
  <c r="I541" i="1"/>
  <c r="L547" i="1"/>
  <c r="L550" i="1" s="1"/>
  <c r="L548" i="1"/>
  <c r="L549" i="1"/>
  <c r="F550" i="1"/>
  <c r="G550" i="1"/>
  <c r="G561" i="1" s="1"/>
  <c r="H550" i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F561" i="1" s="1"/>
  <c r="G560" i="1"/>
  <c r="H560" i="1"/>
  <c r="I560" i="1"/>
  <c r="J560" i="1"/>
  <c r="K560" i="1"/>
  <c r="I566" i="1"/>
  <c r="I567" i="1"/>
  <c r="I568" i="1"/>
  <c r="I570" i="1"/>
  <c r="I571" i="1"/>
  <c r="I573" i="1"/>
  <c r="I574" i="1"/>
  <c r="I575" i="1"/>
  <c r="I576" i="1"/>
  <c r="I577" i="1"/>
  <c r="K583" i="1"/>
  <c r="K584" i="1"/>
  <c r="K586" i="1"/>
  <c r="K587" i="1"/>
  <c r="I588" i="1"/>
  <c r="H640" i="1"/>
  <c r="K592" i="1"/>
  <c r="K593" i="1"/>
  <c r="I595" i="1"/>
  <c r="L602" i="1"/>
  <c r="G653" i="1" s="1"/>
  <c r="L603" i="1"/>
  <c r="F604" i="1"/>
  <c r="H604" i="1"/>
  <c r="I604" i="1"/>
  <c r="J604" i="1"/>
  <c r="K604" i="1"/>
  <c r="G608" i="1"/>
  <c r="G610" i="1"/>
  <c r="J610" i="1" s="1"/>
  <c r="G613" i="1"/>
  <c r="G614" i="1"/>
  <c r="G615" i="1"/>
  <c r="J615" i="1" s="1"/>
  <c r="H618" i="1"/>
  <c r="H619" i="1"/>
  <c r="H620" i="1"/>
  <c r="H622" i="1"/>
  <c r="H623" i="1"/>
  <c r="H625" i="1"/>
  <c r="H626" i="1"/>
  <c r="H628" i="1"/>
  <c r="G630" i="1"/>
  <c r="G633" i="1"/>
  <c r="G634" i="1"/>
  <c r="G642" i="1"/>
  <c r="G643" i="1"/>
  <c r="H643" i="1"/>
  <c r="J643" i="1"/>
  <c r="G644" i="1"/>
  <c r="J644" i="1" s="1"/>
  <c r="H644" i="1"/>
  <c r="G645" i="1"/>
  <c r="H645" i="1"/>
  <c r="I655" i="1"/>
  <c r="I659" i="1"/>
  <c r="I660" i="1"/>
  <c r="B2" i="3"/>
  <c r="F6" i="3"/>
  <c r="F8" i="3"/>
  <c r="C9" i="3"/>
  <c r="C10" i="3"/>
  <c r="C11" i="3"/>
  <c r="F12" i="3"/>
  <c r="G12" i="3"/>
  <c r="F13" i="3"/>
  <c r="G13" i="3"/>
  <c r="G14" i="3"/>
  <c r="F16" i="3"/>
  <c r="G16" i="3"/>
  <c r="F17" i="3"/>
  <c r="G17" i="3"/>
  <c r="D17" i="3"/>
  <c r="C17" i="3" s="1"/>
  <c r="F18" i="3"/>
  <c r="G18" i="3"/>
  <c r="F19" i="3"/>
  <c r="G19" i="3"/>
  <c r="D19" i="3"/>
  <c r="F29" i="3"/>
  <c r="G29" i="3"/>
  <c r="D39" i="3"/>
  <c r="A1" i="4"/>
  <c r="A2" i="4"/>
  <c r="C9" i="4"/>
  <c r="D9" i="4"/>
  <c r="E9" i="4"/>
  <c r="E19" i="4" s="1"/>
  <c r="F9" i="4"/>
  <c r="C10" i="4"/>
  <c r="C19" i="4" s="1"/>
  <c r="D10" i="4"/>
  <c r="E10" i="4"/>
  <c r="F10" i="4"/>
  <c r="C11" i="4"/>
  <c r="C12" i="4"/>
  <c r="D12" i="4"/>
  <c r="D19" i="4" s="1"/>
  <c r="D13" i="4"/>
  <c r="D14" i="4"/>
  <c r="D16" i="4"/>
  <c r="D17" i="4"/>
  <c r="D18" i="4"/>
  <c r="E12" i="4"/>
  <c r="F12" i="4"/>
  <c r="C13" i="4"/>
  <c r="E13" i="4"/>
  <c r="F13" i="4"/>
  <c r="F19" i="4" s="1"/>
  <c r="C14" i="4"/>
  <c r="E14" i="4"/>
  <c r="F14" i="4"/>
  <c r="F15" i="4"/>
  <c r="C16" i="4"/>
  <c r="E16" i="4"/>
  <c r="E17" i="4"/>
  <c r="E18" i="4"/>
  <c r="F16" i="4"/>
  <c r="C17" i="4"/>
  <c r="F17" i="4"/>
  <c r="C18" i="4"/>
  <c r="F18" i="4"/>
  <c r="C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F26" i="4"/>
  <c r="C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4" i="4"/>
  <c r="C42" i="4" s="1"/>
  <c r="C43" i="4" s="1"/>
  <c r="D34" i="4"/>
  <c r="E34" i="4"/>
  <c r="F34" i="4"/>
  <c r="C35" i="4"/>
  <c r="D35" i="4"/>
  <c r="E35" i="4"/>
  <c r="F35" i="4"/>
  <c r="F42" i="4" s="1"/>
  <c r="F43" i="4" s="1"/>
  <c r="C36" i="4"/>
  <c r="D36" i="4"/>
  <c r="E36" i="4"/>
  <c r="F36" i="4"/>
  <c r="C37" i="4"/>
  <c r="D37" i="4"/>
  <c r="E37" i="4"/>
  <c r="F37" i="4"/>
  <c r="C38" i="4"/>
  <c r="D38" i="4"/>
  <c r="E38" i="4"/>
  <c r="F38" i="4"/>
  <c r="C40" i="4"/>
  <c r="D40" i="4"/>
  <c r="E40" i="4"/>
  <c r="F40" i="4"/>
  <c r="D41" i="4"/>
  <c r="E41" i="4"/>
  <c r="F41" i="4"/>
  <c r="C48" i="4"/>
  <c r="D48" i="4"/>
  <c r="E48" i="4"/>
  <c r="E55" i="4" s="1"/>
  <c r="F48" i="4"/>
  <c r="F55" i="4" s="1"/>
  <c r="G48" i="4"/>
  <c r="C49" i="4"/>
  <c r="E49" i="4"/>
  <c r="C50" i="4"/>
  <c r="C51" i="4"/>
  <c r="D51" i="4"/>
  <c r="E51" i="4"/>
  <c r="F51" i="4"/>
  <c r="G51" i="4"/>
  <c r="D52" i="4"/>
  <c r="D53" i="4"/>
  <c r="D54" i="4" s="1"/>
  <c r="D55" i="4" s="1"/>
  <c r="E53" i="4"/>
  <c r="F53" i="4"/>
  <c r="G53" i="4"/>
  <c r="C58" i="4"/>
  <c r="C59" i="4"/>
  <c r="C60" i="4"/>
  <c r="C61" i="4"/>
  <c r="D61" i="4"/>
  <c r="D62" i="4" s="1"/>
  <c r="E61" i="4"/>
  <c r="E62" i="4"/>
  <c r="F61" i="4"/>
  <c r="F62" i="4"/>
  <c r="G61" i="4"/>
  <c r="G62" i="4" s="1"/>
  <c r="C64" i="4"/>
  <c r="C70" i="4" s="1"/>
  <c r="C73" i="4" s="1"/>
  <c r="C65" i="4"/>
  <c r="C66" i="4"/>
  <c r="C67" i="4"/>
  <c r="C68" i="4"/>
  <c r="C69" i="4"/>
  <c r="C71" i="4"/>
  <c r="C72" i="4"/>
  <c r="C62" i="4"/>
  <c r="F64" i="4"/>
  <c r="F65" i="4"/>
  <c r="F70" i="4" s="1"/>
  <c r="F73" i="4" s="1"/>
  <c r="E68" i="4"/>
  <c r="F68" i="4"/>
  <c r="F69" i="4"/>
  <c r="D69" i="4"/>
  <c r="D70" i="4"/>
  <c r="E69" i="4"/>
  <c r="E70" i="4"/>
  <c r="E73" i="4" s="1"/>
  <c r="E71" i="4"/>
  <c r="E72" i="4"/>
  <c r="G69" i="4"/>
  <c r="G70" i="4"/>
  <c r="G73" i="4" s="1"/>
  <c r="D71" i="4"/>
  <c r="C77" i="4"/>
  <c r="D77" i="4"/>
  <c r="E77" i="4"/>
  <c r="E83" i="4" s="1"/>
  <c r="E79" i="4"/>
  <c r="E80" i="4"/>
  <c r="E81" i="4"/>
  <c r="F77" i="4"/>
  <c r="C79" i="4"/>
  <c r="F79" i="4"/>
  <c r="C80" i="4"/>
  <c r="D80" i="4"/>
  <c r="F80" i="4"/>
  <c r="C81" i="4"/>
  <c r="D81" i="4"/>
  <c r="F81" i="4"/>
  <c r="C82" i="4"/>
  <c r="C83" i="4" s="1"/>
  <c r="C85" i="4"/>
  <c r="C95" i="4" s="1"/>
  <c r="C86" i="4"/>
  <c r="C89" i="4"/>
  <c r="C90" i="4"/>
  <c r="C91" i="4"/>
  <c r="C92" i="4"/>
  <c r="C93" i="4"/>
  <c r="C94" i="4"/>
  <c r="F85" i="4"/>
  <c r="F95" i="4" s="1"/>
  <c r="F86" i="4"/>
  <c r="D88" i="4"/>
  <c r="D95" i="4" s="1"/>
  <c r="E88" i="4"/>
  <c r="F88" i="4"/>
  <c r="G88" i="4"/>
  <c r="D89" i="4"/>
  <c r="E89" i="4"/>
  <c r="F89" i="4"/>
  <c r="G89" i="4"/>
  <c r="D90" i="4"/>
  <c r="E90" i="4"/>
  <c r="G90" i="4"/>
  <c r="G95" i="4" s="1"/>
  <c r="D91" i="4"/>
  <c r="E91" i="4"/>
  <c r="E95" i="4" s="1"/>
  <c r="F91" i="4"/>
  <c r="D92" i="4"/>
  <c r="E92" i="4"/>
  <c r="F92" i="4"/>
  <c r="D93" i="4"/>
  <c r="E93" i="4"/>
  <c r="F93" i="4"/>
  <c r="D94" i="4"/>
  <c r="E94" i="4"/>
  <c r="F94" i="4"/>
  <c r="E103" i="4"/>
  <c r="E104" i="4"/>
  <c r="C105" i="4"/>
  <c r="E105" i="4"/>
  <c r="C106" i="4"/>
  <c r="E106" i="4"/>
  <c r="D107" i="4"/>
  <c r="F107" i="4"/>
  <c r="G107" i="4"/>
  <c r="E110" i="4"/>
  <c r="E114" i="4"/>
  <c r="E115" i="4"/>
  <c r="F120" i="4"/>
  <c r="G120" i="4"/>
  <c r="C122" i="4"/>
  <c r="F126" i="4"/>
  <c r="E123" i="4"/>
  <c r="E124" i="4"/>
  <c r="D126" i="4"/>
  <c r="D136" i="4"/>
  <c r="E126" i="4"/>
  <c r="C128" i="4"/>
  <c r="C129" i="4"/>
  <c r="E134" i="4"/>
  <c r="C135" i="4"/>
  <c r="E135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G148" i="4" s="1"/>
  <c r="D148" i="4"/>
  <c r="E148" i="4"/>
  <c r="F148" i="4"/>
  <c r="B149" i="4"/>
  <c r="C149" i="4"/>
  <c r="D149" i="4"/>
  <c r="G149" i="4" s="1"/>
  <c r="E149" i="4"/>
  <c r="F149" i="4"/>
  <c r="B150" i="4"/>
  <c r="C150" i="4"/>
  <c r="D150" i="4"/>
  <c r="E150" i="4"/>
  <c r="F150" i="4"/>
  <c r="B151" i="4"/>
  <c r="C151" i="4"/>
  <c r="D151" i="4"/>
  <c r="E151" i="4"/>
  <c r="F151" i="4"/>
  <c r="G151" i="4" s="1"/>
  <c r="B152" i="4"/>
  <c r="C152" i="4"/>
  <c r="D152" i="4"/>
  <c r="E152" i="4"/>
  <c r="F152" i="4"/>
  <c r="B153" i="4"/>
  <c r="G153" i="4" s="1"/>
  <c r="C153" i="4"/>
  <c r="D153" i="4"/>
  <c r="E153" i="4"/>
  <c r="F153" i="4"/>
  <c r="B154" i="4"/>
  <c r="G154" i="4" s="1"/>
  <c r="C154" i="4"/>
  <c r="D154" i="4"/>
  <c r="E154" i="4"/>
  <c r="F154" i="4"/>
  <c r="B155" i="4"/>
  <c r="C155" i="4"/>
  <c r="D155" i="4"/>
  <c r="E155" i="4"/>
  <c r="F155" i="4"/>
  <c r="C156" i="4"/>
  <c r="D156" i="4"/>
  <c r="E156" i="4"/>
  <c r="F156" i="4"/>
  <c r="B1" i="2"/>
  <c r="B4" i="2"/>
  <c r="C13" i="2"/>
  <c r="B27" i="2"/>
  <c r="A31" i="2" s="1"/>
  <c r="C27" i="2"/>
  <c r="B31" i="2"/>
  <c r="C31" i="2"/>
  <c r="B40" i="2"/>
  <c r="A40" i="2" s="1"/>
  <c r="F83" i="4"/>
  <c r="D42" i="4"/>
  <c r="F54" i="4"/>
  <c r="E32" i="4"/>
  <c r="D18" i="3"/>
  <c r="C18" i="3" s="1"/>
  <c r="G635" i="1"/>
  <c r="F132" i="1"/>
  <c r="F19" i="1"/>
  <c r="G607" i="1" s="1"/>
  <c r="K533" i="1"/>
  <c r="K534" i="1" s="1"/>
  <c r="J239" i="1"/>
  <c r="I533" i="1"/>
  <c r="I534" i="1" s="1"/>
  <c r="H533" i="1"/>
  <c r="H534" i="1" s="1"/>
  <c r="G533" i="1"/>
  <c r="I426" i="1"/>
  <c r="H400" i="1"/>
  <c r="H634" i="1" s="1"/>
  <c r="J634" i="1" s="1"/>
  <c r="I400" i="1"/>
  <c r="G400" i="1"/>
  <c r="H635" i="1" s="1"/>
  <c r="F400" i="1"/>
  <c r="H633" i="1" s="1"/>
  <c r="J633" i="1" s="1"/>
  <c r="L385" i="1"/>
  <c r="C130" i="4" s="1"/>
  <c r="C26" i="5"/>
  <c r="K203" i="1"/>
  <c r="G39" i="4"/>
  <c r="E42" i="4"/>
  <c r="E43" i="4" s="1"/>
  <c r="G152" i="4"/>
  <c r="G5" i="3"/>
  <c r="F239" i="1"/>
  <c r="L236" i="1"/>
  <c r="G641" i="1" s="1"/>
  <c r="J641" i="1" s="1"/>
  <c r="F15" i="3"/>
  <c r="J645" i="1"/>
  <c r="G184" i="1"/>
  <c r="G161" i="1"/>
  <c r="G132" i="1"/>
  <c r="G466" i="1"/>
  <c r="H613" i="1" s="1"/>
  <c r="J613" i="1" s="1"/>
  <c r="L301" i="1"/>
  <c r="H466" i="1"/>
  <c r="H614" i="1"/>
  <c r="J614" i="1"/>
  <c r="J561" i="1"/>
  <c r="H561" i="1"/>
  <c r="I561" i="1"/>
  <c r="F533" i="1"/>
  <c r="L533" i="1" s="1"/>
  <c r="J541" i="1" s="1"/>
  <c r="J533" i="1"/>
  <c r="J534" i="1" s="1"/>
  <c r="G239" i="1"/>
  <c r="K239" i="1"/>
  <c r="K249" i="1" s="1"/>
  <c r="K263" i="1" s="1"/>
  <c r="L529" i="1"/>
  <c r="C40" i="2"/>
  <c r="L201" i="1"/>
  <c r="E16" i="3" s="1"/>
  <c r="C16" i="3" s="1"/>
  <c r="B36" i="2"/>
  <c r="F514" i="1"/>
  <c r="C25" i="5"/>
  <c r="L350" i="1"/>
  <c r="F651" i="1" s="1"/>
  <c r="D119" i="4"/>
  <c r="D120" i="4" s="1"/>
  <c r="D137" i="4" s="1"/>
  <c r="K262" i="1"/>
  <c r="K282" i="1"/>
  <c r="K330" i="1" s="1"/>
  <c r="K344" i="1" s="1"/>
  <c r="J595" i="1"/>
  <c r="F524" i="1"/>
  <c r="K594" i="1"/>
  <c r="K595" i="1"/>
  <c r="G638" i="1" s="1"/>
  <c r="G54" i="4"/>
  <c r="G55" i="4"/>
  <c r="G96" i="4" s="1"/>
  <c r="H652" i="1"/>
  <c r="J588" i="1"/>
  <c r="H641" i="1" s="1"/>
  <c r="L199" i="1"/>
  <c r="D14" i="3" s="1"/>
  <c r="C14" i="3" s="1"/>
  <c r="F361" i="1"/>
  <c r="L189" i="1"/>
  <c r="C10" i="5" s="1"/>
  <c r="I239" i="1"/>
  <c r="J203" i="1"/>
  <c r="J249" i="1" s="1"/>
  <c r="L190" i="1"/>
  <c r="F354" i="1"/>
  <c r="G8" i="3"/>
  <c r="I203" i="1"/>
  <c r="I249" i="1" s="1"/>
  <c r="I263" i="1" s="1"/>
  <c r="F203" i="1"/>
  <c r="F249" i="1"/>
  <c r="F263" i="1" s="1"/>
  <c r="K582" i="1"/>
  <c r="H595" i="1"/>
  <c r="H653" i="1"/>
  <c r="L200" i="1"/>
  <c r="F282" i="1"/>
  <c r="F330" i="1"/>
  <c r="F344" i="1" s="1"/>
  <c r="G203" i="1"/>
  <c r="G249" i="1" s="1"/>
  <c r="G263" i="1" s="1"/>
  <c r="L268" i="1"/>
  <c r="E101" i="4" s="1"/>
  <c r="E107" i="4" s="1"/>
  <c r="H203" i="1"/>
  <c r="H239" i="1"/>
  <c r="G15" i="3"/>
  <c r="L192" i="1"/>
  <c r="C13" i="5"/>
  <c r="L208" i="1"/>
  <c r="L221" i="1" s="1"/>
  <c r="G650" i="1" s="1"/>
  <c r="C104" i="4"/>
  <c r="G6" i="3"/>
  <c r="D6" i="3" s="1"/>
  <c r="C6" i="3" s="1"/>
  <c r="G639" i="1"/>
  <c r="C19" i="5"/>
  <c r="H642" i="1"/>
  <c r="J642" i="1" s="1"/>
  <c r="L226" i="1"/>
  <c r="C102" i="4"/>
  <c r="H221" i="1"/>
  <c r="H249" i="1" s="1"/>
  <c r="H263" i="1" s="1"/>
  <c r="G9" i="4"/>
  <c r="J426" i="1"/>
  <c r="H426" i="1"/>
  <c r="G155" i="4"/>
  <c r="G150" i="4"/>
  <c r="D83" i="4"/>
  <c r="C32" i="4"/>
  <c r="F32" i="4"/>
  <c r="L195" i="1"/>
  <c r="C111" i="4" s="1"/>
  <c r="L269" i="1"/>
  <c r="B22" i="2"/>
  <c r="B13" i="2"/>
  <c r="I572" i="1"/>
  <c r="L194" i="1"/>
  <c r="C11" i="5"/>
  <c r="C19" i="3"/>
  <c r="C110" i="4"/>
  <c r="C15" i="5"/>
  <c r="L521" i="1"/>
  <c r="H524" i="1"/>
  <c r="H514" i="1"/>
  <c r="L512" i="1"/>
  <c r="F540" i="1"/>
  <c r="I569" i="1"/>
  <c r="D7" i="3"/>
  <c r="C7" i="3" s="1"/>
  <c r="H588" i="1"/>
  <c r="H639" i="1"/>
  <c r="J639" i="1" s="1"/>
  <c r="K581" i="1"/>
  <c r="K588" i="1"/>
  <c r="G637" i="1" s="1"/>
  <c r="L601" i="1"/>
  <c r="F653" i="1" s="1"/>
  <c r="I653" i="1" s="1"/>
  <c r="G604" i="1"/>
  <c r="H25" i="3"/>
  <c r="H33" i="3" s="1"/>
  <c r="C123" i="4"/>
  <c r="C32" i="5"/>
  <c r="I361" i="1"/>
  <c r="H624" i="1"/>
  <c r="J330" i="1"/>
  <c r="F31" i="3"/>
  <c r="J344" i="1"/>
  <c r="L516" i="1"/>
  <c r="G539" i="1" s="1"/>
  <c r="G519" i="1"/>
  <c r="L519" i="1"/>
  <c r="G542" i="1" l="1"/>
  <c r="E120" i="4"/>
  <c r="J185" i="1"/>
  <c r="G535" i="1"/>
  <c r="H535" i="1"/>
  <c r="L400" i="1"/>
  <c r="C131" i="4"/>
  <c r="K535" i="1"/>
  <c r="C5" i="3"/>
  <c r="J638" i="1"/>
  <c r="D73" i="4"/>
  <c r="G22" i="4"/>
  <c r="G32" i="4" s="1"/>
  <c r="J33" i="1"/>
  <c r="L426" i="1"/>
  <c r="G628" i="1" s="1"/>
  <c r="J628" i="1" s="1"/>
  <c r="C120" i="4"/>
  <c r="J43" i="1"/>
  <c r="G36" i="4"/>
  <c r="G42" i="4" s="1"/>
  <c r="G43" i="4" s="1"/>
  <c r="J263" i="1"/>
  <c r="H638" i="1"/>
  <c r="L524" i="1"/>
  <c r="J635" i="1"/>
  <c r="G617" i="1"/>
  <c r="F458" i="1"/>
  <c r="K541" i="1"/>
  <c r="F96" i="4"/>
  <c r="C38" i="5"/>
  <c r="I449" i="1"/>
  <c r="J41" i="1" s="1"/>
  <c r="G40" i="4" s="1"/>
  <c r="F450" i="1"/>
  <c r="F451" i="1" s="1"/>
  <c r="H629" i="1" s="1"/>
  <c r="J629" i="1" s="1"/>
  <c r="J637" i="1"/>
  <c r="D96" i="4"/>
  <c r="E96" i="4"/>
  <c r="L561" i="1"/>
  <c r="I185" i="1"/>
  <c r="G620" i="1" s="1"/>
  <c r="J620" i="1" s="1"/>
  <c r="L531" i="1"/>
  <c r="G534" i="1"/>
  <c r="F33" i="3"/>
  <c r="L203" i="1"/>
  <c r="C113" i="4"/>
  <c r="C101" i="4"/>
  <c r="H637" i="1"/>
  <c r="F534" i="1"/>
  <c r="F535" i="1" s="1"/>
  <c r="J10" i="1"/>
  <c r="C53" i="4"/>
  <c r="C54" i="4" s="1"/>
  <c r="C55" i="4" s="1"/>
  <c r="C96" i="4" s="1"/>
  <c r="L320" i="1"/>
  <c r="D31" i="3" s="1"/>
  <c r="C31" i="3" s="1"/>
  <c r="L604" i="1"/>
  <c r="E8" i="3"/>
  <c r="H651" i="1"/>
  <c r="G33" i="1"/>
  <c r="G44" i="1" s="1"/>
  <c r="H608" i="1" s="1"/>
  <c r="J608" i="1" s="1"/>
  <c r="C25" i="3"/>
  <c r="L511" i="1"/>
  <c r="C112" i="4"/>
  <c r="D12" i="3"/>
  <c r="C12" i="3" s="1"/>
  <c r="G31" i="3"/>
  <c r="G33" i="3" s="1"/>
  <c r="I450" i="1"/>
  <c r="I451" i="1" s="1"/>
  <c r="H632" i="1" s="1"/>
  <c r="J632" i="1" s="1"/>
  <c r="L374" i="1"/>
  <c r="G626" i="1" s="1"/>
  <c r="J626" i="1" s="1"/>
  <c r="B156" i="4"/>
  <c r="G156" i="4" s="1"/>
  <c r="C117" i="4"/>
  <c r="E122" i="4"/>
  <c r="L239" i="1"/>
  <c r="H539" i="1"/>
  <c r="H542" i="1" s="1"/>
  <c r="E13" i="3"/>
  <c r="C13" i="3" s="1"/>
  <c r="L354" i="1"/>
  <c r="G524" i="1"/>
  <c r="J524" i="1"/>
  <c r="J535" i="1" s="1"/>
  <c r="G651" i="1"/>
  <c r="G654" i="1" s="1"/>
  <c r="E127" i="4"/>
  <c r="G640" i="1"/>
  <c r="J640" i="1" s="1"/>
  <c r="C103" i="4"/>
  <c r="F44" i="1"/>
  <c r="H607" i="1" s="1"/>
  <c r="J607" i="1" s="1"/>
  <c r="G652" i="1"/>
  <c r="C115" i="4"/>
  <c r="D29" i="3"/>
  <c r="C29" i="3" s="1"/>
  <c r="D15" i="3"/>
  <c r="C15" i="3" s="1"/>
  <c r="F652" i="1"/>
  <c r="I652" i="1" s="1"/>
  <c r="C20" i="5"/>
  <c r="C35" i="5"/>
  <c r="C21" i="5"/>
  <c r="C136" i="4" l="1"/>
  <c r="G662" i="1"/>
  <c r="G657" i="1"/>
  <c r="G627" i="1"/>
  <c r="H636" i="1"/>
  <c r="G616" i="1"/>
  <c r="J44" i="1"/>
  <c r="H611" i="1" s="1"/>
  <c r="C36" i="5"/>
  <c r="C41" i="5"/>
  <c r="D35" i="5" s="1"/>
  <c r="G621" i="1"/>
  <c r="J458" i="1"/>
  <c r="G636" i="1"/>
  <c r="J636" i="1" s="1"/>
  <c r="C107" i="4"/>
  <c r="J19" i="1"/>
  <c r="G611" i="1" s="1"/>
  <c r="G10" i="4"/>
  <c r="G19" i="4" s="1"/>
  <c r="G625" i="1"/>
  <c r="J625" i="1" s="1"/>
  <c r="C27" i="5"/>
  <c r="F539" i="1"/>
  <c r="L514" i="1"/>
  <c r="D38" i="5"/>
  <c r="L249" i="1"/>
  <c r="L263" i="1" s="1"/>
  <c r="G622" i="1" s="1"/>
  <c r="J622" i="1" s="1"/>
  <c r="F650" i="1"/>
  <c r="L330" i="1"/>
  <c r="L344" i="1" s="1"/>
  <c r="G623" i="1" s="1"/>
  <c r="J623" i="1" s="1"/>
  <c r="C133" i="4"/>
  <c r="H650" i="1"/>
  <c r="H654" i="1" s="1"/>
  <c r="D33" i="3"/>
  <c r="D36" i="3" s="1"/>
  <c r="I651" i="1"/>
  <c r="E136" i="4"/>
  <c r="E137" i="4" s="1"/>
  <c r="E33" i="3"/>
  <c r="D35" i="3" s="1"/>
  <c r="C8" i="3"/>
  <c r="J539" i="1"/>
  <c r="J542" i="1" s="1"/>
  <c r="L534" i="1"/>
  <c r="H617" i="1"/>
  <c r="J617" i="1" s="1"/>
  <c r="F460" i="1"/>
  <c r="F466" i="1" s="1"/>
  <c r="H612" i="1" s="1"/>
  <c r="J612" i="1" s="1"/>
  <c r="F542" i="1" l="1"/>
  <c r="K539" i="1"/>
  <c r="K542" i="1" s="1"/>
  <c r="D27" i="5"/>
  <c r="J460" i="1"/>
  <c r="J466" i="1" s="1"/>
  <c r="H616" i="1" s="1"/>
  <c r="H627" i="1"/>
  <c r="H621" i="1"/>
  <c r="J621" i="1"/>
  <c r="D36" i="5"/>
  <c r="D41" i="5" s="1"/>
  <c r="J616" i="1"/>
  <c r="D40" i="5"/>
  <c r="D37" i="5"/>
  <c r="D39" i="5"/>
  <c r="H657" i="1"/>
  <c r="H662" i="1"/>
  <c r="L535" i="1"/>
  <c r="J627" i="1"/>
  <c r="C28" i="5"/>
  <c r="C137" i="4"/>
  <c r="J611" i="1"/>
  <c r="H646" i="1"/>
  <c r="I650" i="1"/>
  <c r="I654" i="1" s="1"/>
  <c r="F654" i="1"/>
  <c r="F662" i="1" l="1"/>
  <c r="C4" i="5" s="1"/>
  <c r="F657" i="1"/>
  <c r="I657" i="1"/>
  <c r="I662" i="1"/>
  <c r="C7" i="5" s="1"/>
  <c r="C30" i="5"/>
  <c r="D13" i="5"/>
  <c r="D22" i="5"/>
  <c r="D15" i="5"/>
  <c r="D24" i="5"/>
  <c r="D19" i="5"/>
  <c r="D23" i="5"/>
  <c r="D11" i="5"/>
  <c r="D25" i="5"/>
  <c r="D17" i="5"/>
  <c r="D26" i="5"/>
  <c r="D16" i="5"/>
  <c r="D12" i="5"/>
  <c r="D18" i="5"/>
  <c r="D10" i="5"/>
  <c r="D20" i="5"/>
  <c r="D21" i="5"/>
  <c r="D2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A4C0370-2C97-49B1-8887-A8EE06C2023E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EF359CA-EE5F-4344-9294-8265B48F852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5D415CD-263B-44F1-B8EB-1906D92C959F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EA2F355-811F-481F-8B99-5CD9626F06CF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E1924C86-81B2-4FF2-9CE9-FDAB3CB81F57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A99847A-75F0-41C9-8878-18860B1BA57F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BFA3F663-E938-407C-96A7-8E18321EA42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429694C-5AF6-4201-A66F-CB6F479C17EB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52B4FA5-CFFB-46FA-B14F-B3F188122FF1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FCBB195-FB1F-40A4-BBB8-F4AADCC77A27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53A06E4B-FD6F-4D1D-A2B4-81D89B5978FC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B060809-5D97-480E-A7A4-F5219EF1D798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<sst xmlns="http://schemas.openxmlformats.org/spreadsheetml/2006/main" count="3865" uniqueCount="901">
  <si>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</si>
  <si>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</si>
  <si>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</si>
  <si>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</si>
  <si>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</si>
  <si>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</si>
  <si>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</si>
  <si>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</si>
  <si>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</si>
  <si>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</si>
  <si>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</si>
  <si>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</si>
  <si>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</si>
  <si>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</si>
  <si>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</si>
  <si>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</si>
  <si>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</si>
  <si>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</si>
  <si>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</si>
  <si>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</si>
  <si>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</si>
  <si>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</si>
  <si>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</si>
  <si>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</si>
  <si>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</si>
  <si>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</si>
  <si>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</si>
  <si>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</si>
  <si>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</si>
  <si>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</si>
  <si>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</si>
  <si>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</si>
  <si>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</si>
  <si>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</si>
  <si>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</si>
  <si>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</si>
  <si>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</si>
  <si>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</si>
  <si>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</si>
  <si>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</si>
  <si>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</si>
  <si>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</si>
  <si>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</si>
  <si>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</si>
  <si>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</si>
  <si>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</si>
  <si>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</si>
  <si>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</si>
  <si>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</si>
  <si>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</si>
  <si>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</si>
  <si>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</si>
  <si>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</si>
  <si>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</si>
  <si>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</si>
  <si>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</si>
  <si>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</si>
  <si>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</si>
  <si>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</si>
  <si>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</si>
  <si>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</si>
  <si>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</si>
  <si>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</si>
  <si>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</si>
  <si>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</si>
  <si>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</si>
  <si>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</si>
  <si>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</si>
  <si>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</si>
  <si>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</si>
  <si>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</si>
  <si>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</si>
  <si>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</si>
  <si>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</si>
  <si>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</si>
  <si>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</si>
  <si>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</si>
  <si>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</si>
  <si>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</si>
  <si>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</si>
  <si>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</si>
  <si>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</si>
  <si>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</si>
  <si>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</si>
  <si>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</si>
  <si>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</si>
  <si>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</si>
  <si>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</si>
  <si>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</si>
  <si>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</si>
  <si>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</si>
  <si>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</si>
  <si>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</si>
  <si>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</si>
  <si>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</si>
  <si>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</si>
  <si>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</si>
  <si>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</si>
  <si>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</si>
  <si>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</si>
  <si>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</si>
  <si>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</si>
  <si>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</si>
  <si>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</si>
  <si>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</si>
  <si>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</si>
  <si>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</si>
  <si>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</si>
  <si>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</si>
  <si>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</si>
  <si>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</si>
  <si>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</si>
  <si>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</si>
  <si>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</si>
  <si>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</si>
  <si>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</si>
  <si>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</si>
  <si>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</si>
  <si>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</si>
  <si>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</si>
  <si>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</si>
  <si>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</si>
  <si>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</si>
  <si>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</si>
  <si>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</si>
  <si>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</si>
  <si>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</si>
  <si>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</si>
  <si>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</si>
  <si>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</si>
  <si>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</si>
  <si>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</si>
  <si>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</si>
  <si>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</si>
  <si>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</si>
  <si>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</si>
  <si>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</si>
  <si>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</si>
  <si>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</si>
  <si>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</si>
  <si>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</si>
  <si>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</si>
  <si>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</si>
  <si>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</si>
  <si>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</si>
  <si>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</si>
  <si>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</si>
  <si>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</si>
  <si>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</si>
  <si>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</si>
  <si>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</si>
  <si>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</si>
  <si>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</si>
  <si>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</si>
  <si>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</si>
  <si>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</si>
  <si>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</si>
  <si>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</si>
  <si>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</si>
  <si>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</si>
  <si>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</si>
  <si>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</si>
  <si>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</si>
  <si>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</si>
  <si>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</si>
  <si>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</si>
  <si>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</si>
  <si>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</si>
  <si>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</si>
  <si>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</si>
  <si>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</si>
  <si>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</si>
  <si>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</si>
  <si>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</si>
  <si>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</si>
  <si>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</si>
  <si>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</si>
  <si>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</si>
  <si>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</si>
  <si>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</si>
  <si>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</si>
  <si>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</si>
  <si>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</si>
  <si>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</si>
  <si>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</si>
  <si>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</si>
  <si>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</si>
  <si>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</si>
  <si>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</si>
  <si>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</si>
  <si>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</si>
  <si>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</si>
  <si>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</si>
  <si>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</si>
  <si>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</si>
  <si>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</si>
  <si>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</si>
  <si>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</si>
  <si>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</si>
  <si>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</si>
  <si>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</si>
  <si>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</si>
  <si>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</si>
  <si>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</si>
  <si>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</si>
  <si>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</si>
  <si>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</si>
  <si>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</si>
  <si>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</si>
  <si>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</si>
  <si>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</si>
  <si>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</si>
  <si>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</si>
  <si>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</si>
  <si>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</si>
  <si>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</si>
  <si>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</si>
  <si>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</si>
  <si>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</si>
  <si>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</si>
  <si>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</si>
  <si>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</si>
  <si>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</si>
  <si>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</si>
  <si>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</si>
  <si>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</si>
  <si>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</si>
  <si>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</si>
  <si>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</si>
  <si>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</si>
  <si>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</si>
  <si>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</si>
  <si>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</si>
  <si>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</si>
  <si>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</si>
  <si>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</si>
  <si>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</si>
  <si>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</si>
  <si>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</si>
  <si>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</si>
  <si>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</si>
  <si>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</si>
  <si>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</si>
  <si>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</si>
  <si>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</si>
  <si>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</si>
  <si>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</si>
  <si>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</si>
  <si>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</si>
  <si>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</si>
  <si>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</si>
  <si>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</si>
  <si>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</si>
  <si>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</si>
  <si>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</si>
  <si>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</si>
  <si>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</si>
  <si>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</si>
  <si>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</si>
  <si>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</si>
  <si>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</si>
  <si>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</si>
  <si>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</si>
  <si>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</si>
  <si>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</si>
  <si>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</si>
  <si>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</si>
  <si>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</si>
  <si>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</si>
  <si>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</si>
  <si>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</si>
  <si>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</si>
  <si>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</si>
  <si>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</si>
  <si>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</si>
  <si>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</si>
  <si>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</si>
  <si>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</si>
  <si>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</si>
  <si>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</si>
  <si>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</si>
  <si>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</si>
  <si>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</si>
  <si>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</si>
  <si>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</si>
  <si>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</si>
  <si>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</si>
  <si>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</si>
  <si>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</si>
  <si>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</si>
  <si>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</si>
  <si>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</si>
  <si>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</si>
  <si>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</si>
  <si>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</si>
  <si>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</si>
  <si>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</si>
  <si>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</si>
  <si>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</si>
  <si>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</si>
  <si>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</si>
  <si>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</si>
  <si>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</si>
  <si>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</si>
  <si>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</si>
  <si>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</si>
  <si>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</si>
  <si>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</si>
  <si>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</si>
  <si>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</si>
  <si>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</si>
  <si>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</si>
  <si>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</si>
  <si>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</si>
  <si>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</si>
  <si>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</si>
  <si>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</si>
  <si>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</si>
  <si>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</si>
  <si>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</si>
  <si>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</si>
  <si>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</si>
  <si>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</si>
  <si>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</si>
  <si>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</si>
  <si>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</si>
  <si>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</si>
  <si>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</si>
  <si>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</si>
  <si>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</si>
  <si>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</si>
  <si>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</si>
  <si>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</si>
  <si>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</si>
  <si>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</si>
  <si>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</si>
  <si>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</si>
  <si>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</si>
  <si>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</si>
  <si>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</si>
  <si>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</si>
  <si>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</si>
  <si>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</si>
  <si>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</si>
  <si>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</si>
  <si>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</si>
  <si>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</si>
  <si>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</si>
  <si>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</si>
  <si>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</si>
  <si>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</si>
  <si>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</si>
  <si>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</si>
  <si>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</si>
  <si>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</si>
  <si>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</si>
  <si>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</si>
  <si>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</si>
  <si>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</si>
  <si>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</si>
  <si>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</si>
  <si>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</si>
  <si>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</si>
  <si>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</si>
  <si>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</si>
  <si>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</si>
  <si>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</si>
  <si>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</si>
  <si>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</si>
  <si>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</si>
  <si>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</si>
  <si>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</si>
  <si>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</si>
  <si>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</si>
  <si>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</si>
  <si>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</si>
  <si>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</si>
  <si>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</si>
  <si>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</si>
  <si>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</si>
  <si>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</si>
  <si>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</si>
  <si>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</si>
  <si>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</si>
  <si>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</si>
  <si>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</si>
  <si>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</si>
  <si>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</si>
  <si>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</si>
  <si>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</si>
  <si>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</si>
  <si>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</si>
  <si>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</si>
  <si>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</si>
  <si>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</si>
  <si>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</si>
  <si>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</si>
  <si>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</si>
  <si>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</si>
  <si>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</si>
  <si>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</si>
  <si>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</si>
  <si>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</si>
  <si>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</si>
  <si>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</si>
  <si>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</si>
  <si>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</si>
  <si>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</si>
  <si>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</si>
  <si>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</si>
  <si>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</si>
  <si>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</si>
  <si>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</si>
  <si>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</si>
  <si>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</si>
  <si>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</si>
  <si>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</si>
  <si>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</si>
  <si>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</si>
  <si>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</si>
  <si>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</si>
  <si>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</si>
  <si>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</si>
  <si>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</si>
  <si>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</si>
  <si>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</si>
  <si>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</si>
  <si>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</si>
  <si>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</si>
  <si>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</si>
  <si>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</si>
  <si>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</si>
  <si>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</si>
  <si>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</si>
  <si>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</si>
  <si>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</si>
  <si>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</si>
  <si>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</si>
  <si>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</si>
  <si>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</si>
  <si>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</si>
  <si>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</si>
  <si>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</si>
  <si>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</si>
  <si>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</si>
  <si>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</si>
  <si>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</si>
  <si>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</si>
  <si>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</si>
  <si>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</si>
  <si>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</si>
  <si>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</si>
  <si>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</si>
  <si>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</si>
  <si>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</si>
  <si>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</si>
  <si>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</si>
  <si>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</si>
  <si>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</si>
  <si>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</si>
  <si>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</si>
  <si>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</si>
  <si>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</si>
  <si>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</si>
  <si>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</si>
  <si>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</si>
  <si>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</si>
  <si>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</si>
  <si>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</si>
  <si>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</si>
  <si>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</si>
  <si>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</si>
  <si>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</si>
  <si>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</si>
  <si>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</si>
  <si>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</si>
  <si>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</si>
  <si>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</si>
  <si>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</si>
  <si>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</si>
  <si>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</si>
  <si>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</si>
  <si>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</si>
  <si>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</si>
  <si>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</si>
  <si>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</si>
  <si>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</si>
  <si>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</si>
  <si>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</si>
  <si>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</si>
  <si>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</si>
  <si>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</si>
  <si>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</si>
  <si>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</si>
  <si>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</si>
  <si>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</si>
  <si>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</si>
  <si>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</si>
  <si>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</si>
  <si>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</si>
  <si>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</si>
  <si>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</si>
  <si>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</si>
  <si>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</si>
  <si>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</si>
  <si>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</si>
  <si>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</si>
  <si>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</si>
  <si>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</si>
  <si>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</si>
  <si>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</si>
  <si>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</si>
  <si>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</si>
  <si>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</si>
  <si>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</si>
  <si>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</si>
  <si>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</si>
  <si>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</si>
  <si>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</si>
  <si>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</si>
  <si>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</si>
  <si>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</si>
  <si>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</si>
  <si>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</si>
  <si>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</si>
  <si>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</si>
  <si>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</si>
  <si>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</si>
  <si>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</si>
  <si>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</si>
  <si>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</si>
  <si>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</si>
  <si>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</si>
  <si>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</si>
  <si>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</si>
  <si>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</si>
  <si>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</si>
  <si>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</si>
  <si>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</si>
  <si>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</si>
  <si>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</si>
  <si>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</si>
  <si>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</si>
  <si>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</si>
  <si>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</si>
  <si>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</si>
  <si>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</si>
  <si>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</si>
  <si>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</si>
  <si>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</si>
  <si>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</si>
  <si>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</si>
  <si>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</si>
  <si>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</si>
  <si>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</si>
  <si>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</si>
  <si>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</si>
  <si>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</si>
  <si>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</si>
  <si>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</si>
  <si>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</si>
  <si>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</si>
  <si>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</si>
  <si>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</si>
  <si>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</si>
  <si>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</si>
  <si>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</si>
  <si>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</si>
  <si>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</si>
  <si>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</si>
  <si>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</si>
  <si>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</si>
  <si>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</si>
  <si>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</si>
  <si>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</si>
  <si>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</si>
  <si>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</si>
  <si>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</si>
  <si>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</si>
  <si>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</si>
  <si>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</si>
  <si>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</si>
  <si>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</si>
  <si>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</si>
  <si>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</si>
  <si>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</si>
  <si>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</si>
  <si>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</si>
  <si>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</si>
  <si>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</si>
  <si>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</si>
  <si>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</si>
  <si>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</si>
  <si>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</si>
  <si>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</si>
  <si>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</si>
  <si>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</si>
  <si>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</si>
  <si>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</si>
  <si>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</si>
  <si>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</si>
  <si>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</si>
  <si>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</si>
  <si>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</si>
  <si>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</si>
  <si>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</si>
  <si>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</si>
  <si>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</si>
  <si>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</si>
  <si>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</si>
  <si>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</si>
  <si>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</si>
  <si>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</si>
  <si>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</si>
  <si>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</si>
  <si>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</si>
  <si>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</si>
  <si>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</si>
  <si>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</si>
  <si>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</si>
  <si>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</si>
  <si>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</si>
  <si>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</si>
  <si>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</si>
  <si>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</si>
  <si>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</si>
  <si>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</si>
  <si>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</si>
  <si>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</si>
  <si>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</si>
  <si>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</si>
  <si>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</si>
  <si>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</si>
  <si>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</si>
  <si>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</si>
  <si>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</si>
  <si>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</si>
  <si>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</si>
  <si>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</si>
  <si>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</si>
  <si>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</si>
  <si>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</si>
  <si>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</si>
  <si>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</si>
  <si>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</si>
  <si>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</si>
  <si>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</si>
  <si>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</si>
  <si>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</si>
  <si>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</si>
  <si>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</si>
  <si>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</si>
  <si>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</si>
  <si>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</si>
  <si>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</si>
  <si>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</si>
  <si>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</si>
  <si>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</si>
  <si>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</si>
  <si>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</si>
  <si>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</si>
  <si>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</si>
  <si>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</si>
  <si>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</si>
  <si>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</si>
  <si>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</si>
  <si>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</si>
  <si>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</si>
  <si>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</si>
  <si>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</si>
  <si>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</si>
  <si>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</si>
  <si>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</si>
  <si>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</si>
  <si>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</si>
  <si>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</si>
  <si>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</si>
  <si>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</si>
  <si>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</si>
  <si>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</si>
  <si>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</si>
  <si>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</si>
  <si>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</si>
  <si>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</si>
  <si>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</si>
  <si>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</si>
  <si>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</si>
  <si>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</si>
  <si>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</si>
  <si>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</si>
  <si>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</si>
  <si>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</si>
  <si>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</si>
  <si>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</si>
  <si>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</si>
  <si>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</si>
  <si>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</si>
  <si>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</si>
  <si>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</si>
  <si>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</si>
  <si>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</si>
  <si>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</si>
  <si>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</si>
  <si>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</si>
  <si>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</si>
  <si>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</si>
  <si>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</si>
  <si>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</si>
  <si>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</si>
  <si>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</si>
  <si>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</si>
  <si>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</si>
  <si>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</si>
  <si>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</si>
  <si>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</si>
  <si>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</si>
  <si>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</si>
  <si>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</si>
  <si>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</si>
  <si>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</si>
  <si>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</si>
  <si>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</si>
  <si>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</si>
  <si>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</si>
  <si>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</si>
  <si>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</si>
  <si>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</si>
  <si>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</si>
  <si>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</si>
  <si>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</si>
  <si>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</si>
  <si>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</si>
  <si>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</si>
  <si>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</si>
  <si>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</si>
  <si>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</si>
  <si>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</si>
  <si>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</si>
  <si>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</si>
  <si>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</si>
  <si>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</si>
  <si>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</si>
  <si>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</si>
  <si>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</si>
  <si>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</si>
  <si>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</si>
  <si>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</si>
  <si>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</si>
  <si>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</si>
  <si>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</si>
  <si>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</si>
  <si>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</si>
  <si>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</si>
  <si>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</si>
  <si>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</si>
  <si>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</si>
  <si>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</si>
  <si>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</si>
  <si>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</si>
  <si>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</si>
  <si>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</si>
  <si>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</si>
  <si>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</si>
  <si>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</si>
  <si>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</si>
  <si>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</si>
  <si>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</si>
  <si>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</si>
  <si>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</si>
  <si>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</si>
  <si>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</si>
  <si>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</si>
  <si>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</si>
  <si>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</si>
  <si>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</si>
  <si>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</si>
  <si>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</si>
  <si>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</si>
  <si>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</si>
  <si>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</si>
  <si>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</si>
  <si>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</si>
  <si>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</si>
  <si>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</si>
  <si>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</si>
  <si>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</si>
  <si>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</si>
  <si>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</si>
  <si>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</si>
  <si>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</si>
  <si>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</si>
  <si>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</si>
  <si>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</si>
  <si>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</si>
  <si>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</si>
  <si>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</si>
  <si>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</si>
  <si>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</si>
  <si>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</si>
  <si>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</si>
  <si>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</si>
  <si>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</si>
  <si>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</si>
  <si>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</si>
  <si>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</si>
  <si>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</si>
  <si>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</si>
  <si>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</si>
  <si>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</si>
  <si>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</si>
  <si>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</si>
  <si>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</si>
  <si>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</si>
  <si>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</si>
  <si>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</si>
  <si>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</si>
  <si>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</si>
  <si>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</si>
  <si>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</si>
  <si>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</si>
  <si>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</si>
  <si>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</si>
  <si>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</si>
  <si>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</si>
  <si>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</si>
  <si>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</si>
  <si>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</si>
  <si>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</si>
  <si>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</si>
  <si>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</si>
  <si>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</si>
  <si>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</si>
  <si>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</si>
  <si>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</si>
  <si>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</si>
  <si>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</si>
  <si>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</si>
  <si>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</si>
  <si>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</si>
  <si>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</si>
  <si>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</si>
  <si>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</si>
  <si>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</si>
  <si>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</si>
  <si>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</si>
  <si>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</si>
  <si>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</si>
  <si>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</si>
  <si>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</si>
  <si>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</si>
  <si>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</si>
  <si>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</si>
  <si>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</si>
  <si>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</si>
  <si>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</si>
  <si>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</si>
  <si>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</si>
  <si>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</si>
  <si>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</si>
  <si>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</si>
  <si>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</si>
  <si>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</si>
  <si>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</si>
  <si>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</si>
  <si>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</si>
  <si>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</si>
  <si>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</si>
  <si>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</si>
  <si>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</si>
  <si>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</si>
  <si>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</si>
  <si>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</si>
  <si>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</si>
  <si>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</si>
  <si>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</si>
  <si>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</si>
  <si>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</si>
  <si>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</si>
  <si>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</si>
  <si>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</si>
  <si>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</si>
  <si>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</si>
  <si>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</si>
  <si>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</si>
  <si>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</si>
  <si>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</si>
  <si>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</si>
  <si>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</si>
  <si>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</si>
  <si>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</si>
  <si>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</si>
  <si>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</si>
  <si>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</si>
  <si>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</si>
  <si>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SAU# 64  Wakefield School District</t>
  </si>
  <si>
    <t>2/98</t>
  </si>
  <si>
    <t>1/88</t>
  </si>
  <si>
    <t>8/12</t>
  </si>
  <si>
    <t>The $95,100.00 is made up  Warrant Article #8 for $70,100.00 and #10 for $25,000.00.</t>
  </si>
  <si>
    <t xml:space="preserve">The audited fund balnce was $364,041.00.  There is a variance of $27,378.93.  </t>
  </si>
  <si>
    <t>The $27,378.93 was audit adjusting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</si>
</sst>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0" fillId="0" borderId="0" xfId="0" applyNumberFormat="1" applyFont="1" applyAlignment="1" applyProtection="1">
      <alignment horizontal="center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97F3-1086-4756-A3E7-019D75ECEE1C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5" activePane="bottomRight" state="frozen"/>
      <selection activeCell="B6" sqref="B6"/>
      <selection pane="topRight" activeCell="B6" sqref="B6"/>
      <selection pane="bottomLeft" activeCell="B6" sqref="B6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543</v>
      </c>
      <c r="C2" s="21">
        <v>543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513561.85+107.28</f>
        <v>513669.13</v>
      </c>
      <c r="G9" s="18">
        <v>0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110300.51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69152.759999999995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18230.599999999999</v>
      </c>
      <c r="G13" s="18">
        <v>0</v>
      </c>
      <c r="H13" s="18">
        <f>78307.83</f>
        <v>78307.83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300</v>
      </c>
      <c r="G14" s="18">
        <v>6986.56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601352.49</v>
      </c>
      <c r="G19" s="41">
        <f>SUM(G9:G18)</f>
        <v>6986.56</v>
      </c>
      <c r="H19" s="41">
        <f>SUM(H9:H18)</f>
        <v>78307.83</v>
      </c>
      <c r="I19" s="41">
        <f>SUM(I9:I18)</f>
        <v>0</v>
      </c>
      <c r="J19" s="41">
        <f>SUM(J9:J18)</f>
        <v>110300.51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f>-49471.48+56163.25</f>
        <v>6691.7699999999968</v>
      </c>
      <c r="H23" s="18">
        <v>62460.99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67712.37</v>
      </c>
      <c r="G25" s="18">
        <v>294.79000000000002</v>
      </c>
      <c r="H25" s="18">
        <v>8086.25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14608.31</f>
        <v>14608.31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7760.59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82320.679999999993</v>
      </c>
      <c r="G33" s="41">
        <f>SUM(G23:G32)</f>
        <v>6986.5599999999968</v>
      </c>
      <c r="H33" s="41">
        <f>SUM(H23:H32)</f>
        <v>78307.829999999987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95100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0</v>
      </c>
      <c r="H41" s="18">
        <v>0</v>
      </c>
      <c r="I41" s="18">
        <v>0</v>
      </c>
      <c r="J41" s="13">
        <f>SUM(I449)</f>
        <v>110300.51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268941.18+154990.63</f>
        <v>423931.81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519031.81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110300.51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601352.49</v>
      </c>
      <c r="G44" s="41">
        <f>G43+G33</f>
        <v>6986.5599999999968</v>
      </c>
      <c r="H44" s="41">
        <f>H43+H33</f>
        <v>78307.829999999987</v>
      </c>
      <c r="I44" s="41">
        <f>I43+I33</f>
        <v>0</v>
      </c>
      <c r="J44" s="41">
        <f>J43+J33</f>
        <v>110300.51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4611955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4611955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16173.84</f>
        <v>16173.84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16173.84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f>1213.4</f>
        <v>1213.4000000000001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1213.4000000000001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1950.88</f>
        <v>1950.88</v>
      </c>
      <c r="G88" s="18">
        <v>0</v>
      </c>
      <c r="H88" s="18">
        <v>0</v>
      </c>
      <c r="I88" s="18">
        <v>0</v>
      </c>
      <c r="J88" s="18">
        <f>2468.6+168.16</f>
        <v>2636.7599999999998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55688.53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6505.28+11174.45+60</f>
        <v>17739.73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19690.61</v>
      </c>
      <c r="G103" s="41">
        <f>SUM(G88:G102)</f>
        <v>55688.53</v>
      </c>
      <c r="H103" s="41">
        <f>SUM(H88:H102)</f>
        <v>0</v>
      </c>
      <c r="I103" s="41">
        <f>SUM(I88:I102)</f>
        <v>0</v>
      </c>
      <c r="J103" s="41">
        <f>SUM(J88:J102)</f>
        <v>2636.7599999999998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4649032.8500000006</v>
      </c>
      <c r="G104" s="41">
        <f>G52+G103</f>
        <v>55688.53</v>
      </c>
      <c r="H104" s="41">
        <f>H52+H71+H86+H103</f>
        <v>0</v>
      </c>
      <c r="I104" s="41">
        <f>I52+I103</f>
        <v>0</v>
      </c>
      <c r="J104" s="41">
        <f>J52+J103</f>
        <v>2636.7599999999998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1046625.82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2229089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401558.18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3677273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51063.3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98721.279999999999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2305.83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149784.58000000002</v>
      </c>
      <c r="G128" s="41">
        <f>SUM(G115:G127)</f>
        <v>2305.83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3827057.58</v>
      </c>
      <c r="G132" s="41">
        <f>G113+SUM(G128:G129)</f>
        <v>2305.83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184238.82+17239.41</f>
        <v>201478.23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546137.16-H146+1232.15</f>
        <v>345891.08000000007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87922.25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98717.89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98717.89</v>
      </c>
      <c r="G154" s="41">
        <f>SUM(G142:G153)</f>
        <v>87922.25</v>
      </c>
      <c r="H154" s="41">
        <f>SUM(H142:H153)</f>
        <v>547369.31000000006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98717.89</v>
      </c>
      <c r="G161" s="41">
        <f>G139+G154+SUM(G155:G160)</f>
        <v>87922.25</v>
      </c>
      <c r="H161" s="41">
        <f>H139+H154+SUM(H155:H160)</f>
        <v>547369.31000000006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74677.350000000006</v>
      </c>
      <c r="H171" s="18">
        <v>0</v>
      </c>
      <c r="I171" s="18">
        <v>0</v>
      </c>
      <c r="J171" s="18">
        <v>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74677.350000000006</v>
      </c>
      <c r="H175" s="41">
        <f>SUM(H171:H174)</f>
        <v>0</v>
      </c>
      <c r="I175" s="41">
        <f>SUM(I171:I174)</f>
        <v>0</v>
      </c>
      <c r="J175" s="41">
        <f>SUM(J171:J174)</f>
        <v>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74677.350000000006</v>
      </c>
      <c r="H184" s="41">
        <f>+H175+SUM(H180:H183)</f>
        <v>0</v>
      </c>
      <c r="I184" s="41">
        <f>I169+I175+SUM(I180:I183)</f>
        <v>0</v>
      </c>
      <c r="J184" s="41">
        <f>J175</f>
        <v>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8574808.3200000003</v>
      </c>
      <c r="G185" s="47">
        <f>G104+G132+G161+G184</f>
        <v>220593.96</v>
      </c>
      <c r="H185" s="47">
        <f>H104+H132+H161+H184</f>
        <v>547369.31000000006</v>
      </c>
      <c r="I185" s="47">
        <f>I104+I132+I161+I184</f>
        <v>0</v>
      </c>
      <c r="J185" s="47">
        <f>J104+J132+J184</f>
        <v>32636.76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1468620.76</v>
      </c>
      <c r="G189" s="18">
        <v>617667.68000000005</v>
      </c>
      <c r="H189" s="18">
        <v>6234.75</v>
      </c>
      <c r="I189" s="18">
        <v>60121.3</v>
      </c>
      <c r="J189" s="18">
        <v>19727.75</v>
      </c>
      <c r="K189" s="18">
        <v>120</v>
      </c>
      <c r="L189" s="19">
        <f>SUM(F189:K189)</f>
        <v>2172492.2399999998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625031.61</v>
      </c>
      <c r="G190" s="18">
        <v>168766.05</v>
      </c>
      <c r="H190" s="18">
        <v>428131.88</v>
      </c>
      <c r="I190" s="18">
        <v>1700.08</v>
      </c>
      <c r="J190" s="18">
        <v>756.44</v>
      </c>
      <c r="K190" s="18">
        <v>0</v>
      </c>
      <c r="L190" s="19">
        <f>SUM(F190:K190)</f>
        <v>1224386.06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14922</v>
      </c>
      <c r="G192" s="18">
        <v>2327.65</v>
      </c>
      <c r="H192" s="18">
        <v>11035.57</v>
      </c>
      <c r="I192" s="18">
        <v>162.58000000000001</v>
      </c>
      <c r="J192" s="18">
        <v>0</v>
      </c>
      <c r="K192" s="18">
        <v>135</v>
      </c>
      <c r="L192" s="19">
        <f>SUM(F192:K192)</f>
        <v>28582.800000000003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234479.16</v>
      </c>
      <c r="G194" s="18">
        <v>84062.8</v>
      </c>
      <c r="H194" s="18">
        <v>7176.82</v>
      </c>
      <c r="I194" s="18">
        <v>1324.37</v>
      </c>
      <c r="J194" s="18">
        <v>0</v>
      </c>
      <c r="K194" s="18">
        <v>350</v>
      </c>
      <c r="L194" s="19">
        <f t="shared" ref="L194:L201" si="0">SUM(F194:K194)</f>
        <v>327393.15000000002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49532.56</v>
      </c>
      <c r="G195" s="18">
        <v>24258.81</v>
      </c>
      <c r="H195" s="18">
        <v>7642.8</v>
      </c>
      <c r="I195" s="18">
        <v>9088.27</v>
      </c>
      <c r="J195" s="18">
        <v>853.83</v>
      </c>
      <c r="K195" s="18">
        <v>0</v>
      </c>
      <c r="L195" s="19">
        <f>SUM(F195:J195)</f>
        <v>91376.27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10838.84</v>
      </c>
      <c r="G196" s="18">
        <v>863.67</v>
      </c>
      <c r="H196" s="18">
        <v>501520.77</v>
      </c>
      <c r="I196" s="18">
        <v>0</v>
      </c>
      <c r="J196" s="18">
        <v>0</v>
      </c>
      <c r="K196" s="18">
        <v>4543.2</v>
      </c>
      <c r="L196" s="19">
        <f t="shared" si="0"/>
        <v>517766.48000000004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165000.43</v>
      </c>
      <c r="G197" s="18">
        <v>69742.22</v>
      </c>
      <c r="H197" s="18">
        <v>30731.88</v>
      </c>
      <c r="I197" s="18">
        <v>764.99</v>
      </c>
      <c r="J197" s="18">
        <v>0</v>
      </c>
      <c r="K197" s="18">
        <v>2348.98</v>
      </c>
      <c r="L197" s="19">
        <f t="shared" si="0"/>
        <v>268588.49999999994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90006.75</v>
      </c>
      <c r="G199" s="18">
        <v>32298.76</v>
      </c>
      <c r="H199" s="18">
        <v>99743.99</v>
      </c>
      <c r="I199" s="18">
        <v>110921.64</v>
      </c>
      <c r="J199" s="18">
        <v>9207.49</v>
      </c>
      <c r="K199" s="18">
        <v>0</v>
      </c>
      <c r="L199" s="19">
        <f t="shared" si="0"/>
        <v>342178.63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186960.32</v>
      </c>
      <c r="G200" s="18">
        <v>61503.43</v>
      </c>
      <c r="H200" s="18">
        <v>150086.5</v>
      </c>
      <c r="I200" s="18">
        <v>66890.240000000005</v>
      </c>
      <c r="J200" s="18">
        <v>350</v>
      </c>
      <c r="K200" s="18">
        <v>6709.94</v>
      </c>
      <c r="L200" s="19">
        <f t="shared" si="0"/>
        <v>472500.43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22690.1</v>
      </c>
      <c r="G201" s="18">
        <v>1820</v>
      </c>
      <c r="H201" s="18">
        <v>0</v>
      </c>
      <c r="I201" s="18">
        <v>0</v>
      </c>
      <c r="J201" s="18">
        <v>0</v>
      </c>
      <c r="K201" s="18">
        <v>0</v>
      </c>
      <c r="L201" s="19">
        <f t="shared" si="0"/>
        <v>24510.1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2868082.5300000003</v>
      </c>
      <c r="G203" s="41">
        <f t="shared" si="1"/>
        <v>1063311.07</v>
      </c>
      <c r="H203" s="41">
        <f t="shared" si="1"/>
        <v>1242304.9600000002</v>
      </c>
      <c r="I203" s="41">
        <f t="shared" si="1"/>
        <v>250973.47000000003</v>
      </c>
      <c r="J203" s="41">
        <f t="shared" si="1"/>
        <v>30895.510000000002</v>
      </c>
      <c r="K203" s="41">
        <f t="shared" si="1"/>
        <v>14207.119999999999</v>
      </c>
      <c r="L203" s="41">
        <f t="shared" si="1"/>
        <v>5469774.6599999992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81877.8</v>
      </c>
      <c r="I208" s="18">
        <v>0</v>
      </c>
      <c r="J208" s="18">
        <v>0</v>
      </c>
      <c r="K208" s="18">
        <v>0</v>
      </c>
      <c r="L208" s="19">
        <f>SUM(F208:K208)</f>
        <v>81877.8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81877.8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81877.8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2189398.31</v>
      </c>
      <c r="I225" s="18">
        <v>0</v>
      </c>
      <c r="J225" s="18">
        <v>0</v>
      </c>
      <c r="K225" s="18">
        <v>0</v>
      </c>
      <c r="L225" s="19">
        <f>SUM(F225:K225)</f>
        <v>2189398.31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376359.57</v>
      </c>
      <c r="I226" s="18">
        <v>0</v>
      </c>
      <c r="J226" s="18">
        <v>0</v>
      </c>
      <c r="K226" s="18">
        <v>0</v>
      </c>
      <c r="L226" s="19">
        <f>SUM(F226:K226)</f>
        <v>376359.57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2565757.88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2565757.88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2868082.5300000003</v>
      </c>
      <c r="G249" s="41">
        <f t="shared" si="8"/>
        <v>1063311.07</v>
      </c>
      <c r="H249" s="41">
        <f t="shared" si="8"/>
        <v>3889940.64</v>
      </c>
      <c r="I249" s="41">
        <f t="shared" si="8"/>
        <v>250973.47000000003</v>
      </c>
      <c r="J249" s="41">
        <f t="shared" si="8"/>
        <v>30895.510000000002</v>
      </c>
      <c r="K249" s="41">
        <f t="shared" si="8"/>
        <v>14207.119999999999</v>
      </c>
      <c r="L249" s="41">
        <f t="shared" si="8"/>
        <v>8117410.3399999989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160000</v>
      </c>
      <c r="L252" s="19">
        <f>SUM(F252:K252)</f>
        <v>160000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28230</v>
      </c>
      <c r="L253" s="19">
        <f>SUM(F253:K253)</f>
        <v>28230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74677.350000000006</v>
      </c>
      <c r="L255" s="19">
        <f>SUM(F255:K255)</f>
        <v>74677.350000000006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30000</v>
      </c>
      <c r="L258" s="19">
        <f t="shared" si="9"/>
        <v>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292907.34999999998</v>
      </c>
      <c r="L262" s="41">
        <f t="shared" si="9"/>
        <v>292907.34999999998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2868082.5300000003</v>
      </c>
      <c r="G263" s="42">
        <f t="shared" si="11"/>
        <v>1063311.07</v>
      </c>
      <c r="H263" s="42">
        <f t="shared" si="11"/>
        <v>3889940.64</v>
      </c>
      <c r="I263" s="42">
        <f t="shared" si="11"/>
        <v>250973.47000000003</v>
      </c>
      <c r="J263" s="42">
        <f t="shared" si="11"/>
        <v>30895.510000000002</v>
      </c>
      <c r="K263" s="42">
        <f t="shared" si="11"/>
        <v>307114.46999999997</v>
      </c>
      <c r="L263" s="42">
        <f t="shared" si="11"/>
        <v>8410317.6899999995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210559.6</v>
      </c>
      <c r="G268" s="18">
        <v>66351.27</v>
      </c>
      <c r="H268" s="18">
        <v>75909.39</v>
      </c>
      <c r="I268" s="18">
        <v>58697.1</v>
      </c>
      <c r="J268" s="18">
        <v>2295.94</v>
      </c>
      <c r="K268" s="18">
        <v>1420.01</v>
      </c>
      <c r="L268" s="19">
        <f>SUM(F268:K268)</f>
        <v>415233.31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892.5</v>
      </c>
      <c r="G269" s="18">
        <v>68.3</v>
      </c>
      <c r="H269" s="18">
        <v>4200</v>
      </c>
      <c r="I269" s="18">
        <v>4045.97</v>
      </c>
      <c r="J269" s="18">
        <v>0</v>
      </c>
      <c r="K269" s="18">
        <v>359.06</v>
      </c>
      <c r="L269" s="19">
        <f>SUM(F269:K269)</f>
        <v>9565.83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106456.64</v>
      </c>
      <c r="I274" s="18">
        <v>0</v>
      </c>
      <c r="J274" s="18">
        <v>0</v>
      </c>
      <c r="K274" s="18">
        <v>16113.53</v>
      </c>
      <c r="L274" s="19">
        <f t="shared" si="12"/>
        <v>122570.17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211452.1</v>
      </c>
      <c r="G282" s="42">
        <f t="shared" si="13"/>
        <v>66419.570000000007</v>
      </c>
      <c r="H282" s="42">
        <f t="shared" si="13"/>
        <v>186566.03</v>
      </c>
      <c r="I282" s="42">
        <f t="shared" si="13"/>
        <v>62743.07</v>
      </c>
      <c r="J282" s="42">
        <f t="shared" si="13"/>
        <v>2295.94</v>
      </c>
      <c r="K282" s="42">
        <f t="shared" si="13"/>
        <v>17892.600000000002</v>
      </c>
      <c r="L282" s="41">
        <f t="shared" si="13"/>
        <v>547369.31000000006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v>0</v>
      </c>
      <c r="I293" s="18">
        <v>0</v>
      </c>
      <c r="J293" s="18">
        <v>0</v>
      </c>
      <c r="K293" s="18">
        <v>0</v>
      </c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211452.1</v>
      </c>
      <c r="G330" s="41">
        <f t="shared" si="20"/>
        <v>66419.570000000007</v>
      </c>
      <c r="H330" s="41">
        <f t="shared" si="20"/>
        <v>186566.03</v>
      </c>
      <c r="I330" s="41">
        <f t="shared" si="20"/>
        <v>62743.07</v>
      </c>
      <c r="J330" s="41">
        <f t="shared" si="20"/>
        <v>2295.94</v>
      </c>
      <c r="K330" s="41">
        <f t="shared" si="20"/>
        <v>17892.600000000002</v>
      </c>
      <c r="L330" s="41">
        <f t="shared" si="20"/>
        <v>547369.31000000006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211452.1</v>
      </c>
      <c r="G344" s="41">
        <f>G330</f>
        <v>66419.570000000007</v>
      </c>
      <c r="H344" s="41">
        <f>H330</f>
        <v>186566.03</v>
      </c>
      <c r="I344" s="41">
        <f>I330</f>
        <v>62743.07</v>
      </c>
      <c r="J344" s="41">
        <f>J330</f>
        <v>2295.94</v>
      </c>
      <c r="K344" s="47">
        <f>K330+K343</f>
        <v>17892.600000000002</v>
      </c>
      <c r="L344" s="41">
        <f>L330+L343</f>
        <v>547369.31000000006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92207.31</v>
      </c>
      <c r="G350" s="18">
        <v>17822.73</v>
      </c>
      <c r="H350" s="18">
        <v>11605.65</v>
      </c>
      <c r="I350" s="18">
        <v>97489.41</v>
      </c>
      <c r="J350" s="18">
        <v>1955.34</v>
      </c>
      <c r="K350" s="18">
        <v>0</v>
      </c>
      <c r="L350" s="13">
        <f>SUM(F350:K350)</f>
        <v>221080.43999999997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92207.31</v>
      </c>
      <c r="G354" s="47">
        <f t="shared" si="22"/>
        <v>17822.73</v>
      </c>
      <c r="H354" s="47">
        <f t="shared" si="22"/>
        <v>11605.65</v>
      </c>
      <c r="I354" s="47">
        <f t="shared" si="22"/>
        <v>97489.41</v>
      </c>
      <c r="J354" s="47">
        <f t="shared" si="22"/>
        <v>1955.34</v>
      </c>
      <c r="K354" s="47">
        <f t="shared" si="22"/>
        <v>0</v>
      </c>
      <c r="L354" s="47">
        <f t="shared" si="22"/>
        <v>221080.43999999997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85094.6</v>
      </c>
      <c r="G359" s="18">
        <v>0</v>
      </c>
      <c r="H359" s="18">
        <v>0</v>
      </c>
      <c r="I359" s="56">
        <f>SUM(F359:H359)</f>
        <v>85094.6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12394.81</v>
      </c>
      <c r="G360" s="63">
        <v>0</v>
      </c>
      <c r="H360" s="63">
        <v>0</v>
      </c>
      <c r="I360" s="56">
        <f>SUM(F360:H360)</f>
        <v>12394.81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97489.41</v>
      </c>
      <c r="G361" s="47">
        <f>SUM(G359:G360)</f>
        <v>0</v>
      </c>
      <c r="H361" s="47">
        <f>SUM(H359:H360)</f>
        <v>0</v>
      </c>
      <c r="I361" s="47">
        <f>SUM(I359:I360)</f>
        <v>97489.41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0</v>
      </c>
      <c r="I380" s="18">
        <v>0</v>
      </c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20000</v>
      </c>
      <c r="H382" s="18">
        <v>1012.79</v>
      </c>
      <c r="I382" s="18">
        <v>0</v>
      </c>
      <c r="J382" s="24" t="s">
        <v>312</v>
      </c>
      <c r="K382" s="24" t="s">
        <v>312</v>
      </c>
      <c r="L382" s="56">
        <f t="shared" si="25"/>
        <v>21012.79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10000</v>
      </c>
      <c r="H384" s="18">
        <f>2636.76-H382</f>
        <v>1623.9700000000003</v>
      </c>
      <c r="I384" s="18">
        <v>0</v>
      </c>
      <c r="J384" s="24" t="s">
        <v>312</v>
      </c>
      <c r="K384" s="24" t="s">
        <v>312</v>
      </c>
      <c r="L384" s="56">
        <f t="shared" si="25"/>
        <v>11623.970000000001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30000</v>
      </c>
      <c r="H385" s="139">
        <f>SUM(H379:H384)</f>
        <v>2636.76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32636.760000000002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30000</v>
      </c>
      <c r="H400" s="47">
        <f>H385+H393+H399</f>
        <v>2636.76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32636.760000000002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100800.51+9500</f>
        <v>110300.51</v>
      </c>
      <c r="G432" s="18">
        <v>0</v>
      </c>
      <c r="H432" s="18">
        <v>0</v>
      </c>
      <c r="I432" s="56">
        <f t="shared" si="33"/>
        <v>110300.51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110300.51</v>
      </c>
      <c r="G438" s="13">
        <f>SUM(G431:G437)</f>
        <v>0</v>
      </c>
      <c r="H438" s="13">
        <f>SUM(H431:H437)</f>
        <v>0</v>
      </c>
      <c r="I438" s="13">
        <f>SUM(I431:I437)</f>
        <v>110300.51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110300.51</v>
      </c>
      <c r="G449" s="18">
        <v>0</v>
      </c>
      <c r="H449" s="18">
        <v>0</v>
      </c>
      <c r="I449" s="56">
        <f>SUM(F449:H449)</f>
        <v>110300.51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110300.51</v>
      </c>
      <c r="G450" s="83">
        <f>SUM(G446:G449)</f>
        <v>0</v>
      </c>
      <c r="H450" s="83">
        <f>SUM(H446:H449)</f>
        <v>0</v>
      </c>
      <c r="I450" s="83">
        <f>SUM(I446:I449)</f>
        <v>110300.51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110300.51</v>
      </c>
      <c r="G451" s="42">
        <f>G444+G450</f>
        <v>0</v>
      </c>
      <c r="H451" s="42">
        <f>H444+H450</f>
        <v>0</v>
      </c>
      <c r="I451" s="42">
        <f>I444+I450</f>
        <v>110300.51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336662.25</v>
      </c>
      <c r="G455" s="18">
        <v>8920</v>
      </c>
      <c r="H455" s="18">
        <v>0</v>
      </c>
      <c r="I455" s="18">
        <v>0</v>
      </c>
      <c r="J455" s="18">
        <v>54589.24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8574808.3200000003</v>
      </c>
      <c r="G458" s="18">
        <v>220593.96</v>
      </c>
      <c r="H458" s="18">
        <f>546137.16+1232.15</f>
        <v>547369.31000000006</v>
      </c>
      <c r="I458" s="18">
        <v>0</v>
      </c>
      <c r="J458" s="18">
        <f>J185</f>
        <v>32636.76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27378.93</v>
      </c>
      <c r="G459" s="18">
        <v>0</v>
      </c>
      <c r="H459" s="18">
        <v>0</v>
      </c>
      <c r="I459" s="18">
        <v>0</v>
      </c>
      <c r="J459" s="18">
        <f>4074.51+9500+9500</f>
        <v>23074.510000000002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8602187.25</v>
      </c>
      <c r="G460" s="53">
        <f>SUM(G458:G459)</f>
        <v>220593.96</v>
      </c>
      <c r="H460" s="53">
        <f>SUM(H458:H459)</f>
        <v>547369.31000000006</v>
      </c>
      <c r="I460" s="53">
        <f>SUM(I458:I459)</f>
        <v>0</v>
      </c>
      <c r="J460" s="53">
        <f>SUM(J458:J459)</f>
        <v>55711.270000000004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8419817.69</f>
        <v>8419817.6899999995</v>
      </c>
      <c r="G462" s="18">
        <v>221080.44</v>
      </c>
      <c r="H462" s="18">
        <v>547369.31000000006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9500</v>
      </c>
      <c r="G463" s="18">
        <v>8433.52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8429317.6899999995</v>
      </c>
      <c r="G464" s="53">
        <f>SUM(G462:G463)</f>
        <v>229513.96</v>
      </c>
      <c r="H464" s="53">
        <f>SUM(H462:H463)</f>
        <v>547369.31000000006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509531.81000000052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110300.51000000001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8">
        <v>0</v>
      </c>
      <c r="I481" s="18">
        <v>0</v>
      </c>
      <c r="J481" s="18">
        <v>0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897</v>
      </c>
      <c r="H482" s="18">
        <v>0</v>
      </c>
      <c r="I482" s="18">
        <v>0</v>
      </c>
      <c r="J482" s="18">
        <v>0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1822684</v>
      </c>
      <c r="G483" s="18">
        <v>607562</v>
      </c>
      <c r="H483" s="18">
        <v>0</v>
      </c>
      <c r="I483" s="18">
        <v>0</v>
      </c>
      <c r="J483" s="18">
        <v>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4.9000000000000004</v>
      </c>
      <c r="G484" s="18">
        <v>4.95</v>
      </c>
      <c r="H484" s="18">
        <v>0</v>
      </c>
      <c r="I484" s="18">
        <v>0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480000</v>
      </c>
      <c r="G485" s="18">
        <v>160000</v>
      </c>
      <c r="H485" s="18">
        <v>0</v>
      </c>
      <c r="I485" s="18">
        <v>0</v>
      </c>
      <c r="J485" s="18">
        <v>0</v>
      </c>
      <c r="K485" s="53">
        <f>SUM(F485:J485)</f>
        <v>640000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120000</v>
      </c>
      <c r="G487" s="18">
        <v>40000</v>
      </c>
      <c r="H487" s="18">
        <v>0</v>
      </c>
      <c r="I487" s="18">
        <v>0</v>
      </c>
      <c r="J487" s="18">
        <v>0</v>
      </c>
      <c r="K487" s="53">
        <f t="shared" si="34"/>
        <v>160000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360000</v>
      </c>
      <c r="G488" s="205">
        <v>120000</v>
      </c>
      <c r="H488" s="205">
        <v>0</v>
      </c>
      <c r="I488" s="205">
        <v>0</v>
      </c>
      <c r="J488" s="205">
        <v>0</v>
      </c>
      <c r="K488" s="206">
        <f t="shared" si="34"/>
        <v>480000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27390</v>
      </c>
      <c r="G489" s="18">
        <v>9220</v>
      </c>
      <c r="H489" s="18">
        <v>0</v>
      </c>
      <c r="I489" s="18">
        <v>0</v>
      </c>
      <c r="J489" s="18">
        <v>0</v>
      </c>
      <c r="K489" s="53">
        <f t="shared" si="34"/>
        <v>36610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387390</v>
      </c>
      <c r="G490" s="42">
        <f>SUM(G488:G489)</f>
        <v>129220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516610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120000</v>
      </c>
      <c r="G491" s="205">
        <v>40000</v>
      </c>
      <c r="H491" s="205">
        <v>0</v>
      </c>
      <c r="I491" s="205">
        <v>0</v>
      </c>
      <c r="J491" s="205">
        <v>0</v>
      </c>
      <c r="K491" s="206">
        <f t="shared" si="34"/>
        <v>160000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15180</v>
      </c>
      <c r="G492" s="18">
        <v>5110</v>
      </c>
      <c r="H492" s="18">
        <v>0</v>
      </c>
      <c r="I492" s="18">
        <v>0</v>
      </c>
      <c r="J492" s="18">
        <v>0</v>
      </c>
      <c r="K492" s="53">
        <f t="shared" si="34"/>
        <v>20290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135180</v>
      </c>
      <c r="G493" s="42">
        <f>SUM(G491:G492)</f>
        <v>45110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180290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</f>
        <v>625924.11</v>
      </c>
      <c r="G511" s="18">
        <f t="shared" si="35"/>
        <v>168834.34999999998</v>
      </c>
      <c r="H511" s="18">
        <f t="shared" si="35"/>
        <v>432331.88</v>
      </c>
      <c r="I511" s="18">
        <f t="shared" si="35"/>
        <v>5746.0499999999993</v>
      </c>
      <c r="J511" s="18">
        <f t="shared" si="35"/>
        <v>756.44</v>
      </c>
      <c r="K511" s="18">
        <f t="shared" si="35"/>
        <v>359.06</v>
      </c>
      <c r="L511" s="88">
        <f>SUM(F511:K511)</f>
        <v>1233951.8899999999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</f>
        <v>0</v>
      </c>
      <c r="G512" s="18">
        <f t="shared" si="36"/>
        <v>0</v>
      </c>
      <c r="H512" s="18">
        <f t="shared" si="36"/>
        <v>81877.8</v>
      </c>
      <c r="I512" s="18">
        <f t="shared" si="36"/>
        <v>0</v>
      </c>
      <c r="J512" s="18">
        <f t="shared" si="36"/>
        <v>0</v>
      </c>
      <c r="K512" s="18">
        <f t="shared" si="36"/>
        <v>0</v>
      </c>
      <c r="L512" s="88">
        <f>SUM(F512:K512)</f>
        <v>81877.8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</f>
        <v>0</v>
      </c>
      <c r="G513" s="18">
        <f t="shared" si="37"/>
        <v>0</v>
      </c>
      <c r="H513" s="18">
        <f t="shared" si="37"/>
        <v>376359.57</v>
      </c>
      <c r="I513" s="18">
        <f t="shared" si="37"/>
        <v>0</v>
      </c>
      <c r="J513" s="18">
        <f t="shared" si="37"/>
        <v>0</v>
      </c>
      <c r="K513" s="18">
        <f t="shared" si="37"/>
        <v>0</v>
      </c>
      <c r="L513" s="88">
        <f>SUM(F513:K513)</f>
        <v>376359.57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625924.11</v>
      </c>
      <c r="G514" s="108">
        <f t="shared" ref="G514:L514" si="38">SUM(G511:G513)</f>
        <v>168834.34999999998</v>
      </c>
      <c r="H514" s="108">
        <f t="shared" si="38"/>
        <v>890569.25</v>
      </c>
      <c r="I514" s="108">
        <f t="shared" si="38"/>
        <v>5746.0499999999993</v>
      </c>
      <c r="J514" s="108">
        <f t="shared" si="38"/>
        <v>756.44</v>
      </c>
      <c r="K514" s="108">
        <f t="shared" si="38"/>
        <v>359.06</v>
      </c>
      <c r="L514" s="89">
        <f t="shared" si="38"/>
        <v>1692189.26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4186.3999999999996</v>
      </c>
      <c r="G516" s="18">
        <v>531.91999999999996</v>
      </c>
      <c r="H516" s="18">
        <v>0</v>
      </c>
      <c r="I516" s="18">
        <v>33.049999999999997</v>
      </c>
      <c r="J516" s="18">
        <v>0</v>
      </c>
      <c r="K516" s="18">
        <v>0</v>
      </c>
      <c r="L516" s="88">
        <f>SUM(F516:K516)</f>
        <v>4751.37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0</v>
      </c>
      <c r="I517" s="18">
        <v>0</v>
      </c>
      <c r="J517" s="18">
        <v>0</v>
      </c>
      <c r="K517" s="18">
        <v>0</v>
      </c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4186.3999999999996</v>
      </c>
      <c r="G519" s="89">
        <f t="shared" ref="G519:L519" si="39">SUM(G516:G518)</f>
        <v>531.91999999999996</v>
      </c>
      <c r="H519" s="89">
        <f t="shared" si="39"/>
        <v>0</v>
      </c>
      <c r="I519" s="89">
        <f t="shared" si="39"/>
        <v>33.049999999999997</v>
      </c>
      <c r="J519" s="89">
        <f t="shared" si="39"/>
        <v>0</v>
      </c>
      <c r="K519" s="89">
        <f t="shared" si="39"/>
        <v>0</v>
      </c>
      <c r="L519" s="89">
        <f t="shared" si="39"/>
        <v>4751.37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67906.45</v>
      </c>
      <c r="G521" s="18">
        <v>20634.439999999999</v>
      </c>
      <c r="H521" s="18">
        <v>46.59</v>
      </c>
      <c r="I521" s="18">
        <v>147.22999999999999</v>
      </c>
      <c r="J521" s="18">
        <f t="shared" ref="F521:K522" si="40">J213+J214</f>
        <v>0</v>
      </c>
      <c r="K521" s="18">
        <f t="shared" si="40"/>
        <v>0</v>
      </c>
      <c r="L521" s="88">
        <f>SUM(F521:K521)</f>
        <v>88734.709999999992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 t="shared" si="40"/>
        <v>0</v>
      </c>
      <c r="G522" s="18">
        <f t="shared" si="40"/>
        <v>0</v>
      </c>
      <c r="H522" s="18">
        <f t="shared" si="40"/>
        <v>0</v>
      </c>
      <c r="I522" s="18">
        <f t="shared" si="40"/>
        <v>0</v>
      </c>
      <c r="J522" s="18">
        <f t="shared" si="40"/>
        <v>0</v>
      </c>
      <c r="K522" s="18">
        <f t="shared" si="40"/>
        <v>0</v>
      </c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 t="shared" ref="F523:K523" si="41">F232+F233</f>
        <v>0</v>
      </c>
      <c r="G523" s="18">
        <f t="shared" si="41"/>
        <v>0</v>
      </c>
      <c r="H523" s="18">
        <f t="shared" si="41"/>
        <v>0</v>
      </c>
      <c r="I523" s="18">
        <f t="shared" si="41"/>
        <v>0</v>
      </c>
      <c r="J523" s="18">
        <f t="shared" si="41"/>
        <v>0</v>
      </c>
      <c r="K523" s="18">
        <f t="shared" si="41"/>
        <v>0</v>
      </c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67906.45</v>
      </c>
      <c r="G524" s="89">
        <f t="shared" ref="G524:L524" si="42">SUM(G521:G523)</f>
        <v>20634.439999999999</v>
      </c>
      <c r="H524" s="89">
        <f t="shared" si="42"/>
        <v>46.59</v>
      </c>
      <c r="I524" s="89">
        <f t="shared" si="42"/>
        <v>147.22999999999999</v>
      </c>
      <c r="J524" s="89">
        <f t="shared" si="42"/>
        <v>0</v>
      </c>
      <c r="K524" s="89">
        <f t="shared" si="42"/>
        <v>0</v>
      </c>
      <c r="L524" s="89">
        <f t="shared" si="42"/>
        <v>88734.709999999992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3">SUM(G526:G528)</f>
        <v>0</v>
      </c>
      <c r="H529" s="89">
        <f t="shared" si="43"/>
        <v>0</v>
      </c>
      <c r="I529" s="89">
        <f t="shared" si="43"/>
        <v>0</v>
      </c>
      <c r="J529" s="89">
        <f t="shared" si="43"/>
        <v>0</v>
      </c>
      <c r="K529" s="89">
        <f t="shared" si="43"/>
        <v>0</v>
      </c>
      <c r="L529" s="89">
        <f t="shared" si="43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58841.15</f>
        <v>58841.15</v>
      </c>
      <c r="G531" s="18">
        <f>ROUND(F531*0.0765,2)+6927.32+6927.32</f>
        <v>18355.989999999998</v>
      </c>
      <c r="H531" s="18">
        <v>2829.47</v>
      </c>
      <c r="I531" s="18">
        <v>0</v>
      </c>
      <c r="J531" s="18">
        <v>0</v>
      </c>
      <c r="K531" s="18">
        <v>0</v>
      </c>
      <c r="L531" s="88">
        <f>SUM(F531:K531)</f>
        <v>80026.61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 t="shared" ref="F532:K532" si="44">F218</f>
        <v>0</v>
      </c>
      <c r="G532" s="18">
        <f t="shared" si="44"/>
        <v>0</v>
      </c>
      <c r="H532" s="18">
        <f t="shared" si="44"/>
        <v>0</v>
      </c>
      <c r="I532" s="18">
        <f t="shared" si="44"/>
        <v>0</v>
      </c>
      <c r="J532" s="18">
        <f t="shared" si="44"/>
        <v>0</v>
      </c>
      <c r="K532" s="18">
        <f t="shared" si="44"/>
        <v>0</v>
      </c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 t="shared" ref="F533:K533" si="45">F236</f>
        <v>0</v>
      </c>
      <c r="G533" s="18">
        <f t="shared" si="45"/>
        <v>0</v>
      </c>
      <c r="H533" s="18">
        <f t="shared" si="45"/>
        <v>0</v>
      </c>
      <c r="I533" s="18">
        <f t="shared" si="45"/>
        <v>0</v>
      </c>
      <c r="J533" s="18">
        <f t="shared" si="45"/>
        <v>0</v>
      </c>
      <c r="K533" s="18">
        <f t="shared" si="45"/>
        <v>0</v>
      </c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58841.15</v>
      </c>
      <c r="G534" s="194">
        <f t="shared" ref="G534:L534" si="46">SUM(G531:G533)</f>
        <v>18355.989999999998</v>
      </c>
      <c r="H534" s="194">
        <f t="shared" si="46"/>
        <v>2829.47</v>
      </c>
      <c r="I534" s="194">
        <f t="shared" si="46"/>
        <v>0</v>
      </c>
      <c r="J534" s="194">
        <f t="shared" si="46"/>
        <v>0</v>
      </c>
      <c r="K534" s="194">
        <f t="shared" si="46"/>
        <v>0</v>
      </c>
      <c r="L534" s="194">
        <f t="shared" si="46"/>
        <v>80026.61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756858.11</v>
      </c>
      <c r="G535" s="89">
        <f t="shared" ref="G535:L535" si="47">G514+G519+G524+G529+G534</f>
        <v>208356.69999999998</v>
      </c>
      <c r="H535" s="89">
        <f t="shared" si="47"/>
        <v>893445.30999999994</v>
      </c>
      <c r="I535" s="89">
        <f t="shared" si="47"/>
        <v>5926.329999999999</v>
      </c>
      <c r="J535" s="89">
        <f t="shared" si="47"/>
        <v>756.44</v>
      </c>
      <c r="K535" s="89">
        <f t="shared" si="47"/>
        <v>359.06</v>
      </c>
      <c r="L535" s="89">
        <f t="shared" si="47"/>
        <v>1865701.9500000002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1233951.8899999999</v>
      </c>
      <c r="G539" s="87">
        <f>L516</f>
        <v>4751.37</v>
      </c>
      <c r="H539" s="87">
        <f>L521</f>
        <v>88734.709999999992</v>
      </c>
      <c r="I539" s="87">
        <f>L526</f>
        <v>0</v>
      </c>
      <c r="J539" s="87">
        <f>L531</f>
        <v>80026.61</v>
      </c>
      <c r="K539" s="87">
        <f>SUM(F539:J539)</f>
        <v>1407464.58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81877.8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81877.8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376359.57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376359.57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8">SUM(F539:F541)</f>
        <v>1692189.26</v>
      </c>
      <c r="G542" s="89">
        <f t="shared" si="48"/>
        <v>4751.37</v>
      </c>
      <c r="H542" s="89">
        <f t="shared" si="48"/>
        <v>88734.709999999992</v>
      </c>
      <c r="I542" s="89">
        <f t="shared" si="48"/>
        <v>0</v>
      </c>
      <c r="J542" s="89">
        <f t="shared" si="48"/>
        <v>80026.61</v>
      </c>
      <c r="K542" s="89">
        <f t="shared" si="48"/>
        <v>1865701.9500000002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9">SUM(F547:F549)</f>
        <v>0</v>
      </c>
      <c r="G550" s="108">
        <f t="shared" si="49"/>
        <v>0</v>
      </c>
      <c r="H550" s="108">
        <f t="shared" si="49"/>
        <v>0</v>
      </c>
      <c r="I550" s="108">
        <f t="shared" si="49"/>
        <v>0</v>
      </c>
      <c r="J550" s="108">
        <f t="shared" si="49"/>
        <v>0</v>
      </c>
      <c r="K550" s="108">
        <f t="shared" si="49"/>
        <v>0</v>
      </c>
      <c r="L550" s="89">
        <f t="shared" si="49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50">SUM(F552:F554)</f>
        <v>0</v>
      </c>
      <c r="G555" s="89">
        <f t="shared" si="50"/>
        <v>0</v>
      </c>
      <c r="H555" s="89">
        <f t="shared" si="50"/>
        <v>0</v>
      </c>
      <c r="I555" s="89">
        <f t="shared" si="50"/>
        <v>0</v>
      </c>
      <c r="J555" s="89">
        <f t="shared" si="50"/>
        <v>0</v>
      </c>
      <c r="K555" s="89">
        <f t="shared" si="50"/>
        <v>0</v>
      </c>
      <c r="L555" s="89">
        <f t="shared" si="50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51">SUM(G557:G559)</f>
        <v>0</v>
      </c>
      <c r="H560" s="194">
        <f t="shared" si="51"/>
        <v>0</v>
      </c>
      <c r="I560" s="194">
        <f t="shared" si="51"/>
        <v>0</v>
      </c>
      <c r="J560" s="194">
        <f t="shared" si="51"/>
        <v>0</v>
      </c>
      <c r="K560" s="194">
        <f t="shared" si="51"/>
        <v>0</v>
      </c>
      <c r="L560" s="194">
        <f t="shared" si="51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52">G550+G555+G560</f>
        <v>0</v>
      </c>
      <c r="H561" s="89">
        <f t="shared" si="52"/>
        <v>0</v>
      </c>
      <c r="I561" s="89">
        <f t="shared" si="52"/>
        <v>0</v>
      </c>
      <c r="J561" s="89">
        <f t="shared" si="52"/>
        <v>0</v>
      </c>
      <c r="K561" s="89">
        <f t="shared" si="52"/>
        <v>0</v>
      </c>
      <c r="L561" s="89">
        <f t="shared" si="52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2189398.31</v>
      </c>
      <c r="I565" s="87">
        <f>SUM(F565:H565)</f>
        <v>2189398.31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53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53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>SUM(F568:H568)</f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217942</v>
      </c>
      <c r="G569" s="18">
        <v>0</v>
      </c>
      <c r="H569" s="18">
        <f>23906.25+7605.8+506.08+1652.94+21839.61+23906.25+17041.56+23906.25+924+23854</f>
        <v>145142.74</v>
      </c>
      <c r="I569" s="87">
        <f t="shared" si="53"/>
        <v>363084.74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53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53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0</v>
      </c>
      <c r="G572" s="18">
        <v>81877.8</v>
      </c>
      <c r="H572" s="18">
        <v>231216.83</v>
      </c>
      <c r="I572" s="87">
        <f t="shared" si="53"/>
        <v>313094.63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53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53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53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53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53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392366.22</v>
      </c>
      <c r="I581" s="18">
        <v>0</v>
      </c>
      <c r="J581" s="18">
        <v>0</v>
      </c>
      <c r="K581" s="104">
        <f t="shared" ref="K581:K587" si="54">SUM(H581:J581)</f>
        <v>392366.22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80026.61</v>
      </c>
      <c r="I582" s="18">
        <v>0</v>
      </c>
      <c r="J582" s="18">
        <v>0</v>
      </c>
      <c r="K582" s="104">
        <f t="shared" si="54"/>
        <v>80026.61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0</v>
      </c>
      <c r="K583" s="104">
        <f t="shared" si="54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54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107.6</v>
      </c>
      <c r="I585" s="18">
        <v>0</v>
      </c>
      <c r="J585" s="18">
        <v>0</v>
      </c>
      <c r="K585" s="104">
        <f t="shared" si="54"/>
        <v>107.6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54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54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472500.42999999993</v>
      </c>
      <c r="I588" s="108">
        <f>SUM(I581:I587)</f>
        <v>0</v>
      </c>
      <c r="J588" s="108">
        <f>SUM(J581:J587)</f>
        <v>0</v>
      </c>
      <c r="K588" s="108">
        <f>SUM(K581:K587)</f>
        <v>472500.42999999993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33191.449999999997</v>
      </c>
      <c r="I594" s="18">
        <v>0</v>
      </c>
      <c r="J594" s="18">
        <v>0</v>
      </c>
      <c r="K594" s="104">
        <f>SUM(H594:J594)</f>
        <v>33191.449999999997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33191.449999999997</v>
      </c>
      <c r="I595" s="108">
        <f>SUM(I592:I594)</f>
        <v>0</v>
      </c>
      <c r="J595" s="108">
        <f>SUM(J592:J594)</f>
        <v>0</v>
      </c>
      <c r="K595" s="108">
        <f>SUM(K592:K594)</f>
        <v>33191.449999999997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16680.919999999998</v>
      </c>
      <c r="G601" s="18">
        <f>F601*(0.0765+0.0802)</f>
        <v>2613.9001639999997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19294.820163999997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0</v>
      </c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5">SUM(F601:F603)</f>
        <v>16680.919999999998</v>
      </c>
      <c r="G604" s="108">
        <f t="shared" si="55"/>
        <v>2613.9001639999997</v>
      </c>
      <c r="H604" s="108">
        <f t="shared" si="55"/>
        <v>0</v>
      </c>
      <c r="I604" s="108">
        <f t="shared" si="55"/>
        <v>0</v>
      </c>
      <c r="J604" s="108">
        <f t="shared" si="55"/>
        <v>0</v>
      </c>
      <c r="K604" s="108">
        <f t="shared" si="55"/>
        <v>0</v>
      </c>
      <c r="L604" s="89">
        <f t="shared" si="55"/>
        <v>19294.820163999997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601352.49</v>
      </c>
      <c r="H607" s="109">
        <f>SUM(F44)</f>
        <v>601352.49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6986.56</v>
      </c>
      <c r="H608" s="109">
        <f>SUM(G44)</f>
        <v>6986.5599999999968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78307.83</v>
      </c>
      <c r="H609" s="109">
        <f>SUM(H44)</f>
        <v>78307.829999999987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110300.51</v>
      </c>
      <c r="H611" s="109">
        <f>SUM(J44)</f>
        <v>110300.51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519031.81</v>
      </c>
      <c r="H612" s="109">
        <f>F466</f>
        <v>509531.81000000052</v>
      </c>
      <c r="I612" s="121" t="s">
        <v>106</v>
      </c>
      <c r="J612" s="109">
        <f t="shared" ref="J612:J645" si="56">G612-H612</f>
        <v>9499.9999999994761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56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56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6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110300.51</v>
      </c>
      <c r="H616" s="109">
        <f>J466</f>
        <v>110300.51000000001</v>
      </c>
      <c r="I616" s="140" t="s">
        <v>114</v>
      </c>
      <c r="J616" s="109">
        <f t="shared" si="56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8574808.3200000003</v>
      </c>
      <c r="H617" s="104">
        <f>SUM(F458)</f>
        <v>8574808.3200000003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220593.96</v>
      </c>
      <c r="H618" s="104">
        <f>SUM(G458)</f>
        <v>220593.96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547369.31000000006</v>
      </c>
      <c r="H619" s="104">
        <f>SUM(H458)</f>
        <v>547369.31000000006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32636.76</v>
      </c>
      <c r="H621" s="104">
        <f>SUM(J458)</f>
        <v>32636.76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8410317.6899999995</v>
      </c>
      <c r="H622" s="104">
        <f>SUM(F462)</f>
        <v>8419817.6899999995</v>
      </c>
      <c r="I622" s="140" t="s">
        <v>120</v>
      </c>
      <c r="J622" s="109">
        <f t="shared" si="56"/>
        <v>-9500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547369.31000000006</v>
      </c>
      <c r="H623" s="104">
        <f>SUM(H462)</f>
        <v>547369.31000000006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97489.41</v>
      </c>
      <c r="H624" s="104">
        <f>I361</f>
        <v>97489.41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221080.43999999997</v>
      </c>
      <c r="H625" s="104">
        <f>SUM(G462)</f>
        <v>221080.44</v>
      </c>
      <c r="I625" s="140" t="s">
        <v>123</v>
      </c>
      <c r="J625" s="109">
        <f t="shared" si="56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6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32636.760000000002</v>
      </c>
      <c r="H627" s="164">
        <f>SUM(J458)</f>
        <v>32636.76</v>
      </c>
      <c r="I627" s="165" t="s">
        <v>119</v>
      </c>
      <c r="J627" s="151">
        <f t="shared" si="56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6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110300.51</v>
      </c>
      <c r="H629" s="104">
        <f>SUM(F451)</f>
        <v>110300.51</v>
      </c>
      <c r="I629" s="140" t="s">
        <v>128</v>
      </c>
      <c r="J629" s="109">
        <f t="shared" si="56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6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6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110300.51</v>
      </c>
      <c r="H632" s="104">
        <f>SUM(I451)</f>
        <v>110300.51</v>
      </c>
      <c r="I632" s="140" t="s">
        <v>134</v>
      </c>
      <c r="J632" s="109">
        <f t="shared" si="56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6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2636.7599999999998</v>
      </c>
      <c r="H634" s="104">
        <f>H400</f>
        <v>2636.76</v>
      </c>
      <c r="I634" s="140" t="s">
        <v>504</v>
      </c>
      <c r="J634" s="109">
        <f t="shared" si="56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30000</v>
      </c>
      <c r="H635" s="104">
        <f>G400</f>
        <v>30000</v>
      </c>
      <c r="I635" s="140" t="s">
        <v>505</v>
      </c>
      <c r="J635" s="109">
        <f t="shared" si="56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32636.76</v>
      </c>
      <c r="H636" s="104">
        <f>L400</f>
        <v>32636.760000000002</v>
      </c>
      <c r="I636" s="140" t="s">
        <v>501</v>
      </c>
      <c r="J636" s="109">
        <f t="shared" si="56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472500.42999999993</v>
      </c>
      <c r="H637" s="104">
        <f>L200+L218+L236</f>
        <v>472500.43</v>
      </c>
      <c r="I637" s="140" t="s">
        <v>420</v>
      </c>
      <c r="J637" s="109">
        <f t="shared" si="56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33191.449999999997</v>
      </c>
      <c r="H638" s="104">
        <f>(J249+J330)-(J247+J328)</f>
        <v>33191.450000000004</v>
      </c>
      <c r="I638" s="140" t="s">
        <v>734</v>
      </c>
      <c r="J638" s="109">
        <f t="shared" si="56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472500.43</v>
      </c>
      <c r="H639" s="104">
        <f>H588</f>
        <v>472500.42999999993</v>
      </c>
      <c r="I639" s="140" t="s">
        <v>412</v>
      </c>
      <c r="J639" s="109">
        <f t="shared" si="56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6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56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74677.350000000006</v>
      </c>
      <c r="H642" s="104">
        <f>K255+K337</f>
        <v>74677.350000000006</v>
      </c>
      <c r="I642" s="140" t="s">
        <v>421</v>
      </c>
      <c r="J642" s="109">
        <f t="shared" si="56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6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6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30000</v>
      </c>
      <c r="H645" s="104">
        <f>K258+K339</f>
        <v>30000</v>
      </c>
      <c r="I645" s="140" t="s">
        <v>424</v>
      </c>
      <c r="J645" s="109">
        <f t="shared" si="56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6238224.4099999992</v>
      </c>
      <c r="G650" s="19">
        <f>(L221+L301+L351)</f>
        <v>81877.8</v>
      </c>
      <c r="H650" s="19">
        <f>(L239+L320+L352)</f>
        <v>2565757.88</v>
      </c>
      <c r="I650" s="19">
        <f>SUM(F650:H650)</f>
        <v>8885860.0899999999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55688.53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55688.53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472150.43</v>
      </c>
      <c r="G652" s="19">
        <f>(L218+L298)-(J218+J298)</f>
        <v>0</v>
      </c>
      <c r="H652" s="19">
        <f>(L236+L317)-(J236+J317)</f>
        <v>0</v>
      </c>
      <c r="I652" s="19">
        <f>SUM(F652:H652)</f>
        <v>472150.43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270428.27016399999</v>
      </c>
      <c r="G653" s="200">
        <f>SUM(G565:G577)+SUM(I592:I594)+L602</f>
        <v>81877.8</v>
      </c>
      <c r="H653" s="200">
        <f>SUM(H565:H577)+SUM(J592:J594)+L603</f>
        <v>2565757.88</v>
      </c>
      <c r="I653" s="19">
        <f>SUM(F653:H653)</f>
        <v>2918063.950164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5439957.1798359994</v>
      </c>
      <c r="G654" s="19">
        <f>G650-SUM(G651:G653)</f>
        <v>0</v>
      </c>
      <c r="H654" s="19">
        <f>H650-SUM(H651:H653)</f>
        <v>0</v>
      </c>
      <c r="I654" s="19">
        <f>I650-SUM(I651:I653)</f>
        <v>5439957.1798359994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445.6</v>
      </c>
      <c r="G655" s="249"/>
      <c r="H655" s="249"/>
      <c r="I655" s="19">
        <f>SUM(F655:H655)</f>
        <v>445.6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12208.16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12208.16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12208.16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12208.16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customSheetViews>
    <customSheetView guid="{E30DB129-39E8-48B9-8E25-02212AA3B7DA}" scale="90" hiddenColumns="1">
      <pane xSplit="5" ySplit="3" topLeftCell="F552" activePane="bottomRight" state="frozen"/>
      <selection pane="bottomRight" activeCell="C11" sqref="C11:M11"/>
      <rowBreaks count="24" manualBreakCount="24">
        <brk id="44" max="11" man="1"/>
        <brk id="71" max="11" man="1"/>
        <brk id="104" max="11" man="1"/>
        <brk id="132" max="9" man="1"/>
        <brk id="161" max="9" man="1"/>
        <brk id="185" max="9" man="1"/>
        <brk id="203" max="9" man="1"/>
        <brk id="221" max="9" man="1"/>
        <brk id="239" max="9" man="1"/>
        <brk id="263" max="9" man="1"/>
        <brk id="282" max="9" man="1"/>
        <brk id="301" max="9" man="1"/>
        <brk id="320" max="9" man="1"/>
        <brk id="344" max="11" man="1"/>
        <brk id="374" max="11" man="1"/>
        <brk id="400" max="11" man="1"/>
        <brk id="426" max="16383" man="1"/>
        <brk id="451" max="11" man="1"/>
        <brk id="475" max="11" man="1"/>
        <brk id="507" max="9" man="1"/>
        <brk id="542" max="11" man="1"/>
        <brk id="578" max="11" man="1"/>
        <brk id="605" max="9" man="1"/>
        <brk id="646" max="9" man="1"/>
      </rowBreaks>
      <pageMargins left="0.3" right="0.3" top="0.75" bottom="0.75" header="0.5" footer="0.5"/>
      <printOptions gridLines="1"/>
      <pageSetup scale="90" orientation="landscape" r:id="rId1"/>
      <headerFooter alignWithMargins="0">
        <oddHeader xml:space="preserve">&amp;CDOE 25 for 2009-2010
</oddHeader>
        <oddFooter>&amp;L&amp;F&amp;CPage &amp;P&amp;R&amp;D&amp;T</oddFooter>
      </headerFooter>
    </customSheetView>
  </customSheetViews>
  <phoneticPr fontId="0" type="noConversion"/>
  <printOptions gridLines="1" gridLinesSet="0"/>
  <pageMargins left="0.3" right="0.3" top="0.75" bottom="0.75" header="0.5" footer="0.5"/>
  <pageSetup scale="90" orientation="landscape" r:id="rId2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7937-D07C-46FA-B593-62A1EA91F886}">
  <sheetPr>
    <tabColor indexed="20"/>
  </sheetPr>
  <dimension ref="A1:C52"/>
  <sheetViews>
    <sheetView topLeftCell="A22" workbookViewId="0">
      <selection activeCell="A52" sqref="A5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SAU# 64  Wakefield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1679180.36</v>
      </c>
      <c r="C9" s="230">
        <f>'DOE25'!G189+'DOE25'!G207+'DOE25'!G225+'DOE25'!G268+'DOE25'!G287+'DOE25'!G306</f>
        <v>684018.95000000007</v>
      </c>
    </row>
    <row r="10" spans="1:3" x14ac:dyDescent="0.2">
      <c r="A10" t="s">
        <v>813</v>
      </c>
      <c r="B10" s="241">
        <v>1626283.33</v>
      </c>
      <c r="C10" s="241">
        <v>673800.36</v>
      </c>
    </row>
    <row r="11" spans="1:3" x14ac:dyDescent="0.2">
      <c r="A11" t="s">
        <v>814</v>
      </c>
      <c r="B11" s="241">
        <v>52897.03</v>
      </c>
      <c r="C11" s="241">
        <v>10218.59</v>
      </c>
    </row>
    <row r="12" spans="1:3" x14ac:dyDescent="0.2">
      <c r="A12" t="s">
        <v>815</v>
      </c>
      <c r="B12" s="241">
        <v>0</v>
      </c>
      <c r="C12" s="241">
        <v>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1679180.36</v>
      </c>
      <c r="C13" s="232">
        <f>SUM(C10:C12)</f>
        <v>684018.95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625924.11</v>
      </c>
      <c r="C18" s="230">
        <f>'DOE25'!G190+'DOE25'!G208+'DOE25'!G226+'DOE25'!G269+'DOE25'!G288+'DOE25'!G307</f>
        <v>168834.34999999998</v>
      </c>
    </row>
    <row r="19" spans="1:3" x14ac:dyDescent="0.2">
      <c r="A19" t="s">
        <v>813</v>
      </c>
      <c r="B19" s="241">
        <v>258131.99</v>
      </c>
      <c r="C19" s="241">
        <v>100443.68</v>
      </c>
    </row>
    <row r="20" spans="1:3" x14ac:dyDescent="0.2">
      <c r="A20" t="s">
        <v>814</v>
      </c>
      <c r="B20" s="241">
        <v>366899.62</v>
      </c>
      <c r="C20" s="241">
        <v>68322.37</v>
      </c>
    </row>
    <row r="21" spans="1:3" x14ac:dyDescent="0.2">
      <c r="A21" t="s">
        <v>815</v>
      </c>
      <c r="B21" s="241">
        <v>892.5</v>
      </c>
      <c r="C21" s="241">
        <v>68.3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625924.11</v>
      </c>
      <c r="C22" s="232">
        <f>SUM(C19:C21)</f>
        <v>168834.34999999998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14922</v>
      </c>
      <c r="C36" s="236">
        <f>'DOE25'!G192+'DOE25'!G210+'DOE25'!G228+'DOE25'!G271+'DOE25'!G290+'DOE25'!G309</f>
        <v>2327.65</v>
      </c>
    </row>
    <row r="37" spans="1:3" x14ac:dyDescent="0.2">
      <c r="A37" t="s">
        <v>813</v>
      </c>
      <c r="B37" s="241">
        <v>8592</v>
      </c>
      <c r="C37" s="241">
        <v>1605.71</v>
      </c>
    </row>
    <row r="38" spans="1:3" x14ac:dyDescent="0.2">
      <c r="A38" t="s">
        <v>814</v>
      </c>
      <c r="B38" s="241">
        <v>6330</v>
      </c>
      <c r="C38" s="241">
        <v>721.94</v>
      </c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14922</v>
      </c>
      <c r="C40" s="232">
        <f>SUM(C37:C39)</f>
        <v>2327.65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customSheetViews>
    <customSheetView guid="{E30DB129-39E8-48B9-8E25-02212AA3B7DA}" topLeftCell="A34">
      <selection activeCell="C11" sqref="C11:M11"/>
      <pageMargins left="1.24" right="0.75" top="1" bottom="1" header="0.5" footer="0.5"/>
      <printOptions gridLines="1"/>
      <pageSetup orientation="portrait" r:id="rId1"/>
      <headerFooter alignWithMargins="0">
        <oddHeader>&amp;C&amp;A
FY2009-2010</oddHeader>
        <oddFooter>&amp;CPage &amp;P of &amp;N</oddFooter>
      </headerFooter>
    </customSheetView>
  </customSheetViews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2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41AC-4C49-4904-A05F-C3B1BC4C9DC3}">
  <sheetPr>
    <tabColor indexed="11"/>
  </sheetPr>
  <dimension ref="A1:I51"/>
  <sheetViews>
    <sheetView workbookViewId="0">
      <pane ySplit="4" topLeftCell="A14" activePane="bottomLeft" state="frozen"/>
      <selection activeCell="B6" sqref="B6"/>
      <selection pane="bottomLeft" activeCell="B6" sqref="B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SAU# 64  Wakefield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6073096.7799999993</v>
      </c>
      <c r="D5" s="20">
        <f>SUM('DOE25'!L189:L192)+SUM('DOE25'!L207:L210)+SUM('DOE25'!L225:L228)-F5-G5</f>
        <v>6052357.5899999989</v>
      </c>
      <c r="E5" s="244"/>
      <c r="F5" s="256">
        <f>SUM('DOE25'!J189:J192)+SUM('DOE25'!J207:J210)+SUM('DOE25'!J225:J228)</f>
        <v>20484.189999999999</v>
      </c>
      <c r="G5" s="53">
        <f>SUM('DOE25'!K189:K192)+SUM('DOE25'!K207:K210)+SUM('DOE25'!K225:K228)</f>
        <v>255</v>
      </c>
      <c r="H5" s="260"/>
    </row>
    <row r="6" spans="1:9" x14ac:dyDescent="0.2">
      <c r="A6" s="32">
        <v>2100</v>
      </c>
      <c r="B6" t="s">
        <v>835</v>
      </c>
      <c r="C6" s="246">
        <f t="shared" si="0"/>
        <v>327393.15000000002</v>
      </c>
      <c r="D6" s="20">
        <f>'DOE25'!L194+'DOE25'!L212+'DOE25'!L230-F6-G6</f>
        <v>327043.15000000002</v>
      </c>
      <c r="E6" s="244"/>
      <c r="F6" s="256">
        <f>'DOE25'!J194+'DOE25'!J212+'DOE25'!J230</f>
        <v>0</v>
      </c>
      <c r="G6" s="53">
        <f>'DOE25'!K194+'DOE25'!K212+'DOE25'!K230</f>
        <v>350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91376.27</v>
      </c>
      <c r="D7" s="20">
        <f>'DOE25'!L195+'DOE25'!L213+'DOE25'!L231-F7-G7</f>
        <v>89668.61</v>
      </c>
      <c r="E7" s="244"/>
      <c r="F7" s="256">
        <f>'DOE25'!J195+'DOE25'!J213+'DOE25'!J231</f>
        <v>853.83</v>
      </c>
      <c r="G7" s="53">
        <f>'DOE25'!J195+'DOE25'!K213+'DOE25'!K231</f>
        <v>853.83</v>
      </c>
      <c r="H7" s="260"/>
    </row>
    <row r="8" spans="1:9" x14ac:dyDescent="0.2">
      <c r="A8" s="32">
        <v>2300</v>
      </c>
      <c r="B8" t="s">
        <v>836</v>
      </c>
      <c r="C8" s="246">
        <f t="shared" si="0"/>
        <v>346186.69000000006</v>
      </c>
      <c r="D8" s="244"/>
      <c r="E8" s="20">
        <f>'DOE25'!L196+'DOE25'!L214+'DOE25'!L232-F8-G8-D9-D11</f>
        <v>341643.49000000005</v>
      </c>
      <c r="F8" s="256">
        <f>'DOE25'!J196+'DOE25'!J214+'DOE25'!J232</f>
        <v>0</v>
      </c>
      <c r="G8" s="53">
        <f>'DOE25'!K196+'DOE25'!K214+'DOE25'!K232</f>
        <v>4543.2</v>
      </c>
      <c r="H8" s="260"/>
    </row>
    <row r="9" spans="1:9" x14ac:dyDescent="0.2">
      <c r="A9" s="32">
        <v>2310</v>
      </c>
      <c r="B9" t="s">
        <v>852</v>
      </c>
      <c r="C9" s="246">
        <f t="shared" si="0"/>
        <v>63565.31</v>
      </c>
      <c r="D9" s="245">
        <v>63565.31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12241.17</v>
      </c>
      <c r="D10" s="244"/>
      <c r="E10" s="245">
        <v>12241.17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108014.48</v>
      </c>
      <c r="D11" s="245">
        <f>ROUND((142360+10891+13040+18384+8208)*0.56,2)</f>
        <v>108014.48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268588.49999999994</v>
      </c>
      <c r="D12" s="20">
        <f>'DOE25'!L197+'DOE25'!L215+'DOE25'!L233-F12-G12</f>
        <v>266239.51999999996</v>
      </c>
      <c r="E12" s="244"/>
      <c r="F12" s="256">
        <f>'DOE25'!J197+'DOE25'!J215+'DOE25'!J233</f>
        <v>0</v>
      </c>
      <c r="G12" s="53">
        <f>'DOE25'!K197+'DOE25'!K215+'DOE25'!K233</f>
        <v>2348.98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342178.63</v>
      </c>
      <c r="D14" s="20">
        <f>'DOE25'!L199+'DOE25'!L217+'DOE25'!L235-F14-G14</f>
        <v>332971.14</v>
      </c>
      <c r="E14" s="244"/>
      <c r="F14" s="256">
        <f>'DOE25'!J199+'DOE25'!J217+'DOE25'!J235</f>
        <v>9207.49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472500.43</v>
      </c>
      <c r="D15" s="20">
        <f>'DOE25'!L200+'DOE25'!L218+'DOE25'!L236-F15-G15</f>
        <v>465440.49</v>
      </c>
      <c r="E15" s="244"/>
      <c r="F15" s="256">
        <f>'DOE25'!J200+'DOE25'!J218+'DOE25'!J236</f>
        <v>350</v>
      </c>
      <c r="G15" s="53">
        <f>'DOE25'!K200+'DOE25'!K218+'DOE25'!K236</f>
        <v>6709.94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24510.1</v>
      </c>
      <c r="D16" s="244"/>
      <c r="E16" s="20">
        <f>'DOE25'!L201+'DOE25'!L219+'DOE25'!L237-F16-G16</f>
        <v>24510.1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188230</v>
      </c>
      <c r="D25" s="244"/>
      <c r="E25" s="244"/>
      <c r="F25" s="259"/>
      <c r="G25" s="257"/>
      <c r="H25" s="258">
        <f>'DOE25'!L252+'DOE25'!L253+'DOE25'!L333+'DOE25'!L334</f>
        <v>188230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135985.83999999997</v>
      </c>
      <c r="D29" s="20">
        <f>'DOE25'!L350+'DOE25'!L351+'DOE25'!L352-'DOE25'!I359-F29-G29</f>
        <v>134030.49999999997</v>
      </c>
      <c r="E29" s="244"/>
      <c r="F29" s="256">
        <f>'DOE25'!J350+'DOE25'!J351+'DOE25'!J352</f>
        <v>1955.34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547369.31000000006</v>
      </c>
      <c r="D31" s="20">
        <f>'DOE25'!L282+'DOE25'!L301+'DOE25'!L320+'DOE25'!L325+'DOE25'!L326+'DOE25'!L327-F31-G31</f>
        <v>527180.77000000014</v>
      </c>
      <c r="E31" s="244"/>
      <c r="F31" s="256">
        <f>'DOE25'!J282+'DOE25'!J301+'DOE25'!J320+'DOE25'!J325+'DOE25'!J326+'DOE25'!J327</f>
        <v>2295.94</v>
      </c>
      <c r="G31" s="53">
        <f>'DOE25'!K282+'DOE25'!K301+'DOE25'!K320+'DOE25'!K325+'DOE25'!K326+'DOE25'!K327</f>
        <v>17892.600000000002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8366511.5599999996</v>
      </c>
      <c r="E33" s="247">
        <f>SUM(E5:E31)</f>
        <v>378394.76</v>
      </c>
      <c r="F33" s="247">
        <f>SUM(F5:F31)</f>
        <v>35146.79</v>
      </c>
      <c r="G33" s="247">
        <f>SUM(G5:G31)</f>
        <v>32953.550000000003</v>
      </c>
      <c r="H33" s="247">
        <f>SUM(H5:H31)</f>
        <v>188230</v>
      </c>
    </row>
    <row r="35" spans="2:8" ht="12" thickBot="1" x14ac:dyDescent="0.25">
      <c r="B35" s="254" t="s">
        <v>881</v>
      </c>
      <c r="D35" s="255">
        <f>E33</f>
        <v>378394.76</v>
      </c>
      <c r="E35" s="250"/>
    </row>
    <row r="36" spans="2:8" ht="12" thickTop="1" x14ac:dyDescent="0.2">
      <c r="B36" t="s">
        <v>849</v>
      </c>
      <c r="D36" s="20">
        <f>D33</f>
        <v>8366511.5599999996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customSheetViews>
    <customSheetView guid="{E30DB129-39E8-48B9-8E25-02212AA3B7DA}">
      <pane ySplit="4" topLeftCell="A5" activePane="bottomLeft" state="frozen"/>
      <selection pane="bottomLeft" activeCell="C11" sqref="C11:M11"/>
      <pageMargins left="0.5" right="0.5" top="0.5" bottom="0.5" header="0.5" footer="0.5"/>
      <pageSetup orientation="landscape" r:id="rId1"/>
      <headerFooter alignWithMargins="0"/>
    </customSheetView>
  </customSheetViews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2658-1404-41D1-87D3-F65A5CA44FE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activeCell="K196" sqref="K196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SAU# 64  Wakefield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513669.13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110300.51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69152.759999999995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18230.599999999999</v>
      </c>
      <c r="D13" s="95">
        <f>'DOE25'!G13</f>
        <v>0</v>
      </c>
      <c r="E13" s="95">
        <f>'DOE25'!H13</f>
        <v>78307.83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300</v>
      </c>
      <c r="D14" s="95">
        <f>'DOE25'!G14</f>
        <v>6986.56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601352.49</v>
      </c>
      <c r="D19" s="41">
        <f>SUM(D9:D18)</f>
        <v>6986.56</v>
      </c>
      <c r="E19" s="41">
        <f>SUM(E9:E18)</f>
        <v>78307.83</v>
      </c>
      <c r="F19" s="41">
        <f>SUM(F9:F18)</f>
        <v>0</v>
      </c>
      <c r="G19" s="41">
        <f>SUM(G9:G18)</f>
        <v>110300.51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6691.7699999999968</v>
      </c>
      <c r="E22" s="95">
        <f>'DOE25'!H23</f>
        <v>62460.99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67712.37</v>
      </c>
      <c r="D24" s="95">
        <f>'DOE25'!G25</f>
        <v>294.79000000000002</v>
      </c>
      <c r="E24" s="95">
        <f>'DOE25'!H25</f>
        <v>8086.25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14608.31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7760.59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82320.679999999993</v>
      </c>
      <c r="D32" s="41">
        <f>SUM(D22:D31)</f>
        <v>6986.5599999999968</v>
      </c>
      <c r="E32" s="41">
        <f>SUM(E22:E31)</f>
        <v>78307.829999999987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95100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110300.51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423931.81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519031.81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110300.51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601352.49</v>
      </c>
      <c r="D43" s="41">
        <f>D42+D32</f>
        <v>6986.5599999999968</v>
      </c>
      <c r="E43" s="41">
        <f>E42+E32</f>
        <v>78307.829999999987</v>
      </c>
      <c r="F43" s="41">
        <f>F42+F32</f>
        <v>0</v>
      </c>
      <c r="G43" s="41">
        <f>G42+G32</f>
        <v>110300.51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4611955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16173.84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1213.4000000000001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1950.88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2636.7599999999998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55688.53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17739.73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37077.850000000006</v>
      </c>
      <c r="D54" s="130">
        <f>SUM(D49:D53)</f>
        <v>55688.53</v>
      </c>
      <c r="E54" s="130">
        <f>SUM(E49:E53)</f>
        <v>0</v>
      </c>
      <c r="F54" s="130">
        <f>SUM(F49:F53)</f>
        <v>0</v>
      </c>
      <c r="G54" s="130">
        <f>SUM(G49:G53)</f>
        <v>2636.7599999999998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4649032.8499999996</v>
      </c>
      <c r="D55" s="22">
        <f>D48+D54</f>
        <v>55688.53</v>
      </c>
      <c r="E55" s="22">
        <f>E48+E54</f>
        <v>0</v>
      </c>
      <c r="F55" s="22">
        <f>F48+F54</f>
        <v>0</v>
      </c>
      <c r="G55" s="22">
        <f>G48+G54</f>
        <v>2636.7599999999998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1046625.82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2229089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401558.18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3677273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51063.3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98721.279999999999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2305.83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149784.58000000002</v>
      </c>
      <c r="D70" s="130">
        <f>SUM(D64:D69)</f>
        <v>2305.83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3827057.58</v>
      </c>
      <c r="D73" s="130">
        <f>SUM(D71:D72)+D70+D62</f>
        <v>2305.83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98717.89</v>
      </c>
      <c r="D80" s="95">
        <f>SUM('DOE25'!G145:G153)</f>
        <v>87922.25</v>
      </c>
      <c r="E80" s="95">
        <f>SUM('DOE25'!H145:H153)</f>
        <v>547369.31000000006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98717.89</v>
      </c>
      <c r="D83" s="131">
        <f>SUM(D77:D82)</f>
        <v>87922.25</v>
      </c>
      <c r="E83" s="131">
        <f>SUM(E77:E82)</f>
        <v>547369.31000000006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74677.350000000006</v>
      </c>
      <c r="E88" s="95">
        <f>'DOE25'!H171</f>
        <v>0</v>
      </c>
      <c r="F88" s="95">
        <f>'DOE25'!I171</f>
        <v>0</v>
      </c>
      <c r="G88" s="95">
        <f>'DOE25'!J171</f>
        <v>30000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74677.350000000006</v>
      </c>
      <c r="E95" s="86">
        <f>SUM(E85:E94)</f>
        <v>0</v>
      </c>
      <c r="F95" s="86">
        <f>SUM(F85:F94)</f>
        <v>0</v>
      </c>
      <c r="G95" s="86">
        <f>SUM(G85:G94)</f>
        <v>30000</v>
      </c>
    </row>
    <row r="96" spans="1:7" ht="12.75" thickTop="1" thickBot="1" x14ac:dyDescent="0.25">
      <c r="A96" s="33" t="s">
        <v>797</v>
      </c>
      <c r="C96" s="86">
        <f>C55+C73+C83+C95</f>
        <v>8574808.3200000003</v>
      </c>
      <c r="D96" s="86">
        <f>D55+D73+D83+D95</f>
        <v>220593.96</v>
      </c>
      <c r="E96" s="86">
        <f>E55+E73+E83+E95</f>
        <v>547369.31000000006</v>
      </c>
      <c r="F96" s="86">
        <f>F55+F73+F83+F95</f>
        <v>0</v>
      </c>
      <c r="G96" s="86">
        <f>G55+G73+G95</f>
        <v>32636.76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4361890.55</v>
      </c>
      <c r="D101" s="24" t="s">
        <v>312</v>
      </c>
      <c r="E101" s="95">
        <f>('DOE25'!L268)+('DOE25'!L287)+('DOE25'!L306)</f>
        <v>415233.31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1682623.4300000002</v>
      </c>
      <c r="D102" s="24" t="s">
        <v>312</v>
      </c>
      <c r="E102" s="95">
        <f>('DOE25'!L269)+('DOE25'!L288)+('DOE25'!L307)</f>
        <v>9565.83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28582.800000000003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6073096.7800000003</v>
      </c>
      <c r="D107" s="86">
        <f>SUM(D101:D106)</f>
        <v>0</v>
      </c>
      <c r="E107" s="86">
        <f>SUM(E101:E106)</f>
        <v>424799.14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327393.15000000002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91376.27</v>
      </c>
      <c r="D111" s="24" t="s">
        <v>312</v>
      </c>
      <c r="E111" s="95">
        <f>+('DOE25'!L274)+('DOE25'!L293)+('DOE25'!L312)</f>
        <v>122570.17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517766.48000000004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268588.49999999994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342178.63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472500.43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24510.1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221080.43999999997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2044313.5600000003</v>
      </c>
      <c r="D120" s="86">
        <f>SUM(D110:D119)</f>
        <v>221080.43999999997</v>
      </c>
      <c r="E120" s="86">
        <f>SUM(E110:E119)</f>
        <v>122570.17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28230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74677.350000000006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32636.760000000002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-2636.760000000002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292907.34999999998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8410317.6900000013</v>
      </c>
      <c r="D137" s="86">
        <f>(D107+D120+D136)</f>
        <v>221080.43999999997</v>
      </c>
      <c r="E137" s="86">
        <f>(E107+E120+E136)</f>
        <v>547369.31000000006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2/98</v>
      </c>
      <c r="C144" s="152" t="str">
        <f>'DOE25'!G481</f>
        <v>1/88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8/12</v>
      </c>
      <c r="C145" s="152" t="str">
        <f>'DOE25'!G482</f>
        <v>8/12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1822684</v>
      </c>
      <c r="C146" s="137">
        <f>'DOE25'!G483</f>
        <v>607562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4.9000000000000004</v>
      </c>
      <c r="C147" s="137">
        <f>'DOE25'!G484</f>
        <v>4.95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480000</v>
      </c>
      <c r="C148" s="137">
        <f>'DOE25'!G485</f>
        <v>160000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120000</v>
      </c>
      <c r="C150" s="137">
        <f>'DOE25'!G487</f>
        <v>40000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160000</v>
      </c>
    </row>
    <row r="151" spans="1:7" x14ac:dyDescent="0.2">
      <c r="A151" s="22" t="s">
        <v>35</v>
      </c>
      <c r="B151" s="137">
        <f>'DOE25'!F488</f>
        <v>360000</v>
      </c>
      <c r="C151" s="137">
        <f>'DOE25'!G488</f>
        <v>120000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480000</v>
      </c>
    </row>
    <row r="152" spans="1:7" x14ac:dyDescent="0.2">
      <c r="A152" s="22" t="s">
        <v>36</v>
      </c>
      <c r="B152" s="137">
        <f>'DOE25'!F489</f>
        <v>27390</v>
      </c>
      <c r="C152" s="137">
        <f>'DOE25'!G489</f>
        <v>9220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36610</v>
      </c>
    </row>
    <row r="153" spans="1:7" x14ac:dyDescent="0.2">
      <c r="A153" s="22" t="s">
        <v>37</v>
      </c>
      <c r="B153" s="137">
        <f>'DOE25'!F490</f>
        <v>387390</v>
      </c>
      <c r="C153" s="137">
        <f>'DOE25'!G490</f>
        <v>129220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516610</v>
      </c>
    </row>
    <row r="154" spans="1:7" x14ac:dyDescent="0.2">
      <c r="A154" s="22" t="s">
        <v>38</v>
      </c>
      <c r="B154" s="137">
        <f>'DOE25'!F491</f>
        <v>120000</v>
      </c>
      <c r="C154" s="137">
        <f>'DOE25'!G491</f>
        <v>40000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160000</v>
      </c>
    </row>
    <row r="155" spans="1:7" x14ac:dyDescent="0.2">
      <c r="A155" s="22" t="s">
        <v>39</v>
      </c>
      <c r="B155" s="137">
        <f>'DOE25'!F492</f>
        <v>15180</v>
      </c>
      <c r="C155" s="137">
        <f>'DOE25'!G492</f>
        <v>5110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20290</v>
      </c>
    </row>
    <row r="156" spans="1:7" x14ac:dyDescent="0.2">
      <c r="A156" s="22" t="s">
        <v>269</v>
      </c>
      <c r="B156" s="137">
        <f>'DOE25'!F493</f>
        <v>135180</v>
      </c>
      <c r="C156" s="137">
        <f>'DOE25'!G493</f>
        <v>45110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180290</v>
      </c>
    </row>
  </sheetData>
  <sheetProtection password="B70A" sheet="1" objects="1" scenarios="1"/>
  <customSheetViews>
    <customSheetView guid="{E30DB129-39E8-48B9-8E25-02212AA3B7DA}" scale="75">
      <pane ySplit="2" topLeftCell="A15" activePane="bottomLeft" state="frozen"/>
      <selection pane="bottomLeft" activeCell="A3" sqref="A3"/>
      <rowBreaks count="4" manualBreakCount="4">
        <brk id="43" max="65535" man="1"/>
        <brk id="73" max="16383" man="1"/>
        <brk id="96" max="16383" man="1"/>
        <brk id="137" max="16383" man="1"/>
      </rowBreaks>
      <pageMargins left="0.75" right="0.75" top="1" bottom="1" header="0.5" footer="0.5"/>
      <printOptions gridLines="1"/>
      <pageSetup scale="90" orientation="landscape" horizontalDpi="300" verticalDpi="300" r:id="rId1"/>
      <headerFooter alignWithMargins="0">
        <oddHeader>&amp;C&amp;A
2009-2010</oddHeader>
        <oddFooter>&amp;CPage &amp;P&amp;R&amp;D&amp;T</oddFooter>
      </headerFooter>
    </customSheetView>
  </customSheetViews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2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1BA1-227E-4991-8174-694FF7D22EDC}">
  <sheetPr codeName="Sheet3">
    <tabColor indexed="43"/>
  </sheetPr>
  <dimension ref="A1:D42"/>
  <sheetViews>
    <sheetView workbookViewId="0">
      <selection activeCell="B6" sqref="B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SAU# 64  Wakefield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12208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12208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4777124</v>
      </c>
      <c r="D10" s="182">
        <f>ROUND((C10/$C$28)*100,1)</f>
        <v>53.9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1692189</v>
      </c>
      <c r="D11" s="182">
        <f>ROUND((C11/$C$28)*100,1)</f>
        <v>19.100000000000001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28583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327393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213946</v>
      </c>
      <c r="D16" s="182">
        <f t="shared" si="0"/>
        <v>2.4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542277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268589</v>
      </c>
      <c r="D18" s="182">
        <f t="shared" si="0"/>
        <v>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342179</v>
      </c>
      <c r="D20" s="182">
        <f t="shared" si="0"/>
        <v>3.9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472500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28230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165391.47</v>
      </c>
      <c r="D27" s="182">
        <f t="shared" si="0"/>
        <v>1.9</v>
      </c>
    </row>
    <row r="28" spans="1:4" x14ac:dyDescent="0.2">
      <c r="B28" s="187" t="s">
        <v>754</v>
      </c>
      <c r="C28" s="180">
        <f>SUM(C10:C27)</f>
        <v>8858401.4700000007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8858401.4700000007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4611955</v>
      </c>
      <c r="D35" s="182">
        <f t="shared" ref="D35:D40" si="1">ROUND((C35/$C$41)*100,1)</f>
        <v>50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39714.610000000335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3275715</v>
      </c>
      <c r="D37" s="182">
        <f t="shared" si="1"/>
        <v>35.5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553649</v>
      </c>
      <c r="D38" s="182">
        <f t="shared" si="1"/>
        <v>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734009</v>
      </c>
      <c r="D39" s="182">
        <f t="shared" si="1"/>
        <v>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9215042.6099999994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customSheetViews>
    <customSheetView guid="{E30DB129-39E8-48B9-8E25-02212AA3B7DA}">
      <selection activeCell="C11" sqref="C11:M11"/>
      <pageMargins left="1.25" right="1.25" top="1.75" bottom="1.75" header="0.5" footer="0.5"/>
      <printOptions gridLines="1"/>
      <pageSetup orientation="portrait" r:id="rId1"/>
      <headerFooter alignWithMargins="0">
        <oddHeader>&amp;A</oddHeader>
        <oddFooter>Page &amp;P</oddFooter>
      </headerFooter>
    </customSheetView>
  </customSheetViews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7AF5-4D7F-41DF-AFBB-5252DB293EA8}">
  <sheetPr>
    <tabColor indexed="17"/>
  </sheetPr>
  <dimension ref="A1:IV90"/>
  <sheetViews>
    <sheetView workbookViewId="0">
      <pane ySplit="3" topLeftCell="A4" activePane="bottomLeft" state="frozen"/>
      <selection activeCell="B6" sqref="B6"/>
      <selection pane="bottomLeft" activeCell="B6" sqref="B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3" t="str">
        <f>'DOE25'!A2</f>
        <v>SAU# 64  Wakefield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</v>
      </c>
      <c r="B4" s="220">
        <v>27</v>
      </c>
      <c r="C4" s="292" t="s">
        <v>898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19</v>
      </c>
      <c r="B5" s="220">
        <v>455</v>
      </c>
      <c r="C5" s="292" t="s">
        <v>899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19</v>
      </c>
      <c r="B6" s="220">
        <v>459</v>
      </c>
      <c r="C6" s="292" t="s">
        <v>900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70A" sheet="1" objects="1" scenarios="1"/>
  <customSheetViews>
    <customSheetView guid="{E30DB129-39E8-48B9-8E25-02212AA3B7DA}">
      <pane ySplit="3" topLeftCell="A4" activePane="bottomLeft" state="frozen"/>
      <selection pane="bottomLeft" activeCell="C11" sqref="C11:M11"/>
      <pageMargins left="0.75" right="0.75" top="1" bottom="1" header="0.5" footer="0.5"/>
      <printOptions gridLines="1"/>
      <pageSetup scale="85" orientation="portrait" r:id="rId1"/>
      <headerFooter alignWithMargins="0">
        <oddHeader>&amp;LDistrict Notes</oddHeader>
        <oddFooter>&amp;CPage &amp;P of &amp;N</oddFooter>
      </headerFooter>
    </customSheetView>
  </customSheetViews>
  <mergeCells count="223">
    <mergeCell ref="C88:M88"/>
    <mergeCell ref="C89:M89"/>
    <mergeCell ref="A72:E72"/>
    <mergeCell ref="C73:M73"/>
    <mergeCell ref="C90:M90"/>
    <mergeCell ref="C81:M81"/>
    <mergeCell ref="C82:M82"/>
    <mergeCell ref="C83:M83"/>
    <mergeCell ref="C84:M84"/>
    <mergeCell ref="C85:M85"/>
    <mergeCell ref="C86:M86"/>
    <mergeCell ref="C87:M87"/>
    <mergeCell ref="C62:M62"/>
    <mergeCell ref="C63:M63"/>
    <mergeCell ref="C76:M76"/>
    <mergeCell ref="C77:M77"/>
    <mergeCell ref="C80:M80"/>
    <mergeCell ref="C67:M67"/>
    <mergeCell ref="C68:M68"/>
    <mergeCell ref="C69:M69"/>
    <mergeCell ref="C70:M70"/>
    <mergeCell ref="C78:M78"/>
    <mergeCell ref="C26:M26"/>
    <mergeCell ref="C27:M27"/>
    <mergeCell ref="C28:M28"/>
    <mergeCell ref="C21:M21"/>
    <mergeCell ref="C24:M24"/>
    <mergeCell ref="C79:M79"/>
    <mergeCell ref="C66:M66"/>
    <mergeCell ref="C74:M74"/>
    <mergeCell ref="C75:M75"/>
    <mergeCell ref="C65:M65"/>
    <mergeCell ref="C23:M23"/>
    <mergeCell ref="C44:M44"/>
    <mergeCell ref="C12:M12"/>
    <mergeCell ref="C13:M13"/>
    <mergeCell ref="C34:M34"/>
    <mergeCell ref="C35:M35"/>
    <mergeCell ref="C19:M19"/>
    <mergeCell ref="C20:M20"/>
    <mergeCell ref="C29:M29"/>
    <mergeCell ref="C25:M25"/>
    <mergeCell ref="C8:M8"/>
    <mergeCell ref="C9:M9"/>
    <mergeCell ref="C64:M64"/>
    <mergeCell ref="C36:M36"/>
    <mergeCell ref="C14:M14"/>
    <mergeCell ref="C15:M15"/>
    <mergeCell ref="C16:M16"/>
    <mergeCell ref="C17:M17"/>
    <mergeCell ref="C18:M18"/>
    <mergeCell ref="C22:M22"/>
    <mergeCell ref="C10:M10"/>
    <mergeCell ref="C11:M11"/>
    <mergeCell ref="A2:E2"/>
    <mergeCell ref="A1:I1"/>
    <mergeCell ref="C3:M3"/>
    <mergeCell ref="C4:M4"/>
    <mergeCell ref="F2:I2"/>
    <mergeCell ref="C5:M5"/>
    <mergeCell ref="C6:M6"/>
    <mergeCell ref="C7:M7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IC29:IM29"/>
    <mergeCell ref="IP29:IV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EC30:EM30"/>
    <mergeCell ref="EP30:EZ30"/>
    <mergeCell ref="IP30:IV30"/>
    <mergeCell ref="FC30:FM30"/>
    <mergeCell ref="FP30:FZ30"/>
    <mergeCell ref="GC30:GM30"/>
    <mergeCell ref="GP30:GZ30"/>
    <mergeCell ref="HC30:HM30"/>
    <mergeCell ref="HP30:HZ30"/>
    <mergeCell ref="IC30:IM30"/>
    <mergeCell ref="BC30:BM30"/>
    <mergeCell ref="BP30:BZ30"/>
    <mergeCell ref="CC30:CM30"/>
    <mergeCell ref="CP30:CZ30"/>
    <mergeCell ref="DC30:DM30"/>
    <mergeCell ref="DP30:DZ30"/>
    <mergeCell ref="IC31:IM31"/>
    <mergeCell ref="GP31:GZ31"/>
    <mergeCell ref="HC31:HM31"/>
    <mergeCell ref="DP31:DZ31"/>
    <mergeCell ref="HC32:HM32"/>
    <mergeCell ref="FP31:FZ31"/>
    <mergeCell ref="EC31:E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HP31:HZ31"/>
    <mergeCell ref="GC31:GM31"/>
    <mergeCell ref="FC31:FM31"/>
    <mergeCell ref="EP32:EZ32"/>
    <mergeCell ref="P32:Z32"/>
    <mergeCell ref="AC32:AM32"/>
    <mergeCell ref="AP32:AZ32"/>
    <mergeCell ref="CC32:CM32"/>
    <mergeCell ref="BC31:BM31"/>
    <mergeCell ref="BC32:BM32"/>
    <mergeCell ref="DC32:DM32"/>
    <mergeCell ref="BP31:BZ31"/>
    <mergeCell ref="BP32:BZ32"/>
    <mergeCell ref="BC38:BM38"/>
    <mergeCell ref="C43:M43"/>
    <mergeCell ref="P40:Z40"/>
    <mergeCell ref="BP38:BZ38"/>
    <mergeCell ref="EP31:EZ31"/>
    <mergeCell ref="CC31:CM31"/>
    <mergeCell ref="CP31:CZ31"/>
    <mergeCell ref="DC31:DM31"/>
    <mergeCell ref="DP32:DZ32"/>
    <mergeCell ref="EC32:EM32"/>
    <mergeCell ref="DP38:DZ38"/>
    <mergeCell ref="EC38:EM38"/>
    <mergeCell ref="GP32:GZ32"/>
    <mergeCell ref="IC38:IM38"/>
    <mergeCell ref="EP38:EZ38"/>
    <mergeCell ref="FC38:FM38"/>
    <mergeCell ref="FP38:FZ38"/>
    <mergeCell ref="GC38:GM38"/>
    <mergeCell ref="C51:M51"/>
    <mergeCell ref="P39:Z39"/>
    <mergeCell ref="AC39:AM39"/>
    <mergeCell ref="AP39:AZ39"/>
    <mergeCell ref="C42:M42"/>
    <mergeCell ref="CP38:CZ38"/>
    <mergeCell ref="P38:Z38"/>
    <mergeCell ref="CC38:CM38"/>
    <mergeCell ref="AC40:AM40"/>
    <mergeCell ref="BC39:BM39"/>
    <mergeCell ref="AP40:AZ40"/>
    <mergeCell ref="BP39:BZ39"/>
    <mergeCell ref="BC40:BM40"/>
    <mergeCell ref="BP40:BZ40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DC38:DM38"/>
    <mergeCell ref="FC40:FM40"/>
    <mergeCell ref="HC39:HM39"/>
    <mergeCell ref="DC39:DM39"/>
    <mergeCell ref="DP39:DZ39"/>
    <mergeCell ref="EC39:EM39"/>
    <mergeCell ref="EP39:EZ39"/>
    <mergeCell ref="FP39:FZ39"/>
    <mergeCell ref="GC39:GM39"/>
    <mergeCell ref="FC39:FM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IC40:IM40"/>
    <mergeCell ref="CC40:CM40"/>
    <mergeCell ref="CP40:CZ40"/>
    <mergeCell ref="DC40:DM40"/>
    <mergeCell ref="DP40:DZ40"/>
    <mergeCell ref="C52:M52"/>
    <mergeCell ref="C50:M50"/>
    <mergeCell ref="C47:M47"/>
    <mergeCell ref="C48:M48"/>
    <mergeCell ref="C49:M49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2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2010-11-08T13:05:55Z</cp:lastPrinted>
  <dcterms:created xsi:type="dcterms:W3CDTF">1997-12-04T19:04:30Z</dcterms:created>
  <dcterms:modified xsi:type="dcterms:W3CDTF">2025-01-09T20:20:11Z</dcterms:modified>
</cp:coreProperties>
</file>