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C8DC0BC-DCF7-491D-9AFC-26BBEEE87D62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7015458-68CF-44E8-8295-608CCE9B22A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B19" i="12"/>
  <c r="C10" i="12"/>
  <c r="B11" i="12"/>
  <c r="B10" i="12"/>
  <c r="H23" i="1"/>
  <c r="H33" i="1" s="1"/>
  <c r="H41" i="1" s="1"/>
  <c r="K232" i="1"/>
  <c r="K239" i="1" s="1"/>
  <c r="H594" i="1"/>
  <c r="K594" i="1" s="1"/>
  <c r="I581" i="1"/>
  <c r="I588" i="1" s="1"/>
  <c r="H640" i="1" s="1"/>
  <c r="H581" i="1"/>
  <c r="H588" i="1" s="1"/>
  <c r="H639" i="1" s="1"/>
  <c r="J581" i="1"/>
  <c r="H585" i="1"/>
  <c r="F569" i="1"/>
  <c r="H511" i="1"/>
  <c r="F489" i="1"/>
  <c r="F488" i="1"/>
  <c r="F480" i="1"/>
  <c r="G455" i="1"/>
  <c r="G431" i="1"/>
  <c r="F360" i="1"/>
  <c r="I350" i="1"/>
  <c r="K268" i="1"/>
  <c r="H232" i="1"/>
  <c r="I232" i="1"/>
  <c r="G232" i="1"/>
  <c r="F232" i="1"/>
  <c r="L232" i="1" s="1"/>
  <c r="H214" i="1"/>
  <c r="K214" i="1"/>
  <c r="K221" i="1" s="1"/>
  <c r="I214" i="1"/>
  <c r="G214" i="1"/>
  <c r="F214" i="1"/>
  <c r="H196" i="1"/>
  <c r="K196" i="1"/>
  <c r="G8" i="13" s="1"/>
  <c r="I196" i="1"/>
  <c r="G196" i="1"/>
  <c r="L196" i="1" s="1"/>
  <c r="F196" i="1"/>
  <c r="H190" i="1"/>
  <c r="K189" i="1"/>
  <c r="K203" i="1" s="1"/>
  <c r="K249" i="1" s="1"/>
  <c r="K263" i="1" s="1"/>
  <c r="J189" i="1"/>
  <c r="J203" i="1" s="1"/>
  <c r="H189" i="1"/>
  <c r="L189" i="1" s="1"/>
  <c r="C60" i="2"/>
  <c r="C62" i="2" s="1"/>
  <c r="B2" i="13"/>
  <c r="F8" i="13"/>
  <c r="D39" i="13"/>
  <c r="F13" i="13"/>
  <c r="G13" i="13"/>
  <c r="L198" i="1"/>
  <c r="C19" i="10" s="1"/>
  <c r="L216" i="1"/>
  <c r="L234" i="1"/>
  <c r="F16" i="13"/>
  <c r="E16" i="13" s="1"/>
  <c r="C16" i="13" s="1"/>
  <c r="G16" i="13"/>
  <c r="L201" i="1"/>
  <c r="L219" i="1"/>
  <c r="L237" i="1"/>
  <c r="G5" i="13"/>
  <c r="L190" i="1"/>
  <c r="C11" i="10" s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C15" i="10" s="1"/>
  <c r="L212" i="1"/>
  <c r="L230" i="1"/>
  <c r="F7" i="13"/>
  <c r="G7" i="13"/>
  <c r="L195" i="1"/>
  <c r="L213" i="1"/>
  <c r="L231" i="1"/>
  <c r="F12" i="13"/>
  <c r="G12" i="13"/>
  <c r="L197" i="1"/>
  <c r="C18" i="10" s="1"/>
  <c r="L215" i="1"/>
  <c r="L233" i="1"/>
  <c r="F14" i="13"/>
  <c r="G14" i="13"/>
  <c r="L199" i="1"/>
  <c r="L217" i="1"/>
  <c r="L235" i="1"/>
  <c r="F15" i="13"/>
  <c r="G15" i="13"/>
  <c r="L200" i="1"/>
  <c r="L218" i="1"/>
  <c r="G652" i="1" s="1"/>
  <c r="L236" i="1"/>
  <c r="H652" i="1" s="1"/>
  <c r="I652" i="1" s="1"/>
  <c r="F17" i="13"/>
  <c r="G17" i="13"/>
  <c r="L243" i="1"/>
  <c r="F18" i="13"/>
  <c r="G18" i="13"/>
  <c r="L244" i="1"/>
  <c r="F19" i="13"/>
  <c r="G19" i="13"/>
  <c r="L245" i="1"/>
  <c r="F29" i="13"/>
  <c r="G29" i="13"/>
  <c r="L350" i="1"/>
  <c r="L351" i="1"/>
  <c r="L352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69" i="1"/>
  <c r="E102" i="2" s="1"/>
  <c r="L270" i="1"/>
  <c r="L271" i="1"/>
  <c r="E104" i="2" s="1"/>
  <c r="L273" i="1"/>
  <c r="L274" i="1"/>
  <c r="L275" i="1"/>
  <c r="L276" i="1"/>
  <c r="L277" i="1"/>
  <c r="L278" i="1"/>
  <c r="L279" i="1"/>
  <c r="L280" i="1"/>
  <c r="E117" i="2" s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L253" i="1"/>
  <c r="L333" i="1"/>
  <c r="L334" i="1"/>
  <c r="L247" i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A22" i="12" s="1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3" i="2"/>
  <c r="F2" i="11"/>
  <c r="L603" i="1"/>
  <c r="H653" i="1"/>
  <c r="L602" i="1"/>
  <c r="G653" i="1"/>
  <c r="L601" i="1"/>
  <c r="L604" i="1" s="1"/>
  <c r="C40" i="10"/>
  <c r="F52" i="1"/>
  <c r="G52" i="1"/>
  <c r="H52" i="1"/>
  <c r="I52" i="1"/>
  <c r="F71" i="1"/>
  <c r="F86" i="1"/>
  <c r="F103" i="1"/>
  <c r="G103" i="1"/>
  <c r="G104" i="1" s="1"/>
  <c r="H71" i="1"/>
  <c r="H86" i="1"/>
  <c r="H103" i="1"/>
  <c r="I103" i="1"/>
  <c r="J103" i="1"/>
  <c r="J104" i="1" s="1"/>
  <c r="C37" i="10"/>
  <c r="F113" i="1"/>
  <c r="F128" i="1"/>
  <c r="F132" i="1"/>
  <c r="C38" i="10" s="1"/>
  <c r="G113" i="1"/>
  <c r="G128" i="1"/>
  <c r="G132" i="1"/>
  <c r="H113" i="1"/>
  <c r="H128" i="1"/>
  <c r="H132" i="1"/>
  <c r="I113" i="1"/>
  <c r="I128" i="1"/>
  <c r="J113" i="1"/>
  <c r="J128" i="1"/>
  <c r="J132" i="1"/>
  <c r="F139" i="1"/>
  <c r="F154" i="1"/>
  <c r="F161" i="1"/>
  <c r="G139" i="1"/>
  <c r="G154" i="1"/>
  <c r="H139" i="1"/>
  <c r="H161" i="1" s="1"/>
  <c r="H154" i="1"/>
  <c r="I139" i="1"/>
  <c r="I154" i="1"/>
  <c r="C16" i="10"/>
  <c r="C20" i="10"/>
  <c r="L242" i="1"/>
  <c r="C105" i="2" s="1"/>
  <c r="L324" i="1"/>
  <c r="C23" i="10"/>
  <c r="L246" i="1"/>
  <c r="C25" i="10"/>
  <c r="L260" i="1"/>
  <c r="L261" i="1"/>
  <c r="C26" i="10"/>
  <c r="L341" i="1"/>
  <c r="L342" i="1"/>
  <c r="I655" i="1"/>
  <c r="I660" i="1"/>
  <c r="F652" i="1"/>
  <c r="I659" i="1"/>
  <c r="C42" i="10"/>
  <c r="C32" i="10"/>
  <c r="L366" i="1"/>
  <c r="L367" i="1"/>
  <c r="L374" i="1" s="1"/>
  <c r="G626" i="1" s="1"/>
  <c r="L368" i="1"/>
  <c r="F122" i="2" s="1"/>
  <c r="L369" i="1"/>
  <c r="L370" i="1"/>
  <c r="L371" i="1"/>
  <c r="L372" i="1"/>
  <c r="B2" i="10"/>
  <c r="L336" i="1"/>
  <c r="L337" i="1"/>
  <c r="L343" i="1" s="1"/>
  <c r="L338" i="1"/>
  <c r="E129" i="2" s="1"/>
  <c r="L339" i="1"/>
  <c r="K343" i="1"/>
  <c r="L511" i="1"/>
  <c r="L514" i="1" s="1"/>
  <c r="F539" i="1"/>
  <c r="L512" i="1"/>
  <c r="F540" i="1" s="1"/>
  <c r="K540" i="1" s="1"/>
  <c r="L513" i="1"/>
  <c r="F541" i="1" s="1"/>
  <c r="L516" i="1"/>
  <c r="G539" i="1"/>
  <c r="G542" i="1" s="1"/>
  <c r="L517" i="1"/>
  <c r="L519" i="1" s="1"/>
  <c r="G540" i="1"/>
  <c r="L518" i="1"/>
  <c r="G541" i="1"/>
  <c r="L521" i="1"/>
  <c r="H539" i="1" s="1"/>
  <c r="L522" i="1"/>
  <c r="H540" i="1"/>
  <c r="L523" i="1"/>
  <c r="H541" i="1" s="1"/>
  <c r="L526" i="1"/>
  <c r="I539" i="1" s="1"/>
  <c r="L527" i="1"/>
  <c r="L529" i="1" s="1"/>
  <c r="I540" i="1"/>
  <c r="L528" i="1"/>
  <c r="I541" i="1"/>
  <c r="L531" i="1"/>
  <c r="L532" i="1"/>
  <c r="J540" i="1"/>
  <c r="L533" i="1"/>
  <c r="J541" i="1" s="1"/>
  <c r="E124" i="2"/>
  <c r="E123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D9" i="2"/>
  <c r="E9" i="2"/>
  <c r="F9" i="2"/>
  <c r="I431" i="1"/>
  <c r="J9" i="1"/>
  <c r="G9" i="2" s="1"/>
  <c r="C10" i="2"/>
  <c r="D10" i="2"/>
  <c r="E10" i="2"/>
  <c r="E12" i="2"/>
  <c r="E13" i="2"/>
  <c r="E14" i="2"/>
  <c r="E16" i="2"/>
  <c r="E17" i="2"/>
  <c r="E18" i="2"/>
  <c r="E19" i="2"/>
  <c r="F10" i="2"/>
  <c r="I432" i="1"/>
  <c r="I438" i="1" s="1"/>
  <c r="J10" i="1"/>
  <c r="G10" i="2" s="1"/>
  <c r="G19" i="2" s="1"/>
  <c r="C11" i="2"/>
  <c r="C12" i="2"/>
  <c r="D12" i="2"/>
  <c r="F12" i="2"/>
  <c r="I433" i="1"/>
  <c r="J12" i="1" s="1"/>
  <c r="G12" i="2" s="1"/>
  <c r="C13" i="2"/>
  <c r="D13" i="2"/>
  <c r="F13" i="2"/>
  <c r="I434" i="1"/>
  <c r="J13" i="1" s="1"/>
  <c r="G13" i="2" s="1"/>
  <c r="C14" i="2"/>
  <c r="D14" i="2"/>
  <c r="F14" i="2"/>
  <c r="I435" i="1"/>
  <c r="J14" i="1" s="1"/>
  <c r="G14" i="2" s="1"/>
  <c r="F15" i="2"/>
  <c r="C16" i="2"/>
  <c r="D16" i="2"/>
  <c r="F16" i="2"/>
  <c r="C17" i="2"/>
  <c r="D17" i="2"/>
  <c r="F17" i="2"/>
  <c r="I436" i="1"/>
  <c r="J17" i="1" s="1"/>
  <c r="G17" i="2" s="1"/>
  <c r="C18" i="2"/>
  <c r="D18" i="2"/>
  <c r="F18" i="2"/>
  <c r="I437" i="1"/>
  <c r="J18" i="1"/>
  <c r="G18" i="2"/>
  <c r="C22" i="2"/>
  <c r="D22" i="2"/>
  <c r="F22" i="2"/>
  <c r="F32" i="2" s="1"/>
  <c r="I440" i="1"/>
  <c r="J23" i="1"/>
  <c r="G22" i="2"/>
  <c r="C23" i="2"/>
  <c r="C32" i="2" s="1"/>
  <c r="D23" i="2"/>
  <c r="E23" i="2"/>
  <c r="F23" i="2"/>
  <c r="I441" i="1"/>
  <c r="J24" i="1"/>
  <c r="C24" i="2"/>
  <c r="D24" i="2"/>
  <c r="E24" i="2"/>
  <c r="F24" i="2"/>
  <c r="I442" i="1"/>
  <c r="I444" i="1" s="1"/>
  <c r="I451" i="1" s="1"/>
  <c r="H632" i="1" s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F42" i="2" s="1"/>
  <c r="F43" i="2" s="1"/>
  <c r="F35" i="2"/>
  <c r="F36" i="2"/>
  <c r="F37" i="2"/>
  <c r="F38" i="2"/>
  <c r="F40" i="2"/>
  <c r="F41" i="2"/>
  <c r="C35" i="2"/>
  <c r="D35" i="2"/>
  <c r="E35" i="2"/>
  <c r="C36" i="2"/>
  <c r="D36" i="2"/>
  <c r="E36" i="2"/>
  <c r="I446" i="1"/>
  <c r="J37" i="1"/>
  <c r="J43" i="1" s="1"/>
  <c r="G616" i="1" s="1"/>
  <c r="G36" i="2"/>
  <c r="C37" i="2"/>
  <c r="D37" i="2"/>
  <c r="E37" i="2"/>
  <c r="I447" i="1"/>
  <c r="J38" i="1" s="1"/>
  <c r="G37" i="2" s="1"/>
  <c r="C38" i="2"/>
  <c r="D38" i="2"/>
  <c r="E38" i="2"/>
  <c r="I448" i="1"/>
  <c r="J40" i="1"/>
  <c r="G39" i="2"/>
  <c r="C40" i="2"/>
  <c r="I449" i="1"/>
  <c r="J41" i="1" s="1"/>
  <c r="G40" i="2" s="1"/>
  <c r="D41" i="2"/>
  <c r="E41" i="2"/>
  <c r="C48" i="2"/>
  <c r="D48" i="2"/>
  <c r="E48" i="2"/>
  <c r="F48" i="2"/>
  <c r="F55" i="2" s="1"/>
  <c r="F96" i="2" s="1"/>
  <c r="C49" i="2"/>
  <c r="C54" i="2" s="1"/>
  <c r="C50" i="2"/>
  <c r="E50" i="2"/>
  <c r="C51" i="2"/>
  <c r="D51" i="2"/>
  <c r="D52" i="2"/>
  <c r="D53" i="2"/>
  <c r="D54" i="2"/>
  <c r="E51" i="2"/>
  <c r="F51" i="2"/>
  <c r="F53" i="2"/>
  <c r="F54" i="2"/>
  <c r="C53" i="2"/>
  <c r="E53" i="2"/>
  <c r="C58" i="2"/>
  <c r="C59" i="2"/>
  <c r="C61" i="2"/>
  <c r="C71" i="2"/>
  <c r="C72" i="2"/>
  <c r="C64" i="2"/>
  <c r="C65" i="2"/>
  <c r="C66" i="2"/>
  <c r="C67" i="2"/>
  <c r="C68" i="2"/>
  <c r="C69" i="2"/>
  <c r="D61" i="2"/>
  <c r="E61" i="2"/>
  <c r="E62" i="2"/>
  <c r="E71" i="2"/>
  <c r="E72" i="2"/>
  <c r="E68" i="2"/>
  <c r="E70" i="2" s="1"/>
  <c r="E73" i="2" s="1"/>
  <c r="E69" i="2"/>
  <c r="F61" i="2"/>
  <c r="G61" i="2"/>
  <c r="G62" i="2"/>
  <c r="G69" i="2"/>
  <c r="G70" i="2"/>
  <c r="G73" i="2"/>
  <c r="G96" i="2" s="1"/>
  <c r="D62" i="2"/>
  <c r="F62" i="2"/>
  <c r="F64" i="2"/>
  <c r="F70" i="2" s="1"/>
  <c r="F73" i="2" s="1"/>
  <c r="F65" i="2"/>
  <c r="F68" i="2"/>
  <c r="F69" i="2"/>
  <c r="D69" i="2"/>
  <c r="D70" i="2" s="1"/>
  <c r="D73" i="2" s="1"/>
  <c r="D71" i="2"/>
  <c r="C77" i="2"/>
  <c r="E77" i="2"/>
  <c r="F77" i="2"/>
  <c r="F79" i="2"/>
  <c r="F80" i="2"/>
  <c r="F81" i="2"/>
  <c r="F83" i="2"/>
  <c r="C79" i="2"/>
  <c r="E79" i="2"/>
  <c r="C80" i="2"/>
  <c r="D80" i="2"/>
  <c r="E80" i="2"/>
  <c r="E81" i="2"/>
  <c r="E83" i="2"/>
  <c r="C81" i="2"/>
  <c r="D81" i="2"/>
  <c r="C82" i="2"/>
  <c r="C85" i="2"/>
  <c r="C86" i="2"/>
  <c r="C89" i="2"/>
  <c r="C90" i="2"/>
  <c r="C91" i="2"/>
  <c r="C92" i="2"/>
  <c r="C93" i="2"/>
  <c r="C94" i="2"/>
  <c r="C95" i="2"/>
  <c r="F85" i="2"/>
  <c r="F86" i="2"/>
  <c r="D88" i="2"/>
  <c r="E88" i="2"/>
  <c r="F88" i="2"/>
  <c r="G88" i="2"/>
  <c r="D89" i="2"/>
  <c r="E89" i="2"/>
  <c r="E90" i="2"/>
  <c r="E91" i="2"/>
  <c r="E92" i="2"/>
  <c r="E93" i="2"/>
  <c r="E94" i="2"/>
  <c r="F89" i="2"/>
  <c r="G89" i="2"/>
  <c r="G90" i="2"/>
  <c r="G95" i="2"/>
  <c r="D90" i="2"/>
  <c r="D91" i="2"/>
  <c r="F91" i="2"/>
  <c r="F95" i="2" s="1"/>
  <c r="D92" i="2"/>
  <c r="F92" i="2"/>
  <c r="D93" i="2"/>
  <c r="F93" i="2"/>
  <c r="D94" i="2"/>
  <c r="F94" i="2"/>
  <c r="E105" i="2"/>
  <c r="D107" i="2"/>
  <c r="F107" i="2"/>
  <c r="G107" i="2"/>
  <c r="G137" i="2" s="1"/>
  <c r="E110" i="2"/>
  <c r="C111" i="2"/>
  <c r="E111" i="2"/>
  <c r="E112" i="2"/>
  <c r="E113" i="2"/>
  <c r="E114" i="2"/>
  <c r="C115" i="2"/>
  <c r="E115" i="2"/>
  <c r="C116" i="2"/>
  <c r="E116" i="2"/>
  <c r="C117" i="2"/>
  <c r="F120" i="2"/>
  <c r="G120" i="2"/>
  <c r="C122" i="2"/>
  <c r="E122" i="2"/>
  <c r="F126" i="2"/>
  <c r="F136" i="2"/>
  <c r="D126" i="2"/>
  <c r="E126" i="2"/>
  <c r="K411" i="1"/>
  <c r="K419" i="1"/>
  <c r="K425" i="1"/>
  <c r="K426" i="1" s="1"/>
  <c r="G126" i="2" s="1"/>
  <c r="G136" i="2" s="1"/>
  <c r="L255" i="1"/>
  <c r="C127" i="2"/>
  <c r="E127" i="2"/>
  <c r="L256" i="1"/>
  <c r="C128" i="2"/>
  <c r="L257" i="1"/>
  <c r="C129" i="2" s="1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B153" i="2"/>
  <c r="G490" i="1"/>
  <c r="C153" i="2" s="1"/>
  <c r="H490" i="1"/>
  <c r="D153" i="2" s="1"/>
  <c r="I490" i="1"/>
  <c r="E153" i="2"/>
  <c r="J490" i="1"/>
  <c r="F153" i="2"/>
  <c r="B154" i="2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K493" i="1" s="1"/>
  <c r="C156" i="2"/>
  <c r="H493" i="1"/>
  <c r="D156" i="2" s="1"/>
  <c r="I493" i="1"/>
  <c r="E156" i="2" s="1"/>
  <c r="J493" i="1"/>
  <c r="F156" i="2" s="1"/>
  <c r="F19" i="1"/>
  <c r="G607" i="1"/>
  <c r="G19" i="1"/>
  <c r="G608" i="1" s="1"/>
  <c r="G41" i="1"/>
  <c r="D40" i="2" s="1"/>
  <c r="D42" i="2" s="1"/>
  <c r="H19" i="1"/>
  <c r="G609" i="1"/>
  <c r="I19" i="1"/>
  <c r="G610" i="1" s="1"/>
  <c r="J610" i="1" s="1"/>
  <c r="F33" i="1"/>
  <c r="G33" i="1"/>
  <c r="I33" i="1"/>
  <c r="I43" i="1"/>
  <c r="I44" i="1"/>
  <c r="H610" i="1"/>
  <c r="F169" i="1"/>
  <c r="I169" i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I184" i="1"/>
  <c r="I185" i="1" s="1"/>
  <c r="G620" i="1" s="1"/>
  <c r="J620" i="1" s="1"/>
  <c r="F203" i="1"/>
  <c r="G203" i="1"/>
  <c r="I203" i="1"/>
  <c r="F221" i="1"/>
  <c r="H221" i="1"/>
  <c r="I221" i="1"/>
  <c r="I249" i="1" s="1"/>
  <c r="I263" i="1" s="1"/>
  <c r="J221" i="1"/>
  <c r="G239" i="1"/>
  <c r="H239" i="1"/>
  <c r="I239" i="1"/>
  <c r="J239" i="1"/>
  <c r="F248" i="1"/>
  <c r="G248" i="1"/>
  <c r="H248" i="1"/>
  <c r="I248" i="1"/>
  <c r="J248" i="1"/>
  <c r="K248" i="1"/>
  <c r="F282" i="1"/>
  <c r="G282" i="1"/>
  <c r="H282" i="1"/>
  <c r="I282" i="1"/>
  <c r="I330" i="1" s="1"/>
  <c r="I344" i="1" s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H330" i="1" s="1"/>
  <c r="H344" i="1" s="1"/>
  <c r="I329" i="1"/>
  <c r="J329" i="1"/>
  <c r="J330" i="1" s="1"/>
  <c r="J344" i="1" s="1"/>
  <c r="K329" i="1"/>
  <c r="F354" i="1"/>
  <c r="G354" i="1"/>
  <c r="H354" i="1"/>
  <c r="I354" i="1"/>
  <c r="G624" i="1"/>
  <c r="J624" i="1" s="1"/>
  <c r="J354" i="1"/>
  <c r="K354" i="1"/>
  <c r="I360" i="1"/>
  <c r="F361" i="1"/>
  <c r="G361" i="1"/>
  <c r="H361" i="1"/>
  <c r="L373" i="1"/>
  <c r="J626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J634" i="1" s="1"/>
  <c r="I393" i="1"/>
  <c r="F399" i="1"/>
  <c r="G399" i="1"/>
  <c r="H399" i="1"/>
  <c r="I399" i="1"/>
  <c r="I400" i="1"/>
  <c r="L405" i="1"/>
  <c r="L406" i="1"/>
  <c r="L407" i="1"/>
  <c r="L408" i="1"/>
  <c r="L409" i="1"/>
  <c r="L410" i="1"/>
  <c r="F411" i="1"/>
  <c r="G411" i="1"/>
  <c r="H411" i="1"/>
  <c r="I411" i="1"/>
  <c r="I426" i="1"/>
  <c r="J411" i="1"/>
  <c r="J426" i="1" s="1"/>
  <c r="L413" i="1"/>
  <c r="L419" i="1" s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H426" i="1"/>
  <c r="F438" i="1"/>
  <c r="G629" i="1"/>
  <c r="G438" i="1"/>
  <c r="G630" i="1" s="1"/>
  <c r="H438" i="1"/>
  <c r="G631" i="1" s="1"/>
  <c r="F444" i="1"/>
  <c r="G444" i="1"/>
  <c r="H444" i="1"/>
  <c r="H451" i="1" s="1"/>
  <c r="H631" i="1" s="1"/>
  <c r="F450" i="1"/>
  <c r="G450" i="1"/>
  <c r="H450" i="1"/>
  <c r="I450" i="1"/>
  <c r="F451" i="1"/>
  <c r="G451" i="1"/>
  <c r="H630" i="1" s="1"/>
  <c r="I460" i="1"/>
  <c r="I466" i="1" s="1"/>
  <c r="H615" i="1" s="1"/>
  <c r="J460" i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K514" i="1"/>
  <c r="F519" i="1"/>
  <c r="F535" i="1" s="1"/>
  <c r="G519" i="1"/>
  <c r="H519" i="1"/>
  <c r="H535" i="1" s="1"/>
  <c r="I519" i="1"/>
  <c r="J519" i="1"/>
  <c r="K519" i="1"/>
  <c r="F524" i="1"/>
  <c r="G524" i="1"/>
  <c r="H524" i="1"/>
  <c r="I524" i="1"/>
  <c r="I53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L550" i="1" s="1"/>
  <c r="F550" i="1"/>
  <c r="G550" i="1"/>
  <c r="G561" i="1" s="1"/>
  <c r="H550" i="1"/>
  <c r="H561" i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J588" i="1"/>
  <c r="H641" i="1" s="1"/>
  <c r="K592" i="1"/>
  <c r="K593" i="1"/>
  <c r="I595" i="1"/>
  <c r="J595" i="1"/>
  <c r="F604" i="1"/>
  <c r="G604" i="1"/>
  <c r="H604" i="1"/>
  <c r="I604" i="1"/>
  <c r="J604" i="1"/>
  <c r="K604" i="1"/>
  <c r="H620" i="1"/>
  <c r="H621" i="1"/>
  <c r="H626" i="1"/>
  <c r="H627" i="1"/>
  <c r="H628" i="1"/>
  <c r="H629" i="1"/>
  <c r="G633" i="1"/>
  <c r="J633" i="1" s="1"/>
  <c r="G634" i="1"/>
  <c r="H637" i="1"/>
  <c r="G639" i="1"/>
  <c r="G640" i="1"/>
  <c r="J640" i="1" s="1"/>
  <c r="G642" i="1"/>
  <c r="H642" i="1"/>
  <c r="J642" i="1" s="1"/>
  <c r="G643" i="1"/>
  <c r="H643" i="1"/>
  <c r="J643" i="1"/>
  <c r="G644" i="1"/>
  <c r="H644" i="1"/>
  <c r="J644" i="1"/>
  <c r="G645" i="1"/>
  <c r="J645" i="1" s="1"/>
  <c r="H645" i="1"/>
  <c r="G632" i="1"/>
  <c r="J632" i="1"/>
  <c r="C130" i="2"/>
  <c r="C133" i="2" s="1"/>
  <c r="C5" i="10"/>
  <c r="D55" i="2"/>
  <c r="L555" i="1"/>
  <c r="G615" i="1"/>
  <c r="J615" i="1" s="1"/>
  <c r="L560" i="1"/>
  <c r="L561" i="1" s="1"/>
  <c r="K561" i="1"/>
  <c r="J629" i="1"/>
  <c r="C29" i="10"/>
  <c r="I161" i="1"/>
  <c r="I132" i="1"/>
  <c r="A31" i="12"/>
  <c r="F42" i="1"/>
  <c r="C41" i="2" s="1"/>
  <c r="C83" i="2"/>
  <c r="D19" i="2"/>
  <c r="I104" i="1"/>
  <c r="G54" i="2"/>
  <c r="F22" i="13"/>
  <c r="H25" i="13"/>
  <c r="D19" i="13"/>
  <c r="C19" i="13"/>
  <c r="D14" i="13"/>
  <c r="C14" i="13" s="1"/>
  <c r="D7" i="13"/>
  <c r="C7" i="13" s="1"/>
  <c r="F104" i="1"/>
  <c r="C35" i="10"/>
  <c r="G55" i="2"/>
  <c r="D18" i="13"/>
  <c r="C18" i="13"/>
  <c r="D15" i="13"/>
  <c r="C15" i="13"/>
  <c r="D12" i="13"/>
  <c r="C12" i="13"/>
  <c r="G149" i="2"/>
  <c r="I542" i="1"/>
  <c r="G23" i="2"/>
  <c r="G32" i="2"/>
  <c r="C22" i="13"/>
  <c r="C25" i="13"/>
  <c r="H33" i="13"/>
  <c r="G635" i="1"/>
  <c r="J635" i="1"/>
  <c r="C6" i="10"/>
  <c r="I464" i="1"/>
  <c r="L329" i="1" l="1"/>
  <c r="G156" i="2"/>
  <c r="G154" i="2"/>
  <c r="D77" i="2"/>
  <c r="D83" i="2" s="1"/>
  <c r="D96" i="2" s="1"/>
  <c r="G161" i="1"/>
  <c r="C39" i="10" s="1"/>
  <c r="E8" i="13"/>
  <c r="C17" i="10"/>
  <c r="C106" i="2"/>
  <c r="D17" i="13"/>
  <c r="C17" i="13" s="1"/>
  <c r="C24" i="10"/>
  <c r="C104" i="2"/>
  <c r="C13" i="10"/>
  <c r="J539" i="1"/>
  <c r="J542" i="1" s="1"/>
  <c r="L534" i="1"/>
  <c r="F651" i="1"/>
  <c r="H651" i="1"/>
  <c r="K535" i="1"/>
  <c r="G651" i="1"/>
  <c r="J535" i="1"/>
  <c r="E103" i="2"/>
  <c r="F249" i="1"/>
  <c r="F263" i="1" s="1"/>
  <c r="F184" i="1"/>
  <c r="F185" i="1" s="1"/>
  <c r="E136" i="2"/>
  <c r="L214" i="1"/>
  <c r="L221" i="1" s="1"/>
  <c r="G650" i="1" s="1"/>
  <c r="G654" i="1" s="1"/>
  <c r="G221" i="1"/>
  <c r="G249" i="1" s="1"/>
  <c r="G263" i="1" s="1"/>
  <c r="D119" i="2"/>
  <c r="D120" i="2" s="1"/>
  <c r="D137" i="2" s="1"/>
  <c r="G33" i="13"/>
  <c r="L248" i="1"/>
  <c r="C136" i="2"/>
  <c r="C55" i="2"/>
  <c r="K541" i="1"/>
  <c r="L320" i="1"/>
  <c r="L282" i="1"/>
  <c r="E40" i="2"/>
  <c r="E42" i="2" s="1"/>
  <c r="E43" i="2" s="1"/>
  <c r="H43" i="1"/>
  <c r="J639" i="1"/>
  <c r="J19" i="1"/>
  <c r="G611" i="1" s="1"/>
  <c r="K581" i="1"/>
  <c r="K588" i="1" s="1"/>
  <c r="G637" i="1" s="1"/>
  <c r="J637" i="1" s="1"/>
  <c r="G153" i="2"/>
  <c r="E120" i="2"/>
  <c r="C70" i="2"/>
  <c r="C73" i="2" s="1"/>
  <c r="F19" i="2"/>
  <c r="J185" i="1"/>
  <c r="K330" i="1"/>
  <c r="K344" i="1" s="1"/>
  <c r="L203" i="1"/>
  <c r="C101" i="2"/>
  <c r="C10" i="10"/>
  <c r="C110" i="2"/>
  <c r="D6" i="13"/>
  <c r="C6" i="13" s="1"/>
  <c r="D95" i="2"/>
  <c r="J33" i="1"/>
  <c r="J44" i="1" s="1"/>
  <c r="H611" i="1" s="1"/>
  <c r="F542" i="1"/>
  <c r="J631" i="1"/>
  <c r="G148" i="2"/>
  <c r="F137" i="2"/>
  <c r="G42" i="2"/>
  <c r="G43" i="2" s="1"/>
  <c r="L535" i="1"/>
  <c r="L400" i="1"/>
  <c r="L239" i="1"/>
  <c r="H650" i="1" s="1"/>
  <c r="H654" i="1" s="1"/>
  <c r="J630" i="1"/>
  <c r="L411" i="1"/>
  <c r="L426" i="1" s="1"/>
  <c r="G628" i="1" s="1"/>
  <c r="J628" i="1" s="1"/>
  <c r="C42" i="2"/>
  <c r="C43" i="2" s="1"/>
  <c r="J616" i="1"/>
  <c r="C19" i="2"/>
  <c r="C103" i="2"/>
  <c r="C12" i="10"/>
  <c r="J249" i="1"/>
  <c r="K595" i="1"/>
  <c r="G638" i="1" s="1"/>
  <c r="E95" i="2"/>
  <c r="D32" i="2"/>
  <c r="D43" i="2" s="1"/>
  <c r="H542" i="1"/>
  <c r="H104" i="1"/>
  <c r="H185" i="1" s="1"/>
  <c r="E49" i="2"/>
  <c r="E54" i="2" s="1"/>
  <c r="E55" i="2" s="1"/>
  <c r="E96" i="2" s="1"/>
  <c r="F239" i="1"/>
  <c r="H203" i="1"/>
  <c r="H249" i="1" s="1"/>
  <c r="H263" i="1" s="1"/>
  <c r="C102" i="2"/>
  <c r="D29" i="13"/>
  <c r="C29" i="13" s="1"/>
  <c r="G641" i="1"/>
  <c r="J641" i="1" s="1"/>
  <c r="F653" i="1"/>
  <c r="I653" i="1" s="1"/>
  <c r="L354" i="1"/>
  <c r="C114" i="2"/>
  <c r="E101" i="2"/>
  <c r="E107" i="2" s="1"/>
  <c r="E137" i="2" s="1"/>
  <c r="F5" i="13"/>
  <c r="F43" i="1"/>
  <c r="G43" i="1"/>
  <c r="C21" i="10"/>
  <c r="E13" i="13"/>
  <c r="C13" i="13" s="1"/>
  <c r="C113" i="2"/>
  <c r="E22" i="2"/>
  <c r="E32" i="2" s="1"/>
  <c r="H595" i="1"/>
  <c r="G657" i="1" l="1"/>
  <c r="G662" i="1"/>
  <c r="G617" i="1"/>
  <c r="F458" i="1"/>
  <c r="G621" i="1"/>
  <c r="J621" i="1" s="1"/>
  <c r="G636" i="1"/>
  <c r="F650" i="1"/>
  <c r="L249" i="1"/>
  <c r="L263" i="1" s="1"/>
  <c r="C112" i="2"/>
  <c r="J263" i="1"/>
  <c r="H638" i="1"/>
  <c r="J638" i="1" s="1"/>
  <c r="H44" i="1"/>
  <c r="H609" i="1" s="1"/>
  <c r="J609" i="1" s="1"/>
  <c r="G614" i="1"/>
  <c r="G185" i="1"/>
  <c r="G44" i="1"/>
  <c r="H608" i="1" s="1"/>
  <c r="J608" i="1" s="1"/>
  <c r="G613" i="1"/>
  <c r="K539" i="1"/>
  <c r="K542" i="1" s="1"/>
  <c r="F44" i="1"/>
  <c r="H607" i="1" s="1"/>
  <c r="J607" i="1" s="1"/>
  <c r="G612" i="1"/>
  <c r="C96" i="2"/>
  <c r="D5" i="13"/>
  <c r="F33" i="13"/>
  <c r="G619" i="1"/>
  <c r="H458" i="1"/>
  <c r="L330" i="1"/>
  <c r="L344" i="1" s="1"/>
  <c r="D31" i="13"/>
  <c r="C31" i="13" s="1"/>
  <c r="C36" i="10"/>
  <c r="H662" i="1"/>
  <c r="H657" i="1"/>
  <c r="C120" i="2"/>
  <c r="J611" i="1"/>
  <c r="G625" i="1"/>
  <c r="G462" i="1"/>
  <c r="C27" i="10"/>
  <c r="C28" i="10" s="1"/>
  <c r="H636" i="1"/>
  <c r="G627" i="1"/>
  <c r="J627" i="1" s="1"/>
  <c r="C107" i="2"/>
  <c r="I651" i="1"/>
  <c r="C8" i="13"/>
  <c r="E33" i="13"/>
  <c r="D35" i="13" s="1"/>
  <c r="C30" i="10" l="1"/>
  <c r="D22" i="10"/>
  <c r="D16" i="10"/>
  <c r="D20" i="10"/>
  <c r="D23" i="10"/>
  <c r="D19" i="10"/>
  <c r="D26" i="10"/>
  <c r="D15" i="10"/>
  <c r="D11" i="10"/>
  <c r="D18" i="10"/>
  <c r="D25" i="10"/>
  <c r="D21" i="10"/>
  <c r="D13" i="10"/>
  <c r="D10" i="10"/>
  <c r="D17" i="10"/>
  <c r="D24" i="10"/>
  <c r="D12" i="10"/>
  <c r="C137" i="2"/>
  <c r="G622" i="1"/>
  <c r="F462" i="1"/>
  <c r="D36" i="10"/>
  <c r="C41" i="10"/>
  <c r="F654" i="1"/>
  <c r="I650" i="1"/>
  <c r="I654" i="1" s="1"/>
  <c r="G623" i="1"/>
  <c r="H462" i="1"/>
  <c r="J636" i="1"/>
  <c r="H460" i="1"/>
  <c r="H619" i="1"/>
  <c r="J619" i="1" s="1"/>
  <c r="D27" i="10"/>
  <c r="G618" i="1"/>
  <c r="G458" i="1"/>
  <c r="G464" i="1"/>
  <c r="H625" i="1"/>
  <c r="H617" i="1"/>
  <c r="J617" i="1" s="1"/>
  <c r="F460" i="1"/>
  <c r="J625" i="1"/>
  <c r="D33" i="13"/>
  <c r="D36" i="13" s="1"/>
  <c r="C5" i="13"/>
  <c r="F662" i="1" l="1"/>
  <c r="C4" i="10" s="1"/>
  <c r="F657" i="1"/>
  <c r="D37" i="10"/>
  <c r="D40" i="10"/>
  <c r="D35" i="10"/>
  <c r="D38" i="10"/>
  <c r="D39" i="10"/>
  <c r="H622" i="1"/>
  <c r="J622" i="1" s="1"/>
  <c r="F464" i="1"/>
  <c r="F466" i="1" s="1"/>
  <c r="H612" i="1" s="1"/>
  <c r="J623" i="1"/>
  <c r="H618" i="1"/>
  <c r="J618" i="1" s="1"/>
  <c r="G460" i="1"/>
  <c r="G466" i="1" s="1"/>
  <c r="H613" i="1" s="1"/>
  <c r="J613" i="1" s="1"/>
  <c r="H623" i="1"/>
  <c r="H464" i="1"/>
  <c r="H466" i="1" s="1"/>
  <c r="H614" i="1" s="1"/>
  <c r="J614" i="1" s="1"/>
  <c r="D28" i="10"/>
  <c r="I657" i="1"/>
  <c r="I662" i="1"/>
  <c r="C7" i="10" s="1"/>
  <c r="J612" i="1" l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AD15819-C314-4EA6-9608-5497B9A6D6F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6153BD6-0246-4867-9713-BB8D1734446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5851253-64C6-4C89-B7D6-F4CC72AB60D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7D64E4B-F58E-485D-B5A9-D7AEAD5BF62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C8F4018-9377-43DD-BFC0-63264053F92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6F117D5-F28C-42E3-A1B2-F51E1998608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6CEDB45-3841-4BBD-8D6A-9A1EFA8700D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58C09E6-C286-4C2F-AA2B-2C30CE14334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9357DFD-8688-49A7-9BE4-8984C5996C9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777FB44-F000-402C-912A-7C6299B3FCD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74F2D32-BA50-4F95-97A0-674028ED4FF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9FA17D6-BC8D-432D-8564-E98F1A7F58C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<sst xmlns="http://schemas.openxmlformats.org/spreadsheetml/2006/main" count="3860" uniqueCount="897">
  <si>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</si>
  <si>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</si>
  <si>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</si>
  <si>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</si>
  <si>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</si>
  <si>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</si>
  <si>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</si>
  <si>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</si>
  <si>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</si>
  <si>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</si>
  <si>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</si>
  <si>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</si>
  <si>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</si>
  <si>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</si>
  <si>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</si>
  <si>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</si>
  <si>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</si>
  <si>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</si>
  <si>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</si>
  <si>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</si>
  <si>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</si>
  <si>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</si>
  <si>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</si>
  <si>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</si>
  <si>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</si>
  <si>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</si>
  <si>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</si>
  <si>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</si>
  <si>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</si>
  <si>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</si>
  <si>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</si>
  <si>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</si>
  <si>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</si>
  <si>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</si>
  <si>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</si>
  <si>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</si>
  <si>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</si>
  <si>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</si>
  <si>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</si>
  <si>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</si>
  <si>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</si>
  <si>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</si>
  <si>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</si>
  <si>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</si>
  <si>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</si>
  <si>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</si>
  <si>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</si>
  <si>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</si>
  <si>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</si>
  <si>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</si>
  <si>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</si>
  <si>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</si>
  <si>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</si>
  <si>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</si>
  <si>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</si>
  <si>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</si>
  <si>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</si>
  <si>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</si>
  <si>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</si>
  <si>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</si>
  <si>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</si>
  <si>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</si>
  <si>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</si>
  <si>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</si>
  <si>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</si>
  <si>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</si>
  <si>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</si>
  <si>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</si>
  <si>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</si>
  <si>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</si>
  <si>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</si>
  <si>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</si>
  <si>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</si>
  <si>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</si>
  <si>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</si>
  <si>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</si>
  <si>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</si>
  <si>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</si>
  <si>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</si>
  <si>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</si>
  <si>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</si>
  <si>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</si>
  <si>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</si>
  <si>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</si>
  <si>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</si>
  <si>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</si>
  <si>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</si>
  <si>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</si>
  <si>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</si>
  <si>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</si>
  <si>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</si>
  <si>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</si>
  <si>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</si>
  <si>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</si>
  <si>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</si>
  <si>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</si>
  <si>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</si>
  <si>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</si>
  <si>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</si>
  <si>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</si>
  <si>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</si>
  <si>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</si>
  <si>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</si>
  <si>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</si>
  <si>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</si>
  <si>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</si>
  <si>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</si>
  <si>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</si>
  <si>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</si>
  <si>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</si>
  <si>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</si>
  <si>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</si>
  <si>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</si>
  <si>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</si>
  <si>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</si>
  <si>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</si>
  <si>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</si>
  <si>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</si>
  <si>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</si>
  <si>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</si>
  <si>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</si>
  <si>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</si>
  <si>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</si>
  <si>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</si>
  <si>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</si>
  <si>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</si>
  <si>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</si>
  <si>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</si>
  <si>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</si>
  <si>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</si>
  <si>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</si>
  <si>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</si>
  <si>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</si>
  <si>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</si>
  <si>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</si>
  <si>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</si>
  <si>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</si>
  <si>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</si>
  <si>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</si>
  <si>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</si>
  <si>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</si>
  <si>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</si>
  <si>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</si>
  <si>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</si>
  <si>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</si>
  <si>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</si>
  <si>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</si>
  <si>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</si>
  <si>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</si>
  <si>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</si>
  <si>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</si>
  <si>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</si>
  <si>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</si>
  <si>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</si>
  <si>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</si>
  <si>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</si>
  <si>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</si>
  <si>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</si>
  <si>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</si>
  <si>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</si>
  <si>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</si>
  <si>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</si>
  <si>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</si>
  <si>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</si>
  <si>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</si>
  <si>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</si>
  <si>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</si>
  <si>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</si>
  <si>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</si>
  <si>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</si>
  <si>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</si>
  <si>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</si>
  <si>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</si>
  <si>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</si>
  <si>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</si>
  <si>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</si>
  <si>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</si>
  <si>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</si>
  <si>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</si>
  <si>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</si>
  <si>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</si>
  <si>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</si>
  <si>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</si>
  <si>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</si>
  <si>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</si>
  <si>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</si>
  <si>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</si>
  <si>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</si>
  <si>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</si>
  <si>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</si>
  <si>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</si>
  <si>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</si>
  <si>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</si>
  <si>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</si>
  <si>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</si>
  <si>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</si>
  <si>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</si>
  <si>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</si>
  <si>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</si>
  <si>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</si>
  <si>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</si>
  <si>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</si>
  <si>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</si>
  <si>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</si>
  <si>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</si>
  <si>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</si>
  <si>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</si>
  <si>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</si>
  <si>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</si>
  <si>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</si>
  <si>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</si>
  <si>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</si>
  <si>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</si>
  <si>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</si>
  <si>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</si>
  <si>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</si>
  <si>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</si>
  <si>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</si>
  <si>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</si>
  <si>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</si>
  <si>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</si>
  <si>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</si>
  <si>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</si>
  <si>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</si>
  <si>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</si>
  <si>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</si>
  <si>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</si>
  <si>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</si>
  <si>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</si>
  <si>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</si>
  <si>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</si>
  <si>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</si>
  <si>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</si>
  <si>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</si>
  <si>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</si>
  <si>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</si>
  <si>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</si>
  <si>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</si>
  <si>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</si>
  <si>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</si>
  <si>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</si>
  <si>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</si>
  <si>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</si>
  <si>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</si>
  <si>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</si>
  <si>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</si>
  <si>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</si>
  <si>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</si>
  <si>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</si>
  <si>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</si>
  <si>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</si>
  <si>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</si>
  <si>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</si>
  <si>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</si>
  <si>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</si>
  <si>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</si>
  <si>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</si>
  <si>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</si>
  <si>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</si>
  <si>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</si>
  <si>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</si>
  <si>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</si>
  <si>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</si>
  <si>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</si>
  <si>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</si>
  <si>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</si>
  <si>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</si>
  <si>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</si>
  <si>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</si>
  <si>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</si>
  <si>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</si>
  <si>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</si>
  <si>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</si>
  <si>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</si>
  <si>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</si>
  <si>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</si>
  <si>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</si>
  <si>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</si>
  <si>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</si>
  <si>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</si>
  <si>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</si>
  <si>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</si>
  <si>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</si>
  <si>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</si>
  <si>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</si>
  <si>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</si>
  <si>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</si>
  <si>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</si>
  <si>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</si>
  <si>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</si>
  <si>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</si>
  <si>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</si>
  <si>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</si>
  <si>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</si>
  <si>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</si>
  <si>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</si>
  <si>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</si>
  <si>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</si>
  <si>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</si>
  <si>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</si>
  <si>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</si>
  <si>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</si>
  <si>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</si>
  <si>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</si>
  <si>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</si>
  <si>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</si>
  <si>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</si>
  <si>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</si>
  <si>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</si>
  <si>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</si>
  <si>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</si>
  <si>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</si>
  <si>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</si>
  <si>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</si>
  <si>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</si>
  <si>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</si>
  <si>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</si>
  <si>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</si>
  <si>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</si>
  <si>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</si>
  <si>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</si>
  <si>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</si>
  <si>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</si>
  <si>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</si>
  <si>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</si>
  <si>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</si>
  <si>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</si>
  <si>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</si>
  <si>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</si>
  <si>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</si>
  <si>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</si>
  <si>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</si>
  <si>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</si>
  <si>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</si>
  <si>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</si>
  <si>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</si>
  <si>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</si>
  <si>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</si>
  <si>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</si>
  <si>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</si>
  <si>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</si>
  <si>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</si>
  <si>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</si>
  <si>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</si>
  <si>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</si>
  <si>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</si>
  <si>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</si>
  <si>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</si>
  <si>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</si>
  <si>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</si>
  <si>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</si>
  <si>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</si>
  <si>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</si>
  <si>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</si>
  <si>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</si>
  <si>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</si>
  <si>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</si>
  <si>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</si>
  <si>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</si>
  <si>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</si>
  <si>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</si>
  <si>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</si>
  <si>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</si>
  <si>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</si>
  <si>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</si>
  <si>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</si>
  <si>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</si>
  <si>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</si>
  <si>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</si>
  <si>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</si>
  <si>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</si>
  <si>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</si>
  <si>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</si>
  <si>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</si>
  <si>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</si>
  <si>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</si>
  <si>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</si>
  <si>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</si>
  <si>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</si>
  <si>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</si>
  <si>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</si>
  <si>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</si>
  <si>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</si>
  <si>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</si>
  <si>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</si>
  <si>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</si>
  <si>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</si>
  <si>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</si>
  <si>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</si>
  <si>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</si>
  <si>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</si>
  <si>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</si>
  <si>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</si>
  <si>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</si>
  <si>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</si>
  <si>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</si>
  <si>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</si>
  <si>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</si>
  <si>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</si>
  <si>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</si>
  <si>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</si>
  <si>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</si>
  <si>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</si>
  <si>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</si>
  <si>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</si>
  <si>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</si>
  <si>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</si>
  <si>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</si>
  <si>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</si>
  <si>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</si>
  <si>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</si>
  <si>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</si>
  <si>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</si>
  <si>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</si>
  <si>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</si>
  <si>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</si>
  <si>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</si>
  <si>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</si>
  <si>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</si>
  <si>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</si>
  <si>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</si>
  <si>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</si>
  <si>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</si>
  <si>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</si>
  <si>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</si>
  <si>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</si>
  <si>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</si>
  <si>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</si>
  <si>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</si>
  <si>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</si>
  <si>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</si>
  <si>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</si>
  <si>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</si>
  <si>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</si>
  <si>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</si>
  <si>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</si>
  <si>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</si>
  <si>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</si>
  <si>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</si>
  <si>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</si>
  <si>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</si>
  <si>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</si>
  <si>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</si>
  <si>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</si>
  <si>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</si>
  <si>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</si>
  <si>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</si>
  <si>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</si>
  <si>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</si>
  <si>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</si>
  <si>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</si>
  <si>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</si>
  <si>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</si>
  <si>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</si>
  <si>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</si>
  <si>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</si>
  <si>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</si>
  <si>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</si>
  <si>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</si>
  <si>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</si>
  <si>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</si>
  <si>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</si>
  <si>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</si>
  <si>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</si>
  <si>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</si>
  <si>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</si>
  <si>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</si>
  <si>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</si>
  <si>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</si>
  <si>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</si>
  <si>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</si>
  <si>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</si>
  <si>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</si>
  <si>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</si>
  <si>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</si>
  <si>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</si>
  <si>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</si>
  <si>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</si>
  <si>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</si>
  <si>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</si>
  <si>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</si>
  <si>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</si>
  <si>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</si>
  <si>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</si>
  <si>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</si>
  <si>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</si>
  <si>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</si>
  <si>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</si>
  <si>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</si>
  <si>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</si>
  <si>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</si>
  <si>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</si>
  <si>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</si>
  <si>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</si>
  <si>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</si>
  <si>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</si>
  <si>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</si>
  <si>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</si>
  <si>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</si>
  <si>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</si>
  <si>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</si>
  <si>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</si>
  <si>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</si>
  <si>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</si>
  <si>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</si>
  <si>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</si>
  <si>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</si>
  <si>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</si>
  <si>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</si>
  <si>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</si>
  <si>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</si>
  <si>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</si>
  <si>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</si>
  <si>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</si>
  <si>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</si>
  <si>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</si>
  <si>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</si>
  <si>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</si>
  <si>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</si>
  <si>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</si>
  <si>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</si>
  <si>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</si>
  <si>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</si>
  <si>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</si>
  <si>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</si>
  <si>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</si>
  <si>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</si>
  <si>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</si>
  <si>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</si>
  <si>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</si>
  <si>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</si>
  <si>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</si>
  <si>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</si>
  <si>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</si>
  <si>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</si>
  <si>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</si>
  <si>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</si>
  <si>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</si>
  <si>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</si>
  <si>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</si>
  <si>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</si>
  <si>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</si>
  <si>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</si>
  <si>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</si>
  <si>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</si>
  <si>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</si>
  <si>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</si>
  <si>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</si>
  <si>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</si>
  <si>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</si>
  <si>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</si>
  <si>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</si>
  <si>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</si>
  <si>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</si>
  <si>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</si>
  <si>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</si>
  <si>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</si>
  <si>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</si>
  <si>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</si>
  <si>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</si>
  <si>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</si>
  <si>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</si>
  <si>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</si>
  <si>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</si>
  <si>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</si>
  <si>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</si>
  <si>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</si>
  <si>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</si>
  <si>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</si>
  <si>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</si>
  <si>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</si>
  <si>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</si>
  <si>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</si>
  <si>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</si>
  <si>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</si>
  <si>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</si>
  <si>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</si>
  <si>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</si>
  <si>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</si>
  <si>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</si>
  <si>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</si>
  <si>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</si>
  <si>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</si>
  <si>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</si>
  <si>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</si>
  <si>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</si>
  <si>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</si>
  <si>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</si>
  <si>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</si>
  <si>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</si>
  <si>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</si>
  <si>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</si>
  <si>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</si>
  <si>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</si>
  <si>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</si>
  <si>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</si>
  <si>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</si>
  <si>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</si>
  <si>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</si>
  <si>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</si>
  <si>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</si>
  <si>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</si>
  <si>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</si>
  <si>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</si>
  <si>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</si>
  <si>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</si>
  <si>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</si>
  <si>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</si>
  <si>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</si>
  <si>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</si>
  <si>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</si>
  <si>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</si>
  <si>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</si>
  <si>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</si>
  <si>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</si>
  <si>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</si>
  <si>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</si>
  <si>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</si>
  <si>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</si>
  <si>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</si>
  <si>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</si>
  <si>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</si>
  <si>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</si>
  <si>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</si>
  <si>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</si>
  <si>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</si>
  <si>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</si>
  <si>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</si>
  <si>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</si>
  <si>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</si>
  <si>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</si>
  <si>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</si>
  <si>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</si>
  <si>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</si>
  <si>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</si>
  <si>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</si>
  <si>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</si>
  <si>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</si>
  <si>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</si>
  <si>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</si>
  <si>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</si>
  <si>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</si>
  <si>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</si>
  <si>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</si>
  <si>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</si>
  <si>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</si>
  <si>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</si>
  <si>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</si>
  <si>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</si>
  <si>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</si>
  <si>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</si>
  <si>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</si>
  <si>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</si>
  <si>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</si>
  <si>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</si>
  <si>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</si>
  <si>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</si>
  <si>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</si>
  <si>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</si>
  <si>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</si>
  <si>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</si>
  <si>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</si>
  <si>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</si>
  <si>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</si>
  <si>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</si>
  <si>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</si>
  <si>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</si>
  <si>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</si>
  <si>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</si>
  <si>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</si>
  <si>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</si>
  <si>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</si>
  <si>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</si>
  <si>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</si>
  <si>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</si>
  <si>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</si>
  <si>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</si>
  <si>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</si>
  <si>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</si>
  <si>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</si>
  <si>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</si>
  <si>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</si>
  <si>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</si>
  <si>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</si>
  <si>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</si>
  <si>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</si>
  <si>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</si>
  <si>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</si>
  <si>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</si>
  <si>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</si>
  <si>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</si>
  <si>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</si>
  <si>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</si>
  <si>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</si>
  <si>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</si>
  <si>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</si>
  <si>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</si>
  <si>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</si>
  <si>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</si>
  <si>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</si>
  <si>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</si>
  <si>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</si>
  <si>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</si>
  <si>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</si>
  <si>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</si>
  <si>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</si>
  <si>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</si>
  <si>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</si>
  <si>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</si>
  <si>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</si>
  <si>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</si>
  <si>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</si>
  <si>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</si>
  <si>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</si>
  <si>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</si>
  <si>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</si>
  <si>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</si>
  <si>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</si>
  <si>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</si>
  <si>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</si>
  <si>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</si>
  <si>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</si>
  <si>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</si>
  <si>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</si>
  <si>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</si>
  <si>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</si>
  <si>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</si>
  <si>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</si>
  <si>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</si>
  <si>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</si>
  <si>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</si>
  <si>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</si>
  <si>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</si>
  <si>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</si>
  <si>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</si>
  <si>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</si>
  <si>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</si>
  <si>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</si>
  <si>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</si>
  <si>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</si>
  <si>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</si>
  <si>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</si>
  <si>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</si>
  <si>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</si>
  <si>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</si>
  <si>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</si>
  <si>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</si>
  <si>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</si>
  <si>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</si>
  <si>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</si>
  <si>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</si>
  <si>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</si>
  <si>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</si>
  <si>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</si>
  <si>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</si>
  <si>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</si>
  <si>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</si>
  <si>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</si>
  <si>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</si>
  <si>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</si>
  <si>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</si>
  <si>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</si>
  <si>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</si>
  <si>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</si>
  <si>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</si>
  <si>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</si>
  <si>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</si>
  <si>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</si>
  <si>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</si>
  <si>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</si>
  <si>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</si>
  <si>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</si>
  <si>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</si>
  <si>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</si>
  <si>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</si>
  <si>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</si>
  <si>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</si>
  <si>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</si>
  <si>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</si>
  <si>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</si>
  <si>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</si>
  <si>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</si>
  <si>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</si>
  <si>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</si>
  <si>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</si>
  <si>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</si>
  <si>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</si>
  <si>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</si>
  <si>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</si>
  <si>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</si>
  <si>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</si>
  <si>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</si>
  <si>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</si>
  <si>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</si>
  <si>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</si>
  <si>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</si>
  <si>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</si>
  <si>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</si>
  <si>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</si>
  <si>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</si>
  <si>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</si>
  <si>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</si>
  <si>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</si>
  <si>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</si>
  <si>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</si>
  <si>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</si>
  <si>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</si>
  <si>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</si>
  <si>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</si>
  <si>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</si>
  <si>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</si>
  <si>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</si>
  <si>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</si>
  <si>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</si>
  <si>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</si>
  <si>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</si>
  <si>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</si>
  <si>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</si>
  <si>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</si>
  <si>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</si>
  <si>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</si>
  <si>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</si>
  <si>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</si>
  <si>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</si>
  <si>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</si>
  <si>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</si>
  <si>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</si>
  <si>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</si>
  <si>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</si>
  <si>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</si>
  <si>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</si>
  <si>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</si>
  <si>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</si>
  <si>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</si>
  <si>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</si>
  <si>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</si>
  <si>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</si>
  <si>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</si>
  <si>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</si>
  <si>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</si>
  <si>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</si>
  <si>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</si>
  <si>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</si>
  <si>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</si>
  <si>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</si>
  <si>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</si>
  <si>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</si>
  <si>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</si>
  <si>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</si>
  <si>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</si>
  <si>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</si>
  <si>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</si>
  <si>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</si>
  <si>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</si>
  <si>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</si>
  <si>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</si>
  <si>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</si>
  <si>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</si>
  <si>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</si>
  <si>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</si>
  <si>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</si>
  <si>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</si>
  <si>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</si>
  <si>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</si>
  <si>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</si>
  <si>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</si>
  <si>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</si>
  <si>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</si>
  <si>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</si>
  <si>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</si>
  <si>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</si>
  <si>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</si>
  <si>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</si>
  <si>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</si>
  <si>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</si>
  <si>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</si>
  <si>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</si>
  <si>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</si>
  <si>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</si>
  <si>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</si>
  <si>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</si>
  <si>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</si>
  <si>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</si>
  <si>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</si>
  <si>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</si>
  <si>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</si>
  <si>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</si>
  <si>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</si>
  <si>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</si>
  <si>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</si>
  <si>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</si>
  <si>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</si>
  <si>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</si>
  <si>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</si>
  <si>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08/16</t>
  </si>
  <si>
    <t>08/01</t>
  </si>
  <si>
    <t>WASHINGTON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</si>
</sst>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8C9D-EB16-4029-94C8-6099D217870D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551</v>
      </c>
      <c r="C2" s="21">
        <v>551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56462</v>
      </c>
      <c r="G9" s="18"/>
      <c r="H9" s="18"/>
      <c r="I9" s="18"/>
      <c r="J9" s="67">
        <f>SUM(I431)</f>
        <v>127541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12016</v>
      </c>
      <c r="G12" s="18">
        <v>3515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484</v>
      </c>
      <c r="H13" s="18">
        <v>4628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12218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68478</v>
      </c>
      <c r="G19" s="41">
        <f>SUM(G9:G18)</f>
        <v>16217</v>
      </c>
      <c r="H19" s="41">
        <f>SUM(H9:H18)</f>
        <v>4628</v>
      </c>
      <c r="I19" s="41">
        <f>SUM(I9:I18)</f>
        <v>0</v>
      </c>
      <c r="J19" s="41">
        <f>SUM(J9:J18)</f>
        <v>127541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15530-8147</f>
        <v>7383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1908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9291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13295</v>
      </c>
      <c r="G37" s="18">
        <v>204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G19-G37</f>
        <v>16013</v>
      </c>
      <c r="H41" s="18">
        <f>H19-H33-H37</f>
        <v>-4663</v>
      </c>
      <c r="I41" s="18"/>
      <c r="J41" s="13">
        <f>SUM(I449)</f>
        <v>127541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F19-F37</f>
        <v>55183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68478</v>
      </c>
      <c r="G43" s="41">
        <f>SUM(G35:G42)</f>
        <v>16217</v>
      </c>
      <c r="H43" s="41">
        <f>SUM(H35:H42)</f>
        <v>-4663</v>
      </c>
      <c r="I43" s="41">
        <f>SUM(I35:I42)</f>
        <v>0</v>
      </c>
      <c r="J43" s="41">
        <f>SUM(J35:J42)</f>
        <v>127541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68478</v>
      </c>
      <c r="G44" s="41">
        <f>G43+G33</f>
        <v>16217</v>
      </c>
      <c r="H44" s="41">
        <f>H43+H33</f>
        <v>4628</v>
      </c>
      <c r="I44" s="41">
        <f>I43+I33</f>
        <v>0</v>
      </c>
      <c r="J44" s="41">
        <f>J43+J33</f>
        <v>127541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1997455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1997455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9870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1972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1972</v>
      </c>
      <c r="G103" s="41">
        <f>SUM(G88:G102)</f>
        <v>9870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1999427</v>
      </c>
      <c r="G104" s="41">
        <f>G52+G103</f>
        <v>9870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68265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564313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26191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658769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19921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25802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314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45723</v>
      </c>
      <c r="G128" s="41">
        <f>SUM(G115:G127)</f>
        <v>314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704492</v>
      </c>
      <c r="G132" s="41">
        <f>G113+SUM(G128:G129)</f>
        <v>314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39136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29496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8169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17548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17548</v>
      </c>
      <c r="G154" s="41">
        <f>SUM(G142:G153)</f>
        <v>8169</v>
      </c>
      <c r="H154" s="41">
        <f>SUM(H142:H153)</f>
        <v>68632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17548</v>
      </c>
      <c r="G161" s="41">
        <f>G139+G154+SUM(G155:G160)</f>
        <v>8169</v>
      </c>
      <c r="H161" s="41">
        <f>H139+H154+SUM(H155:H160)</f>
        <v>68632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12218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12218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12218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2721467</v>
      </c>
      <c r="G185" s="47">
        <f>G104+G132+G161+G184</f>
        <v>30571</v>
      </c>
      <c r="H185" s="47">
        <f>H104+H132+H161+H184</f>
        <v>68632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271334</v>
      </c>
      <c r="G189" s="18">
        <v>95397</v>
      </c>
      <c r="H189" s="18">
        <f>1521070-596093-914452</f>
        <v>10525</v>
      </c>
      <c r="I189" s="18">
        <v>13500</v>
      </c>
      <c r="J189" s="18">
        <f>322+5745</f>
        <v>6067</v>
      </c>
      <c r="K189" s="18">
        <f>1189+149</f>
        <v>1338</v>
      </c>
      <c r="L189" s="19">
        <f>SUM(F189:K189)</f>
        <v>398161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76529</v>
      </c>
      <c r="G190" s="18">
        <v>15384</v>
      </c>
      <c r="H190" s="18">
        <f>93110+3975</f>
        <v>97085</v>
      </c>
      <c r="I190" s="18">
        <v>249</v>
      </c>
      <c r="J190" s="18"/>
      <c r="K190" s="18"/>
      <c r="L190" s="19">
        <f>SUM(F190:K190)</f>
        <v>189247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2864</v>
      </c>
      <c r="G194" s="18">
        <v>219</v>
      </c>
      <c r="H194" s="18">
        <v>23014</v>
      </c>
      <c r="I194" s="18">
        <v>1000</v>
      </c>
      <c r="J194" s="18"/>
      <c r="K194" s="18"/>
      <c r="L194" s="19">
        <f t="shared" ref="L194:L200" si="0">SUM(F194:K194)</f>
        <v>27097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1887</v>
      </c>
      <c r="G195" s="18">
        <v>1238</v>
      </c>
      <c r="H195" s="18"/>
      <c r="I195" s="18">
        <v>1042</v>
      </c>
      <c r="J195" s="18"/>
      <c r="K195" s="18"/>
      <c r="L195" s="19">
        <f t="shared" si="0"/>
        <v>4167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3250*0.3497</f>
        <v>1136.5250000000001</v>
      </c>
      <c r="G196" s="18">
        <f>3605*0.3497</f>
        <v>1260.6685</v>
      </c>
      <c r="H196" s="18">
        <f>139011*0.3497</f>
        <v>48612.146700000005</v>
      </c>
      <c r="I196" s="18">
        <f>326*0.3497</f>
        <v>114.0022</v>
      </c>
      <c r="J196" s="18"/>
      <c r="K196" s="18">
        <f>5181*0.3497</f>
        <v>1811.7957000000001</v>
      </c>
      <c r="L196" s="19">
        <f t="shared" si="0"/>
        <v>52935.138100000011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50080</v>
      </c>
      <c r="G197" s="18">
        <v>5961</v>
      </c>
      <c r="H197" s="18"/>
      <c r="I197" s="18">
        <v>900</v>
      </c>
      <c r="J197" s="18"/>
      <c r="K197" s="18"/>
      <c r="L197" s="19">
        <f t="shared" si="0"/>
        <v>56941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33676</v>
      </c>
      <c r="G199" s="18">
        <v>12533</v>
      </c>
      <c r="H199" s="18">
        <v>18697</v>
      </c>
      <c r="I199" s="18">
        <v>43030</v>
      </c>
      <c r="J199" s="18"/>
      <c r="K199" s="18"/>
      <c r="L199" s="19">
        <f t="shared" si="0"/>
        <v>107936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76954</v>
      </c>
      <c r="I200" s="18"/>
      <c r="J200" s="18"/>
      <c r="K200" s="18"/>
      <c r="L200" s="19">
        <f t="shared" si="0"/>
        <v>76954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437506.52500000002</v>
      </c>
      <c r="G203" s="41">
        <f t="shared" si="1"/>
        <v>131992.6685</v>
      </c>
      <c r="H203" s="41">
        <f t="shared" si="1"/>
        <v>274887.14670000004</v>
      </c>
      <c r="I203" s="41">
        <f t="shared" si="1"/>
        <v>59835.002200000003</v>
      </c>
      <c r="J203" s="41">
        <f t="shared" si="1"/>
        <v>6067</v>
      </c>
      <c r="K203" s="41">
        <f t="shared" si="1"/>
        <v>3149.7957000000001</v>
      </c>
      <c r="L203" s="41">
        <f t="shared" si="1"/>
        <v>913438.13809999998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596092</v>
      </c>
      <c r="I207" s="18"/>
      <c r="J207" s="18"/>
      <c r="K207" s="18"/>
      <c r="L207" s="19">
        <f>SUM(F207:K207)</f>
        <v>596092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3250*0.2295</f>
        <v>745.875</v>
      </c>
      <c r="G214" s="18">
        <f>3604*0.2295</f>
        <v>827.11800000000005</v>
      </c>
      <c r="H214" s="18">
        <f>(139010*0.2295)+1</f>
        <v>31903.795000000002</v>
      </c>
      <c r="I214" s="18">
        <f>326*0.2295</f>
        <v>74.817000000000007</v>
      </c>
      <c r="J214" s="18"/>
      <c r="K214" s="18">
        <f>5181*0.2295</f>
        <v>1189.0395000000001</v>
      </c>
      <c r="L214" s="19">
        <f t="shared" si="2"/>
        <v>34740.644500000002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26282</v>
      </c>
      <c r="I218" s="18"/>
      <c r="J218" s="18"/>
      <c r="K218" s="18"/>
      <c r="L218" s="19">
        <f t="shared" si="2"/>
        <v>26282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745.875</v>
      </c>
      <c r="G221" s="41">
        <f>SUM(G207:G220)</f>
        <v>827.11800000000005</v>
      </c>
      <c r="H221" s="41">
        <f>SUM(H207:H220)</f>
        <v>654277.79500000004</v>
      </c>
      <c r="I221" s="41">
        <f>SUM(I207:I220)</f>
        <v>74.817000000000007</v>
      </c>
      <c r="J221" s="41">
        <f>SUM(J207:J220)</f>
        <v>0</v>
      </c>
      <c r="K221" s="41">
        <f t="shared" si="3"/>
        <v>1189.0395000000001</v>
      </c>
      <c r="L221" s="41">
        <f t="shared" si="3"/>
        <v>657114.64450000005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914453</v>
      </c>
      <c r="I225" s="18"/>
      <c r="J225" s="18"/>
      <c r="K225" s="18"/>
      <c r="L225" s="19">
        <f>SUM(F225:K225)</f>
        <v>914453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3250*0.4208</f>
        <v>1367.6000000000001</v>
      </c>
      <c r="G232" s="18">
        <f>3605*0.4208</f>
        <v>1516.9839999999999</v>
      </c>
      <c r="H232" s="18">
        <f>(139010*0.4208)-5</f>
        <v>58490.408000000003</v>
      </c>
      <c r="I232" s="18">
        <f>326*0.4208</f>
        <v>137.1808</v>
      </c>
      <c r="J232" s="18"/>
      <c r="K232" s="18">
        <f>(5181*0.4208)-0.12</f>
        <v>2180.0448000000001</v>
      </c>
      <c r="L232" s="19">
        <f t="shared" si="4"/>
        <v>63692.217600000011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48190</v>
      </c>
      <c r="I236" s="18"/>
      <c r="J236" s="18"/>
      <c r="K236" s="18"/>
      <c r="L236" s="19">
        <f t="shared" si="4"/>
        <v>48190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1367.6000000000001</v>
      </c>
      <c r="G239" s="41">
        <f t="shared" si="5"/>
        <v>1516.9839999999999</v>
      </c>
      <c r="H239" s="41">
        <f t="shared" si="5"/>
        <v>1021133.4080000001</v>
      </c>
      <c r="I239" s="41">
        <f t="shared" si="5"/>
        <v>137.1808</v>
      </c>
      <c r="J239" s="41">
        <f t="shared" si="5"/>
        <v>0</v>
      </c>
      <c r="K239" s="41">
        <f t="shared" si="5"/>
        <v>2180.0448000000001</v>
      </c>
      <c r="L239" s="41">
        <f t="shared" si="5"/>
        <v>1026335.2176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439620</v>
      </c>
      <c r="G249" s="41">
        <f t="shared" si="8"/>
        <v>134336.77049999998</v>
      </c>
      <c r="H249" s="41">
        <f t="shared" si="8"/>
        <v>1950298.3497000001</v>
      </c>
      <c r="I249" s="41">
        <f t="shared" si="8"/>
        <v>60047.000000000007</v>
      </c>
      <c r="J249" s="41">
        <f t="shared" si="8"/>
        <v>6067</v>
      </c>
      <c r="K249" s="41">
        <f t="shared" si="8"/>
        <v>6518.880000000001</v>
      </c>
      <c r="L249" s="41">
        <f t="shared" si="8"/>
        <v>2596888.0002000001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75000</v>
      </c>
      <c r="L252" s="19">
        <f>SUM(F252:K252)</f>
        <v>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24126</v>
      </c>
      <c r="L253" s="19">
        <f>SUM(F253:K253)</f>
        <v>24126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12218</v>
      </c>
      <c r="L255" s="19">
        <f>SUM(F255:K255)</f>
        <v>12218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111344</v>
      </c>
      <c r="L262" s="41">
        <f t="shared" si="9"/>
        <v>111344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439620</v>
      </c>
      <c r="G263" s="42">
        <f t="shared" si="11"/>
        <v>134336.77049999998</v>
      </c>
      <c r="H263" s="42">
        <f t="shared" si="11"/>
        <v>1950298.3497000001</v>
      </c>
      <c r="I263" s="42">
        <f t="shared" si="11"/>
        <v>60047.000000000007</v>
      </c>
      <c r="J263" s="42">
        <f t="shared" si="11"/>
        <v>6067</v>
      </c>
      <c r="K263" s="42">
        <f t="shared" si="11"/>
        <v>117862.88</v>
      </c>
      <c r="L263" s="42">
        <f t="shared" si="11"/>
        <v>2708232.0002000001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27846</v>
      </c>
      <c r="G268" s="18">
        <v>978</v>
      </c>
      <c r="H268" s="18">
        <v>15063</v>
      </c>
      <c r="I268" s="18">
        <v>16767</v>
      </c>
      <c r="J268" s="18">
        <v>10299</v>
      </c>
      <c r="K268" s="18">
        <f>234+2109-1</f>
        <v>2342</v>
      </c>
      <c r="L268" s="19">
        <f>SUM(F268:K268)</f>
        <v>73295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27846</v>
      </c>
      <c r="G282" s="42">
        <f t="shared" si="13"/>
        <v>978</v>
      </c>
      <c r="H282" s="42">
        <f t="shared" si="13"/>
        <v>15063</v>
      </c>
      <c r="I282" s="42">
        <f t="shared" si="13"/>
        <v>16767</v>
      </c>
      <c r="J282" s="42">
        <f t="shared" si="13"/>
        <v>10299</v>
      </c>
      <c r="K282" s="42">
        <f t="shared" si="13"/>
        <v>2342</v>
      </c>
      <c r="L282" s="41">
        <f t="shared" si="13"/>
        <v>73295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27846</v>
      </c>
      <c r="G330" s="41">
        <f t="shared" si="20"/>
        <v>978</v>
      </c>
      <c r="H330" s="41">
        <f t="shared" si="20"/>
        <v>15063</v>
      </c>
      <c r="I330" s="41">
        <f t="shared" si="20"/>
        <v>16767</v>
      </c>
      <c r="J330" s="41">
        <f t="shared" si="20"/>
        <v>10299</v>
      </c>
      <c r="K330" s="41">
        <f t="shared" si="20"/>
        <v>2342</v>
      </c>
      <c r="L330" s="41">
        <f t="shared" si="20"/>
        <v>73295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27846</v>
      </c>
      <c r="G344" s="41">
        <f>G330</f>
        <v>978</v>
      </c>
      <c r="H344" s="41">
        <f>H330</f>
        <v>15063</v>
      </c>
      <c r="I344" s="41">
        <f>I330</f>
        <v>16767</v>
      </c>
      <c r="J344" s="41">
        <f>J330</f>
        <v>10299</v>
      </c>
      <c r="K344" s="47">
        <f>K330+K343</f>
        <v>2342</v>
      </c>
      <c r="L344" s="41">
        <f>L330+L343</f>
        <v>73295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15270</v>
      </c>
      <c r="G350" s="18">
        <v>1168</v>
      </c>
      <c r="H350" s="18">
        <v>125</v>
      </c>
      <c r="I350" s="18">
        <f>196+8947+8</f>
        <v>9151</v>
      </c>
      <c r="J350" s="18"/>
      <c r="K350" s="18"/>
      <c r="L350" s="13">
        <f>SUM(F350:K350)</f>
        <v>25714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15270</v>
      </c>
      <c r="G354" s="47">
        <f t="shared" si="22"/>
        <v>1168</v>
      </c>
      <c r="H354" s="47">
        <f t="shared" si="22"/>
        <v>125</v>
      </c>
      <c r="I354" s="47">
        <f t="shared" si="22"/>
        <v>9151</v>
      </c>
      <c r="J354" s="47">
        <f t="shared" si="22"/>
        <v>0</v>
      </c>
      <c r="K354" s="47">
        <f t="shared" si="22"/>
        <v>0</v>
      </c>
      <c r="L354" s="47">
        <f t="shared" si="22"/>
        <v>25714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8947</v>
      </c>
      <c r="G359" s="18"/>
      <c r="H359" s="18"/>
      <c r="I359" s="56">
        <f>SUM(F359:H359)</f>
        <v>8947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196+8</f>
        <v>204</v>
      </c>
      <c r="G360" s="63"/>
      <c r="H360" s="63"/>
      <c r="I360" s="56">
        <f>SUM(F360:H360)</f>
        <v>204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9151</v>
      </c>
      <c r="G361" s="47">
        <f>SUM(G359:G360)</f>
        <v>0</v>
      </c>
      <c r="H361" s="47">
        <f>SUM(H359:H360)</f>
        <v>0</v>
      </c>
      <c r="I361" s="47">
        <f>SUM(I359:I360)</f>
        <v>9151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85854+41687</f>
        <v>127541</v>
      </c>
      <c r="H431" s="18"/>
      <c r="I431" s="56">
        <f t="shared" ref="I431:I437" si="33">SUM(F431:H431)</f>
        <v>127541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127541</v>
      </c>
      <c r="H438" s="13">
        <f>SUM(H431:H437)</f>
        <v>0</v>
      </c>
      <c r="I438" s="13">
        <f>SUM(I431:I437)</f>
        <v>127541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127541</v>
      </c>
      <c r="H449" s="18"/>
      <c r="I449" s="56">
        <f>SUM(F449:H449)</f>
        <v>127541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127541</v>
      </c>
      <c r="H450" s="83">
        <f>SUM(H446:H449)</f>
        <v>0</v>
      </c>
      <c r="I450" s="83">
        <f>SUM(I446:I449)</f>
        <v>127541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127541</v>
      </c>
      <c r="H451" s="42">
        <f>H444+H450</f>
        <v>0</v>
      </c>
      <c r="I451" s="42">
        <f>I444+I450</f>
        <v>127541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55243</v>
      </c>
      <c r="G455" s="18">
        <f>12904-1544</f>
        <v>11360</v>
      </c>
      <c r="H455" s="18"/>
      <c r="I455" s="18"/>
      <c r="J455" s="18">
        <v>127541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2721467</v>
      </c>
      <c r="G458" s="18">
        <f>G185</f>
        <v>30571</v>
      </c>
      <c r="H458" s="18">
        <f>H185</f>
        <v>68632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2721467</v>
      </c>
      <c r="G460" s="53">
        <f>SUM(G458:G459)</f>
        <v>30571</v>
      </c>
      <c r="H460" s="53">
        <f>SUM(H458:H459)</f>
        <v>68632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2708232.0002000001</v>
      </c>
      <c r="G462" s="18">
        <f>L354</f>
        <v>25714</v>
      </c>
      <c r="H462" s="18">
        <f>L344</f>
        <v>73295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2708232.0002000001</v>
      </c>
      <c r="G464" s="53">
        <f>SUM(G462:G463)</f>
        <v>25714</v>
      </c>
      <c r="H464" s="53">
        <f>SUM(H462:H463)</f>
        <v>73295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68477.999799999874</v>
      </c>
      <c r="G466" s="53">
        <f>(G455+G460)- G464</f>
        <v>16217</v>
      </c>
      <c r="H466" s="53">
        <f>(H455+H460)- H464</f>
        <v>-4663</v>
      </c>
      <c r="I466" s="53">
        <f>(I455+I460)- I464</f>
        <v>0</v>
      </c>
      <c r="J466" s="53">
        <f>(J455+J460)- J464</f>
        <v>127541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f>8/1</f>
        <v>8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894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1105012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580000</v>
      </c>
      <c r="G485" s="18"/>
      <c r="H485" s="18"/>
      <c r="I485" s="18"/>
      <c r="J485" s="18"/>
      <c r="K485" s="53">
        <f>SUM(F485:J485)</f>
        <v>580000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75000</v>
      </c>
      <c r="G487" s="18"/>
      <c r="H487" s="18"/>
      <c r="I487" s="18"/>
      <c r="J487" s="18"/>
      <c r="K487" s="53">
        <f t="shared" si="34"/>
        <v>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505000</v>
      </c>
      <c r="G488" s="205"/>
      <c r="H488" s="205"/>
      <c r="I488" s="205"/>
      <c r="J488" s="205"/>
      <c r="K488" s="206">
        <f t="shared" si="34"/>
        <v>505000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106062-24126</f>
        <v>81936</v>
      </c>
      <c r="G489" s="18"/>
      <c r="H489" s="18"/>
      <c r="I489" s="18"/>
      <c r="J489" s="18"/>
      <c r="K489" s="53">
        <f t="shared" si="34"/>
        <v>81936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586936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586936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75000</v>
      </c>
      <c r="G491" s="205"/>
      <c r="H491" s="205"/>
      <c r="I491" s="205"/>
      <c r="J491" s="205"/>
      <c r="K491" s="206">
        <f t="shared" si="34"/>
        <v>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21580</v>
      </c>
      <c r="G492" s="18"/>
      <c r="H492" s="18"/>
      <c r="I492" s="18"/>
      <c r="J492" s="18"/>
      <c r="K492" s="53">
        <f t="shared" si="34"/>
        <v>21580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96580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96580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76530</v>
      </c>
      <c r="G511" s="18">
        <v>15384</v>
      </c>
      <c r="H511" s="18">
        <f>93110+3975</f>
        <v>97085</v>
      </c>
      <c r="I511" s="18">
        <v>249</v>
      </c>
      <c r="J511" s="18"/>
      <c r="K511" s="18"/>
      <c r="L511" s="88">
        <f>SUM(F511:K511)</f>
        <v>189248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76530</v>
      </c>
      <c r="G514" s="108">
        <f t="shared" ref="G514:L514" si="35">SUM(G511:G513)</f>
        <v>15384</v>
      </c>
      <c r="H514" s="108">
        <f t="shared" si="35"/>
        <v>97085</v>
      </c>
      <c r="I514" s="108">
        <f t="shared" si="35"/>
        <v>249</v>
      </c>
      <c r="J514" s="108">
        <f t="shared" si="35"/>
        <v>0</v>
      </c>
      <c r="K514" s="108">
        <f t="shared" si="35"/>
        <v>0</v>
      </c>
      <c r="L514" s="89">
        <f t="shared" si="35"/>
        <v>189248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36337</v>
      </c>
      <c r="I531" s="18"/>
      <c r="J531" s="18"/>
      <c r="K531" s="18"/>
      <c r="L531" s="88">
        <f>SUM(F531:K531)</f>
        <v>36337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36337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36337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76530</v>
      </c>
      <c r="G535" s="89">
        <f t="shared" ref="G535:L535" si="40">G514+G519+G524+G529+G534</f>
        <v>15384</v>
      </c>
      <c r="H535" s="89">
        <f t="shared" si="40"/>
        <v>133422</v>
      </c>
      <c r="I535" s="89">
        <f t="shared" si="40"/>
        <v>249</v>
      </c>
      <c r="J535" s="89">
        <f t="shared" si="40"/>
        <v>0</v>
      </c>
      <c r="K535" s="89">
        <f t="shared" si="40"/>
        <v>0</v>
      </c>
      <c r="L535" s="89">
        <f t="shared" si="40"/>
        <v>225585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189248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36337</v>
      </c>
      <c r="K539" s="87">
        <f>SUM(F539:J539)</f>
        <v>225585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189248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36337</v>
      </c>
      <c r="K542" s="89">
        <f t="shared" si="41"/>
        <v>225585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10217</v>
      </c>
      <c r="G565" s="18">
        <v>596093</v>
      </c>
      <c r="H565" s="18">
        <v>914453</v>
      </c>
      <c r="I565" s="87">
        <f>SUM(F565:H565)</f>
        <v>1520763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93110+3975</f>
        <v>97085</v>
      </c>
      <c r="G569" s="18"/>
      <c r="H569" s="18"/>
      <c r="I569" s="87">
        <f t="shared" si="46"/>
        <v>97085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(114520*0.3497)-0.64+1</f>
        <v>40048.004000000001</v>
      </c>
      <c r="I581" s="18">
        <f>(114520*0.2295)-0.34</f>
        <v>26282</v>
      </c>
      <c r="J581" s="18">
        <f>(114520*0.4208)-0.02</f>
        <v>48189.996000000006</v>
      </c>
      <c r="K581" s="104">
        <f t="shared" ref="K581:K587" si="47">SUM(H581:J581)</f>
        <v>114520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36337</v>
      </c>
      <c r="I582" s="18"/>
      <c r="J582" s="18"/>
      <c r="K582" s="104">
        <f t="shared" si="47"/>
        <v>36337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454+115</f>
        <v>569</v>
      </c>
      <c r="I585" s="18"/>
      <c r="J585" s="18"/>
      <c r="K585" s="104">
        <f t="shared" si="47"/>
        <v>569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76954.004000000001</v>
      </c>
      <c r="I588" s="108">
        <f>SUM(I581:I587)</f>
        <v>26282</v>
      </c>
      <c r="J588" s="108">
        <f>SUM(J581:J587)</f>
        <v>48189.996000000006</v>
      </c>
      <c r="K588" s="108">
        <f>SUM(K581:K587)</f>
        <v>151426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6067+10299</f>
        <v>16366</v>
      </c>
      <c r="I594" s="18"/>
      <c r="J594" s="18"/>
      <c r="K594" s="104">
        <f>SUM(H594:J594)</f>
        <v>16366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16366</v>
      </c>
      <c r="I595" s="108">
        <f>SUM(I592:I594)</f>
        <v>0</v>
      </c>
      <c r="J595" s="108">
        <f>SUM(J592:J594)</f>
        <v>0</v>
      </c>
      <c r="K595" s="108">
        <f>SUM(K592:K594)</f>
        <v>16366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68478</v>
      </c>
      <c r="H607" s="109">
        <f>SUM(F44)</f>
        <v>68478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16217</v>
      </c>
      <c r="H608" s="109">
        <f>SUM(G44)</f>
        <v>16217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4628</v>
      </c>
      <c r="H609" s="109">
        <f>SUM(H44)</f>
        <v>4628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127541</v>
      </c>
      <c r="H611" s="109">
        <f>SUM(J44)</f>
        <v>127541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68478</v>
      </c>
      <c r="H612" s="109">
        <f>F466</f>
        <v>68477.999799999874</v>
      </c>
      <c r="I612" s="121" t="s">
        <v>106</v>
      </c>
      <c r="J612" s="109">
        <f t="shared" ref="J612:J645" si="49">G612-H612</f>
        <v>2.0000012591481209E-4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16217</v>
      </c>
      <c r="H613" s="109">
        <f>G466</f>
        <v>16217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-4663</v>
      </c>
      <c r="H614" s="109">
        <f>H466</f>
        <v>-4663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127541</v>
      </c>
      <c r="H616" s="109">
        <f>J466</f>
        <v>127541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2721467</v>
      </c>
      <c r="H617" s="104">
        <f>SUM(F458)</f>
        <v>2721467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30571</v>
      </c>
      <c r="H618" s="104">
        <f>SUM(G458)</f>
        <v>30571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68632</v>
      </c>
      <c r="H619" s="104">
        <f>SUM(H458)</f>
        <v>68632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2708232.0002000001</v>
      </c>
      <c r="H622" s="104">
        <f>SUM(F462)</f>
        <v>2708232.0002000001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73295</v>
      </c>
      <c r="H623" s="104">
        <f>SUM(H462)</f>
        <v>73295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9151</v>
      </c>
      <c r="H624" s="104">
        <f>I361</f>
        <v>9151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25714</v>
      </c>
      <c r="H625" s="104">
        <f>SUM(G462)</f>
        <v>25714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127541</v>
      </c>
      <c r="H630" s="104">
        <f>SUM(G451)</f>
        <v>127541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127541</v>
      </c>
      <c r="H632" s="104">
        <f>SUM(I451)</f>
        <v>127541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151426</v>
      </c>
      <c r="H637" s="104">
        <f>L200+L218+L236</f>
        <v>151426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16366</v>
      </c>
      <c r="H638" s="104">
        <f>(J249+J330)-(J247+J328)</f>
        <v>16366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76954</v>
      </c>
      <c r="H639" s="104">
        <f>H588</f>
        <v>76954.004000000001</v>
      </c>
      <c r="I639" s="140" t="s">
        <v>412</v>
      </c>
      <c r="J639" s="109">
        <f t="shared" si="49"/>
        <v>-4.0000000008149073E-3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26282</v>
      </c>
      <c r="H640" s="104">
        <f>I588</f>
        <v>26282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48190</v>
      </c>
      <c r="H641" s="104">
        <f>J588</f>
        <v>48189.996000000006</v>
      </c>
      <c r="I641" s="140" t="s">
        <v>414</v>
      </c>
      <c r="J641" s="109">
        <f t="shared" si="49"/>
        <v>3.9999999935389496E-3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12218</v>
      </c>
      <c r="H642" s="104">
        <f>K255+K337</f>
        <v>12218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1.9999966025352478E-4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1012447.1381</v>
      </c>
      <c r="G650" s="19">
        <f>(L221+L301+L351)</f>
        <v>657114.64450000005</v>
      </c>
      <c r="H650" s="19">
        <f>(L239+L320+L352)</f>
        <v>1026335.2176</v>
      </c>
      <c r="I650" s="19">
        <f>SUM(F650:H650)</f>
        <v>2695897.0002000001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9870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9870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76954</v>
      </c>
      <c r="G652" s="19">
        <f>(L218+L298)-(J218+J298)</f>
        <v>26282</v>
      </c>
      <c r="H652" s="19">
        <f>(L236+L317)-(J236+J317)</f>
        <v>48190</v>
      </c>
      <c r="I652" s="19">
        <f>SUM(F652:H652)</f>
        <v>151426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123668</v>
      </c>
      <c r="G653" s="200">
        <f>SUM(G565:G577)+SUM(I592:I594)+L602</f>
        <v>596093</v>
      </c>
      <c r="H653" s="200">
        <f>SUM(H565:H577)+SUM(J592:J594)+L603</f>
        <v>914453</v>
      </c>
      <c r="I653" s="19">
        <f>SUM(F653:H653)</f>
        <v>1634214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801955.13809999998</v>
      </c>
      <c r="G654" s="19">
        <f>G650-SUM(G651:G653)</f>
        <v>34739.644500000053</v>
      </c>
      <c r="H654" s="19">
        <f>H650-SUM(H651:H653)</f>
        <v>63692.217599999974</v>
      </c>
      <c r="I654" s="19">
        <f>I650-SUM(I651:I653)</f>
        <v>900387.00020000013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59.79</v>
      </c>
      <c r="G655" s="249"/>
      <c r="H655" s="249"/>
      <c r="I655" s="19">
        <f>SUM(F655:H655)</f>
        <v>59.79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13412.86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15059.16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-34739.64</v>
      </c>
      <c r="H659" s="18">
        <v>-63692.22</v>
      </c>
      <c r="I659" s="19">
        <f>SUM(F659:H659)</f>
        <v>-98431.86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13412.86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13412.86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81EE-C8E2-4C45-ADCA-77B6DE741DA4}">
  <sheetPr>
    <tabColor indexed="20"/>
  </sheetPr>
  <dimension ref="A1:C52"/>
  <sheetViews>
    <sheetView topLeftCell="A1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WASHINGTON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299180</v>
      </c>
      <c r="C9" s="230">
        <f>'DOE25'!G189+'DOE25'!G207+'DOE25'!G225+'DOE25'!G268+'DOE25'!G287+'DOE25'!G306</f>
        <v>96375</v>
      </c>
    </row>
    <row r="10" spans="1:3" x14ac:dyDescent="0.2">
      <c r="A10" t="s">
        <v>813</v>
      </c>
      <c r="B10" s="241">
        <f>226306+9380+10260+1230</f>
        <v>247176</v>
      </c>
      <c r="C10" s="241">
        <f>96375-3978</f>
        <v>92397</v>
      </c>
    </row>
    <row r="11" spans="1:3" x14ac:dyDescent="0.2">
      <c r="A11" t="s">
        <v>814</v>
      </c>
      <c r="B11" s="241">
        <f>44407+3200+515+3186+75+1</f>
        <v>51384</v>
      </c>
      <c r="C11" s="241">
        <v>3931</v>
      </c>
    </row>
    <row r="12" spans="1:3" x14ac:dyDescent="0.2">
      <c r="A12" t="s">
        <v>815</v>
      </c>
      <c r="B12" s="241">
        <v>620</v>
      </c>
      <c r="C12" s="241">
        <v>47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299180</v>
      </c>
      <c r="C13" s="232">
        <f>SUM(C10:C12)</f>
        <v>96375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76529</v>
      </c>
      <c r="C18" s="230">
        <f>'DOE25'!G190+'DOE25'!G208+'DOE25'!G226+'DOE25'!G269+'DOE25'!G288+'DOE25'!G307</f>
        <v>15384</v>
      </c>
    </row>
    <row r="19" spans="1:3" x14ac:dyDescent="0.2">
      <c r="A19" t="s">
        <v>813</v>
      </c>
      <c r="B19" s="241">
        <f>62708+765</f>
        <v>63473</v>
      </c>
      <c r="C19" s="241">
        <f>15384-999</f>
        <v>14385</v>
      </c>
    </row>
    <row r="20" spans="1:3" x14ac:dyDescent="0.2">
      <c r="A20" t="s">
        <v>814</v>
      </c>
      <c r="B20" s="241">
        <v>13056</v>
      </c>
      <c r="C20" s="241">
        <v>999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76529</v>
      </c>
      <c r="C22" s="232">
        <f>SUM(C19:C21)</f>
        <v>15384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7CB3-7671-49FE-B046-36A4DC5F9FCC}">
  <sheetPr>
    <tabColor indexed="11"/>
  </sheetPr>
  <dimension ref="A1:I51"/>
  <sheetViews>
    <sheetView workbookViewId="0">
      <pane ySplit="4" topLeftCell="A6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WASHINGTON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2097953</v>
      </c>
      <c r="D5" s="20">
        <f>SUM('DOE25'!L189:L192)+SUM('DOE25'!L207:L210)+SUM('DOE25'!L225:L228)-F5-G5</f>
        <v>2090548</v>
      </c>
      <c r="E5" s="244"/>
      <c r="F5" s="256">
        <f>SUM('DOE25'!J189:J192)+SUM('DOE25'!J207:J210)+SUM('DOE25'!J225:J228)</f>
        <v>6067</v>
      </c>
      <c r="G5" s="53">
        <f>SUM('DOE25'!K189:K192)+SUM('DOE25'!K207:K210)+SUM('DOE25'!K225:K228)</f>
        <v>1338</v>
      </c>
      <c r="H5" s="260"/>
    </row>
    <row r="6" spans="1:9" x14ac:dyDescent="0.2">
      <c r="A6" s="32">
        <v>2100</v>
      </c>
      <c r="B6" t="s">
        <v>835</v>
      </c>
      <c r="C6" s="246">
        <f t="shared" si="0"/>
        <v>27097</v>
      </c>
      <c r="D6" s="20">
        <f>'DOE25'!L194+'DOE25'!L212+'DOE25'!L230-F6-G6</f>
        <v>27097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4167</v>
      </c>
      <c r="D7" s="20">
        <f>'DOE25'!L195+'DOE25'!L213+'DOE25'!L231-F7-G7</f>
        <v>4167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114941.88020000001</v>
      </c>
      <c r="D8" s="244"/>
      <c r="E8" s="20">
        <f>'DOE25'!L196+'DOE25'!L214+'DOE25'!L232-F8-G8-D9-D11</f>
        <v>109761.00020000001</v>
      </c>
      <c r="F8" s="256">
        <f>'DOE25'!J196+'DOE25'!J214+'DOE25'!J232</f>
        <v>0</v>
      </c>
      <c r="G8" s="53">
        <f>'DOE25'!K196+'DOE25'!K214+'DOE25'!K232</f>
        <v>5180.880000000001</v>
      </c>
      <c r="H8" s="260"/>
    </row>
    <row r="9" spans="1:9" x14ac:dyDescent="0.2">
      <c r="A9" s="32">
        <v>2310</v>
      </c>
      <c r="B9" t="s">
        <v>852</v>
      </c>
      <c r="C9" s="246">
        <f t="shared" si="0"/>
        <v>8657.1200000000008</v>
      </c>
      <c r="D9" s="245">
        <v>8657.1200000000008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8570</v>
      </c>
      <c r="D10" s="244"/>
      <c r="E10" s="245">
        <v>8570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27769</v>
      </c>
      <c r="D11" s="245">
        <v>27769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56941</v>
      </c>
      <c r="D12" s="20">
        <f>'DOE25'!L197+'DOE25'!L215+'DOE25'!L233-F12-G12</f>
        <v>56941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107936</v>
      </c>
      <c r="D14" s="20">
        <f>'DOE25'!L199+'DOE25'!L217+'DOE25'!L235-F14-G14</f>
        <v>107936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151426</v>
      </c>
      <c r="D15" s="20">
        <f>'DOE25'!L200+'DOE25'!L218+'DOE25'!L236-F15-G15</f>
        <v>151426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99126</v>
      </c>
      <c r="D25" s="244"/>
      <c r="E25" s="244"/>
      <c r="F25" s="259"/>
      <c r="G25" s="257"/>
      <c r="H25" s="258">
        <f>'DOE25'!L252+'DOE25'!L253+'DOE25'!L333+'DOE25'!L334</f>
        <v>99126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16767</v>
      </c>
      <c r="D29" s="20">
        <f>'DOE25'!L350+'DOE25'!L351+'DOE25'!L352-'DOE25'!I359-F29-G29</f>
        <v>16767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73295</v>
      </c>
      <c r="D31" s="20">
        <f>'DOE25'!L282+'DOE25'!L301+'DOE25'!L320+'DOE25'!L325+'DOE25'!L326+'DOE25'!L327-F31-G31</f>
        <v>60654</v>
      </c>
      <c r="E31" s="244"/>
      <c r="F31" s="256">
        <f>'DOE25'!J282+'DOE25'!J301+'DOE25'!J320+'DOE25'!J325+'DOE25'!J326+'DOE25'!J327</f>
        <v>10299</v>
      </c>
      <c r="G31" s="53">
        <f>'DOE25'!K282+'DOE25'!K301+'DOE25'!K320+'DOE25'!K325+'DOE25'!K326+'DOE25'!K327</f>
        <v>2342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2551962.12</v>
      </c>
      <c r="E33" s="247">
        <f>SUM(E5:E31)</f>
        <v>118331.00020000001</v>
      </c>
      <c r="F33" s="247">
        <f>SUM(F5:F31)</f>
        <v>16366</v>
      </c>
      <c r="G33" s="247">
        <f>SUM(G5:G31)</f>
        <v>8860.880000000001</v>
      </c>
      <c r="H33" s="247">
        <f>SUM(H5:H31)</f>
        <v>99126</v>
      </c>
    </row>
    <row r="35" spans="2:8" ht="12" thickBot="1" x14ac:dyDescent="0.25">
      <c r="B35" s="254" t="s">
        <v>881</v>
      </c>
      <c r="D35" s="255">
        <f>E33</f>
        <v>118331.00020000001</v>
      </c>
      <c r="E35" s="250"/>
    </row>
    <row r="36" spans="2:8" ht="12" thickTop="1" x14ac:dyDescent="0.2">
      <c r="B36" t="s">
        <v>849</v>
      </c>
      <c r="D36" s="20">
        <f>D33</f>
        <v>2551962.12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AB31-7C35-49E2-B369-7E3E10BAF82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56462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127541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12016</v>
      </c>
      <c r="D12" s="95">
        <f>'DOE25'!G12</f>
        <v>3515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484</v>
      </c>
      <c r="E13" s="95">
        <f>'DOE25'!H13</f>
        <v>4628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12218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68478</v>
      </c>
      <c r="D19" s="41">
        <f>SUM(D9:D18)</f>
        <v>16217</v>
      </c>
      <c r="E19" s="41">
        <f>SUM(E9:E18)</f>
        <v>4628</v>
      </c>
      <c r="F19" s="41">
        <f>SUM(F9:F18)</f>
        <v>0</v>
      </c>
      <c r="G19" s="41">
        <f>SUM(G9:G18)</f>
        <v>127541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7383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1908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9291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13295</v>
      </c>
      <c r="D36" s="95">
        <f>'DOE25'!G37</f>
        <v>204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16013</v>
      </c>
      <c r="E40" s="95">
        <f>'DOE25'!H41</f>
        <v>-4663</v>
      </c>
      <c r="F40" s="95">
        <f>'DOE25'!I41</f>
        <v>0</v>
      </c>
      <c r="G40" s="95">
        <f>'DOE25'!J41</f>
        <v>127541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55183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68478</v>
      </c>
      <c r="D42" s="41">
        <f>SUM(D34:D41)</f>
        <v>16217</v>
      </c>
      <c r="E42" s="41">
        <f>SUM(E34:E41)</f>
        <v>-4663</v>
      </c>
      <c r="F42" s="41">
        <f>SUM(F34:F41)</f>
        <v>0</v>
      </c>
      <c r="G42" s="41">
        <f>SUM(G34:G41)</f>
        <v>127541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68478</v>
      </c>
      <c r="D43" s="41">
        <f>D42+D32</f>
        <v>16217</v>
      </c>
      <c r="E43" s="41">
        <f>E42+E32</f>
        <v>4628</v>
      </c>
      <c r="F43" s="41">
        <f>F42+F32</f>
        <v>0</v>
      </c>
      <c r="G43" s="41">
        <f>G42+G32</f>
        <v>127541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1997455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9870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1972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1972</v>
      </c>
      <c r="D54" s="130">
        <f>SUM(D49:D53)</f>
        <v>9870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1999427</v>
      </c>
      <c r="D55" s="22">
        <f>D48+D54</f>
        <v>9870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68265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564313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26191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658769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19921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25802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314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45723</v>
      </c>
      <c r="D70" s="130">
        <f>SUM(D64:D69)</f>
        <v>314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704492</v>
      </c>
      <c r="D73" s="130">
        <f>SUM(D71:D72)+D70+D62</f>
        <v>314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17548</v>
      </c>
      <c r="D80" s="95">
        <f>SUM('DOE25'!G145:G153)</f>
        <v>8169</v>
      </c>
      <c r="E80" s="95">
        <f>SUM('DOE25'!H145:H153)</f>
        <v>68632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17548</v>
      </c>
      <c r="D83" s="131">
        <f>SUM(D77:D82)</f>
        <v>8169</v>
      </c>
      <c r="E83" s="131">
        <f>SUM(E77:E82)</f>
        <v>68632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12218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12218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2721467</v>
      </c>
      <c r="D96" s="86">
        <f>D55+D73+D83+D95</f>
        <v>30571</v>
      </c>
      <c r="E96" s="86">
        <f>E55+E73+E83+E95</f>
        <v>68632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1908706</v>
      </c>
      <c r="D101" s="24" t="s">
        <v>312</v>
      </c>
      <c r="E101" s="95">
        <f>('DOE25'!L268)+('DOE25'!L287)+('DOE25'!L306)</f>
        <v>73295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189247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2097953</v>
      </c>
      <c r="D107" s="86">
        <f>SUM(D101:D106)</f>
        <v>0</v>
      </c>
      <c r="E107" s="86">
        <f>SUM(E101:E106)</f>
        <v>73295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27097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4167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151368.00020000001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56941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107936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151426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25714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498935.00020000001</v>
      </c>
      <c r="D120" s="86">
        <f>SUM(D110:D119)</f>
        <v>25714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24126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12218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111344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2708232.0002000001</v>
      </c>
      <c r="D137" s="86">
        <f>(D107+D120+D136)</f>
        <v>25714</v>
      </c>
      <c r="E137" s="86">
        <f>(E107+E120+E136)</f>
        <v>73295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8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08/16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1105012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75000</v>
      </c>
    </row>
    <row r="151" spans="1:7" x14ac:dyDescent="0.2">
      <c r="A151" s="22" t="s">
        <v>35</v>
      </c>
      <c r="B151" s="137">
        <f>'DOE25'!F488</f>
        <v>505000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505000</v>
      </c>
    </row>
    <row r="152" spans="1:7" x14ac:dyDescent="0.2">
      <c r="A152" s="22" t="s">
        <v>36</v>
      </c>
      <c r="B152" s="137">
        <f>'DOE25'!F489</f>
        <v>81936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81936</v>
      </c>
    </row>
    <row r="153" spans="1:7" x14ac:dyDescent="0.2">
      <c r="A153" s="22" t="s">
        <v>37</v>
      </c>
      <c r="B153" s="137">
        <f>'DOE25'!F490</f>
        <v>586936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586936</v>
      </c>
    </row>
    <row r="154" spans="1:7" x14ac:dyDescent="0.2">
      <c r="A154" s="22" t="s">
        <v>38</v>
      </c>
      <c r="B154" s="137">
        <f>'DOE25'!F491</f>
        <v>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75000</v>
      </c>
    </row>
    <row r="155" spans="1:7" x14ac:dyDescent="0.2">
      <c r="A155" s="22" t="s">
        <v>39</v>
      </c>
      <c r="B155" s="137">
        <f>'DOE25'!F492</f>
        <v>21580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21580</v>
      </c>
    </row>
    <row r="156" spans="1:7" x14ac:dyDescent="0.2">
      <c r="A156" s="22" t="s">
        <v>269</v>
      </c>
      <c r="B156" s="137">
        <f>'DOE25'!F493</f>
        <v>96580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96580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8F99-B974-4D0A-9C93-E732ECD407A8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WASHINGTON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13413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13413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1982001</v>
      </c>
      <c r="D10" s="182">
        <f>ROUND((C10/$C$28)*100,1)</f>
        <v>73.099999999999994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189247</v>
      </c>
      <c r="D11" s="182">
        <f>ROUND((C11/$C$28)*100,1)</f>
        <v>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27097</v>
      </c>
      <c r="D15" s="182">
        <f t="shared" ref="D15:D27" si="0">ROUND((C15/$C$28)*100,1)</f>
        <v>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4167</v>
      </c>
      <c r="D16" s="182">
        <f t="shared" si="0"/>
        <v>0.2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151368</v>
      </c>
      <c r="D17" s="182">
        <f t="shared" si="0"/>
        <v>5.6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56941</v>
      </c>
      <c r="D18" s="182">
        <f t="shared" si="0"/>
        <v>2.1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107936</v>
      </c>
      <c r="D20" s="182">
        <f t="shared" si="0"/>
        <v>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151426</v>
      </c>
      <c r="D21" s="182">
        <f t="shared" si="0"/>
        <v>5.6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24126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15844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2710153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2710153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1997455</v>
      </c>
      <c r="D35" s="182">
        <f t="shared" ref="D35:D40" si="1">ROUND((C35/$C$41)*100,1)</f>
        <v>71.400000000000006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1972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632578</v>
      </c>
      <c r="D37" s="182">
        <f t="shared" si="1"/>
        <v>22.6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72228</v>
      </c>
      <c r="D38" s="182">
        <f t="shared" si="1"/>
        <v>2.6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94349</v>
      </c>
      <c r="D39" s="182">
        <f t="shared" si="1"/>
        <v>3.4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2798582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110"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FF0-8E24-4D4B-86C3-A62943CBF9C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WASHINGTON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P40:CZ40"/>
    <mergeCell ref="DC40:DM40"/>
    <mergeCell ref="EP40:EZ40"/>
    <mergeCell ref="DP40:DZ40"/>
    <mergeCell ref="AP39:AZ39"/>
    <mergeCell ref="C39:M39"/>
    <mergeCell ref="AC40:AM40"/>
    <mergeCell ref="C42:M42"/>
    <mergeCell ref="IC40:IM40"/>
    <mergeCell ref="IP40:IV40"/>
    <mergeCell ref="GC40:GM40"/>
    <mergeCell ref="GP40:GZ40"/>
    <mergeCell ref="HC40:HM40"/>
    <mergeCell ref="HP40:HZ40"/>
    <mergeCell ref="C52:M52"/>
    <mergeCell ref="C50:M50"/>
    <mergeCell ref="C47:M47"/>
    <mergeCell ref="C48:M48"/>
    <mergeCell ref="C49:M49"/>
    <mergeCell ref="C43:M43"/>
    <mergeCell ref="C51:M51"/>
    <mergeCell ref="C45:M45"/>
    <mergeCell ref="C46:M46"/>
    <mergeCell ref="C44:M44"/>
    <mergeCell ref="DC39:DM39"/>
    <mergeCell ref="DP39:DZ39"/>
    <mergeCell ref="EC39:EM39"/>
    <mergeCell ref="GC39:GM39"/>
    <mergeCell ref="BC40:BM40"/>
    <mergeCell ref="BP40:BZ40"/>
    <mergeCell ref="EC40:EM40"/>
    <mergeCell ref="FC40:FM40"/>
    <mergeCell ref="FP40:FZ40"/>
    <mergeCell ref="CC40:CM40"/>
    <mergeCell ref="HC38:HM38"/>
    <mergeCell ref="GP38:GZ38"/>
    <mergeCell ref="HP39:HZ39"/>
    <mergeCell ref="IC39:IM39"/>
    <mergeCell ref="HC39:HM39"/>
    <mergeCell ref="GP39:GZ39"/>
    <mergeCell ref="HP38:HZ38"/>
    <mergeCell ref="IC38:IM38"/>
    <mergeCell ref="FP38:FZ38"/>
    <mergeCell ref="GC38:GM38"/>
    <mergeCell ref="DP32:DZ32"/>
    <mergeCell ref="IP38:IV38"/>
    <mergeCell ref="CC39:CM39"/>
    <mergeCell ref="CP39:CZ39"/>
    <mergeCell ref="IP39:IV39"/>
    <mergeCell ref="EP39:EZ39"/>
    <mergeCell ref="FC39:FM39"/>
    <mergeCell ref="FP39:FZ39"/>
    <mergeCell ref="CC32:CM32"/>
    <mergeCell ref="CP38:CZ38"/>
    <mergeCell ref="DC38:DM38"/>
    <mergeCell ref="DC32:DM32"/>
    <mergeCell ref="EP38:EZ38"/>
    <mergeCell ref="FC38:FM38"/>
    <mergeCell ref="EC38:EM38"/>
    <mergeCell ref="DP38:DZ38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CC38:CM38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GP31:GZ31"/>
    <mergeCell ref="DC31:DM31"/>
    <mergeCell ref="FC30:FM30"/>
    <mergeCell ref="CC30:CM30"/>
    <mergeCell ref="CP30:CZ30"/>
    <mergeCell ref="DC30:DM30"/>
    <mergeCell ref="DP30:DZ30"/>
    <mergeCell ref="EC30:EM30"/>
    <mergeCell ref="EP30:EZ30"/>
    <mergeCell ref="BC30:BM30"/>
    <mergeCell ref="BC31:BM31"/>
    <mergeCell ref="BC32:BM32"/>
    <mergeCell ref="BC39:BM39"/>
    <mergeCell ref="BP31:BZ31"/>
    <mergeCell ref="BC38:BM38"/>
    <mergeCell ref="BP38:BZ38"/>
    <mergeCell ref="BP39:BZ39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CP29:CZ29"/>
    <mergeCell ref="DC29:DM29"/>
    <mergeCell ref="DP29:DZ29"/>
    <mergeCell ref="EC29:EM29"/>
    <mergeCell ref="EP29:EZ29"/>
    <mergeCell ref="P29:Z29"/>
    <mergeCell ref="AC29:AM29"/>
    <mergeCell ref="C41:M41"/>
    <mergeCell ref="C33:M33"/>
    <mergeCell ref="AP40:AZ40"/>
    <mergeCell ref="P38:Z38"/>
    <mergeCell ref="AC38:AM38"/>
    <mergeCell ref="AP38:AZ38"/>
    <mergeCell ref="C40:M40"/>
    <mergeCell ref="P40:Z40"/>
    <mergeCell ref="P39:Z39"/>
    <mergeCell ref="AC39:AM39"/>
    <mergeCell ref="IC29:IM29"/>
    <mergeCell ref="HC29:HM29"/>
    <mergeCell ref="HP29:HZ29"/>
    <mergeCell ref="AC31:AM31"/>
    <mergeCell ref="AP31:AZ31"/>
    <mergeCell ref="P30:Z30"/>
    <mergeCell ref="AC30:AM30"/>
    <mergeCell ref="AP30:AZ30"/>
    <mergeCell ref="GC29:GM29"/>
    <mergeCell ref="GP29:GZ29"/>
    <mergeCell ref="C10:M10"/>
    <mergeCell ref="C11:M11"/>
    <mergeCell ref="C12:M12"/>
    <mergeCell ref="AP32:AZ32"/>
    <mergeCell ref="FC29:FM29"/>
    <mergeCell ref="FP29:FZ29"/>
    <mergeCell ref="AC32:AM32"/>
    <mergeCell ref="BC29:BM29"/>
    <mergeCell ref="BP29:BZ29"/>
    <mergeCell ref="CC29:CM29"/>
    <mergeCell ref="C31:M31"/>
    <mergeCell ref="P31:Z31"/>
    <mergeCell ref="P32:Z32"/>
    <mergeCell ref="IP29:IV29"/>
    <mergeCell ref="C5:M5"/>
    <mergeCell ref="C6:M6"/>
    <mergeCell ref="C7:M7"/>
    <mergeCell ref="C8:M8"/>
    <mergeCell ref="AP29:AZ29"/>
    <mergeCell ref="C9:M9"/>
    <mergeCell ref="C59:M59"/>
    <mergeCell ref="C60:M60"/>
    <mergeCell ref="C58:M58"/>
    <mergeCell ref="A2:E2"/>
    <mergeCell ref="A1:I1"/>
    <mergeCell ref="C3:M3"/>
    <mergeCell ref="C4:M4"/>
    <mergeCell ref="F2:I2"/>
    <mergeCell ref="C32:M32"/>
    <mergeCell ref="C30:M30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2010-09-14T18:14:48Z</cp:lastPrinted>
  <dcterms:created xsi:type="dcterms:W3CDTF">1997-12-04T19:04:30Z</dcterms:created>
  <dcterms:modified xsi:type="dcterms:W3CDTF">2025-01-09T20:18:31Z</dcterms:modified>
</cp:coreProperties>
</file>