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41D420E-3FD5-46C1-A06F-9FF96B6B651E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7844DF21-5359-4639-ACE0-EE85AB20F2F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E16" i="13" s="1"/>
  <c r="C16" i="13" s="1"/>
  <c r="L201" i="1"/>
  <c r="L219" i="1"/>
  <c r="L237" i="1"/>
  <c r="F5" i="13"/>
  <c r="D5" i="13" s="1"/>
  <c r="G5" i="13"/>
  <c r="L189" i="1"/>
  <c r="L190" i="1"/>
  <c r="L191" i="1"/>
  <c r="L192" i="1"/>
  <c r="C13" i="10" s="1"/>
  <c r="L207" i="1"/>
  <c r="L208" i="1"/>
  <c r="L209" i="1"/>
  <c r="L210" i="1"/>
  <c r="L225" i="1"/>
  <c r="L239" i="1" s="1"/>
  <c r="H650" i="1" s="1"/>
  <c r="L226" i="1"/>
  <c r="C11" i="10" s="1"/>
  <c r="L227" i="1"/>
  <c r="C103" i="2" s="1"/>
  <c r="L228" i="1"/>
  <c r="F6" i="13"/>
  <c r="G6" i="13"/>
  <c r="L194" i="1"/>
  <c r="D6" i="13" s="1"/>
  <c r="C6" i="13" s="1"/>
  <c r="L212" i="1"/>
  <c r="L230" i="1"/>
  <c r="F7" i="13"/>
  <c r="G7" i="13"/>
  <c r="G33" i="13" s="1"/>
  <c r="L195" i="1"/>
  <c r="D7" i="13" s="1"/>
  <c r="C7" i="13" s="1"/>
  <c r="L213" i="1"/>
  <c r="L221" i="1" s="1"/>
  <c r="G650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E101" i="2" s="1"/>
  <c r="E107" i="2" s="1"/>
  <c r="L269" i="1"/>
  <c r="L270" i="1"/>
  <c r="L271" i="1"/>
  <c r="L273" i="1"/>
  <c r="L274" i="1"/>
  <c r="L275" i="1"/>
  <c r="L276" i="1"/>
  <c r="L277" i="1"/>
  <c r="L278" i="1"/>
  <c r="L279" i="1"/>
  <c r="C21" i="10" s="1"/>
  <c r="L280" i="1"/>
  <c r="E117" i="2" s="1"/>
  <c r="L282" i="1"/>
  <c r="D31" i="13" s="1"/>
  <c r="C31" i="13" s="1"/>
  <c r="L287" i="1"/>
  <c r="L288" i="1"/>
  <c r="L301" i="1" s="1"/>
  <c r="L289" i="1"/>
  <c r="L290" i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L334" i="1"/>
  <c r="L247" i="1"/>
  <c r="L328" i="1"/>
  <c r="F22" i="13" s="1"/>
  <c r="C22" i="13" s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4" i="2" s="1"/>
  <c r="G53" i="2"/>
  <c r="F2" i="11"/>
  <c r="L603" i="1"/>
  <c r="H653" i="1"/>
  <c r="L602" i="1"/>
  <c r="G653" i="1" s="1"/>
  <c r="L601" i="1"/>
  <c r="F653" i="1" s="1"/>
  <c r="I653" i="1" s="1"/>
  <c r="C40" i="10"/>
  <c r="F52" i="1"/>
  <c r="F104" i="1" s="1"/>
  <c r="F185" i="1" s="1"/>
  <c r="G617" i="1" s="1"/>
  <c r="J617" i="1" s="1"/>
  <c r="G52" i="1"/>
  <c r="H52" i="1"/>
  <c r="I52" i="1"/>
  <c r="F71" i="1"/>
  <c r="C49" i="2" s="1"/>
  <c r="C54" i="2" s="1"/>
  <c r="F86" i="1"/>
  <c r="C50" i="2" s="1"/>
  <c r="F103" i="1"/>
  <c r="G103" i="1"/>
  <c r="G104" i="1" s="1"/>
  <c r="G185" i="1" s="1"/>
  <c r="G618" i="1" s="1"/>
  <c r="J618" i="1" s="1"/>
  <c r="H71" i="1"/>
  <c r="H86" i="1"/>
  <c r="H104" i="1" s="1"/>
  <c r="H185" i="1" s="1"/>
  <c r="G619" i="1" s="1"/>
  <c r="J619" i="1" s="1"/>
  <c r="H103" i="1"/>
  <c r="I103" i="1"/>
  <c r="I104" i="1"/>
  <c r="J103" i="1"/>
  <c r="J104" i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85" i="1" s="1"/>
  <c r="G620" i="1" s="1"/>
  <c r="J620" i="1" s="1"/>
  <c r="I128" i="1"/>
  <c r="J113" i="1"/>
  <c r="J132" i="1" s="1"/>
  <c r="J128" i="1"/>
  <c r="F139" i="1"/>
  <c r="F154" i="1"/>
  <c r="F161" i="1" s="1"/>
  <c r="C39" i="10" s="1"/>
  <c r="G139" i="1"/>
  <c r="G154" i="1"/>
  <c r="G161" i="1"/>
  <c r="H139" i="1"/>
  <c r="H161" i="1" s="1"/>
  <c r="H154" i="1"/>
  <c r="I139" i="1"/>
  <c r="I154" i="1"/>
  <c r="I161" i="1"/>
  <c r="C15" i="10"/>
  <c r="C18" i="10"/>
  <c r="L242" i="1"/>
  <c r="C23" i="10" s="1"/>
  <c r="L324" i="1"/>
  <c r="E105" i="2" s="1"/>
  <c r="L246" i="1"/>
  <c r="L260" i="1"/>
  <c r="L261" i="1"/>
  <c r="L341" i="1"/>
  <c r="E134" i="2" s="1"/>
  <c r="L342" i="1"/>
  <c r="E135" i="2" s="1"/>
  <c r="C26" i="10"/>
  <c r="I655" i="1"/>
  <c r="I660" i="1"/>
  <c r="I659" i="1"/>
  <c r="C6" i="10"/>
  <c r="C5" i="10"/>
  <c r="C42" i="10"/>
  <c r="L366" i="1"/>
  <c r="L367" i="1"/>
  <c r="C29" i="10" s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L513" i="1"/>
  <c r="F541" i="1"/>
  <c r="L516" i="1"/>
  <c r="G539" i="1"/>
  <c r="G542" i="1" s="1"/>
  <c r="L517" i="1"/>
  <c r="L519" i="1" s="1"/>
  <c r="G540" i="1"/>
  <c r="K540" i="1" s="1"/>
  <c r="L518" i="1"/>
  <c r="G541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 s="1"/>
  <c r="L531" i="1"/>
  <c r="J539" i="1"/>
  <c r="L532" i="1"/>
  <c r="J540" i="1"/>
  <c r="L533" i="1"/>
  <c r="L534" i="1" s="1"/>
  <c r="J541" i="1"/>
  <c r="J542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D19" i="2" s="1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D48" i="2"/>
  <c r="E48" i="2"/>
  <c r="F48" i="2"/>
  <c r="E49" i="2"/>
  <c r="E50" i="2"/>
  <c r="C51" i="2"/>
  <c r="D51" i="2"/>
  <c r="D54" i="2" s="1"/>
  <c r="D55" i="2" s="1"/>
  <c r="E51" i="2"/>
  <c r="E54" i="2" s="1"/>
  <c r="E55" i="2" s="1"/>
  <c r="F51" i="2"/>
  <c r="F54" i="2" s="1"/>
  <c r="F55" i="2" s="1"/>
  <c r="D52" i="2"/>
  <c r="C53" i="2"/>
  <c r="D53" i="2"/>
  <c r="E53" i="2"/>
  <c r="F53" i="2"/>
  <c r="C58" i="2"/>
  <c r="C59" i="2"/>
  <c r="C62" i="2" s="1"/>
  <c r="C61" i="2"/>
  <c r="D61" i="2"/>
  <c r="E61" i="2"/>
  <c r="F61" i="2"/>
  <c r="G61" i="2"/>
  <c r="D62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C70" i="2" s="1"/>
  <c r="C73" i="2" s="1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C86" i="2"/>
  <c r="F86" i="2"/>
  <c r="D88" i="2"/>
  <c r="E88" i="2"/>
  <c r="E95" i="2" s="1"/>
  <c r="F88" i="2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F95" i="2" s="1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102" i="2"/>
  <c r="E103" i="2"/>
  <c r="C104" i="2"/>
  <c r="E104" i="2"/>
  <c r="C105" i="2"/>
  <c r="E106" i="2"/>
  <c r="D107" i="2"/>
  <c r="F107" i="2"/>
  <c r="F137" i="2" s="1"/>
  <c r="G107" i="2"/>
  <c r="C110" i="2"/>
  <c r="E110" i="2"/>
  <c r="E111" i="2"/>
  <c r="C112" i="2"/>
  <c r="E112" i="2"/>
  <c r="C113" i="2"/>
  <c r="E113" i="2"/>
  <c r="E114" i="2"/>
  <c r="C116" i="2"/>
  <c r="C117" i="2"/>
  <c r="F120" i="2"/>
  <c r="G120" i="2"/>
  <c r="G137" i="2" s="1"/>
  <c r="C122" i="2"/>
  <c r="E122" i="2"/>
  <c r="D126" i="2"/>
  <c r="E126" i="2"/>
  <c r="F126" i="2"/>
  <c r="K411" i="1"/>
  <c r="K419" i="1"/>
  <c r="K426" i="1" s="1"/>
  <c r="G126" i="2" s="1"/>
  <c r="G136" i="2" s="1"/>
  <c r="K425" i="1"/>
  <c r="L255" i="1"/>
  <c r="C127" i="2"/>
  <c r="L256" i="1"/>
  <c r="C128" i="2" s="1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K493" i="1" s="1"/>
  <c r="I493" i="1"/>
  <c r="E156" i="2"/>
  <c r="J493" i="1"/>
  <c r="F156" i="2"/>
  <c r="F19" i="1"/>
  <c r="G607" i="1" s="1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I44" i="1" s="1"/>
  <c r="H610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F249" i="1" s="1"/>
  <c r="F263" i="1" s="1"/>
  <c r="G203" i="1"/>
  <c r="H203" i="1"/>
  <c r="I203" i="1"/>
  <c r="J203" i="1"/>
  <c r="K203" i="1"/>
  <c r="K249" i="1" s="1"/>
  <c r="K263" i="1" s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I393" i="1"/>
  <c r="I400" i="1" s="1"/>
  <c r="F399" i="1"/>
  <c r="G399" i="1"/>
  <c r="H399" i="1"/>
  <c r="I399" i="1"/>
  <c r="H400" i="1"/>
  <c r="L405" i="1"/>
  <c r="L406" i="1"/>
  <c r="L407" i="1"/>
  <c r="L411" i="1" s="1"/>
  <c r="L408" i="1"/>
  <c r="L409" i="1"/>
  <c r="L410" i="1"/>
  <c r="F411" i="1"/>
  <c r="F426" i="1" s="1"/>
  <c r="G411" i="1"/>
  <c r="H411" i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H426" i="1" s="1"/>
  <c r="I425" i="1"/>
  <c r="J425" i="1"/>
  <c r="G426" i="1"/>
  <c r="J426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F460" i="1"/>
  <c r="G460" i="1"/>
  <c r="H460" i="1"/>
  <c r="I460" i="1"/>
  <c r="I466" i="1" s="1"/>
  <c r="H615" i="1" s="1"/>
  <c r="J615" i="1" s="1"/>
  <c r="J460" i="1"/>
  <c r="J466" i="1" s="1"/>
  <c r="H616" i="1" s="1"/>
  <c r="F464" i="1"/>
  <c r="G464" i="1"/>
  <c r="G466" i="1" s="1"/>
  <c r="H613" i="1" s="1"/>
  <c r="H464" i="1"/>
  <c r="H466" i="1" s="1"/>
  <c r="H614" i="1" s="1"/>
  <c r="I464" i="1"/>
  <c r="J464" i="1"/>
  <c r="F466" i="1"/>
  <c r="H612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J535" i="1" s="1"/>
  <c r="K514" i="1"/>
  <c r="L514" i="1"/>
  <c r="L535" i="1" s="1"/>
  <c r="F519" i="1"/>
  <c r="G519" i="1"/>
  <c r="H519" i="1"/>
  <c r="I519" i="1"/>
  <c r="J519" i="1"/>
  <c r="K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J637" i="1" s="1"/>
  <c r="H588" i="1"/>
  <c r="H639" i="1" s="1"/>
  <c r="J639" i="1" s="1"/>
  <c r="I588" i="1"/>
  <c r="H640" i="1" s="1"/>
  <c r="J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J609" i="1" s="1"/>
  <c r="G610" i="1"/>
  <c r="J610" i="1" s="1"/>
  <c r="G613" i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3" i="1"/>
  <c r="J633" i="1" s="1"/>
  <c r="G634" i="1"/>
  <c r="J634" i="1" s="1"/>
  <c r="H634" i="1"/>
  <c r="G635" i="1"/>
  <c r="H637" i="1"/>
  <c r="G639" i="1"/>
  <c r="G640" i="1"/>
  <c r="G641" i="1"/>
  <c r="J641" i="1" s="1"/>
  <c r="H641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C96" i="2" l="1"/>
  <c r="G32" i="2"/>
  <c r="J19" i="1"/>
  <c r="G611" i="1" s="1"/>
  <c r="J185" i="1"/>
  <c r="J638" i="1"/>
  <c r="G153" i="2"/>
  <c r="I542" i="1"/>
  <c r="L330" i="1"/>
  <c r="L344" i="1" s="1"/>
  <c r="G623" i="1" s="1"/>
  <c r="J623" i="1" s="1"/>
  <c r="C120" i="2"/>
  <c r="D96" i="2"/>
  <c r="C5" i="13"/>
  <c r="D33" i="13"/>
  <c r="D36" i="13" s="1"/>
  <c r="F96" i="2"/>
  <c r="J607" i="1"/>
  <c r="L400" i="1"/>
  <c r="C130" i="2"/>
  <c r="C133" i="2" s="1"/>
  <c r="G654" i="1"/>
  <c r="C8" i="13"/>
  <c r="E33" i="13"/>
  <c r="D35" i="13" s="1"/>
  <c r="J630" i="1"/>
  <c r="G42" i="2"/>
  <c r="G43" i="2" s="1"/>
  <c r="K539" i="1"/>
  <c r="F542" i="1"/>
  <c r="L426" i="1"/>
  <c r="G628" i="1" s="1"/>
  <c r="J628" i="1" s="1"/>
  <c r="J43" i="1"/>
  <c r="D43" i="2"/>
  <c r="E136" i="2"/>
  <c r="L561" i="1"/>
  <c r="K541" i="1"/>
  <c r="C38" i="10"/>
  <c r="J613" i="1"/>
  <c r="G19" i="2"/>
  <c r="G55" i="2"/>
  <c r="G96" i="2" s="1"/>
  <c r="H33" i="13"/>
  <c r="C25" i="13"/>
  <c r="C115" i="2"/>
  <c r="J33" i="1"/>
  <c r="C101" i="2"/>
  <c r="L203" i="1"/>
  <c r="C17" i="10"/>
  <c r="C35" i="10"/>
  <c r="I450" i="1"/>
  <c r="I451" i="1" s="1"/>
  <c r="H632" i="1" s="1"/>
  <c r="C102" i="2"/>
  <c r="C19" i="10"/>
  <c r="C114" i="2"/>
  <c r="G612" i="1"/>
  <c r="J612" i="1" s="1"/>
  <c r="J263" i="1"/>
  <c r="D156" i="2"/>
  <c r="G156" i="2" s="1"/>
  <c r="E77" i="2"/>
  <c r="E83" i="2" s="1"/>
  <c r="E96" i="2" s="1"/>
  <c r="L343" i="1"/>
  <c r="F652" i="1"/>
  <c r="I652" i="1" s="1"/>
  <c r="C16" i="10"/>
  <c r="C106" i="2"/>
  <c r="C25" i="10"/>
  <c r="F33" i="13"/>
  <c r="D119" i="2"/>
  <c r="D120" i="2" s="1"/>
  <c r="D137" i="2" s="1"/>
  <c r="H651" i="1"/>
  <c r="H654" i="1" s="1"/>
  <c r="C32" i="10"/>
  <c r="C12" i="10"/>
  <c r="L604" i="1"/>
  <c r="C111" i="2"/>
  <c r="F651" i="1"/>
  <c r="I651" i="1" s="1"/>
  <c r="L354" i="1"/>
  <c r="I438" i="1"/>
  <c r="G632" i="1" s="1"/>
  <c r="E116" i="2"/>
  <c r="E120" i="2" s="1"/>
  <c r="E137" i="2" s="1"/>
  <c r="C10" i="10"/>
  <c r="L374" i="1"/>
  <c r="G626" i="1" s="1"/>
  <c r="J626" i="1" s="1"/>
  <c r="C123" i="2"/>
  <c r="C136" i="2" s="1"/>
  <c r="H662" i="1" l="1"/>
  <c r="H657" i="1"/>
  <c r="C36" i="10"/>
  <c r="L249" i="1"/>
  <c r="L263" i="1" s="1"/>
  <c r="G622" i="1" s="1"/>
  <c r="J622" i="1" s="1"/>
  <c r="F650" i="1"/>
  <c r="C107" i="2"/>
  <c r="C137" i="2" s="1"/>
  <c r="G662" i="1"/>
  <c r="G657" i="1"/>
  <c r="J632" i="1"/>
  <c r="G616" i="1"/>
  <c r="J44" i="1"/>
  <c r="H611" i="1" s="1"/>
  <c r="J611" i="1" s="1"/>
  <c r="G636" i="1"/>
  <c r="G621" i="1"/>
  <c r="J621" i="1" s="1"/>
  <c r="G627" i="1"/>
  <c r="J627" i="1" s="1"/>
  <c r="H636" i="1"/>
  <c r="C27" i="10"/>
  <c r="G625" i="1"/>
  <c r="J625" i="1" s="1"/>
  <c r="K542" i="1"/>
  <c r="C28" i="10" l="1"/>
  <c r="I650" i="1"/>
  <c r="I654" i="1" s="1"/>
  <c r="F654" i="1"/>
  <c r="J636" i="1"/>
  <c r="J616" i="1"/>
  <c r="H646" i="1"/>
  <c r="C41" i="10"/>
  <c r="D15" i="10" l="1"/>
  <c r="C30" i="10"/>
  <c r="D22" i="10"/>
  <c r="D18" i="10"/>
  <c r="D23" i="10"/>
  <c r="D21" i="10"/>
  <c r="D24" i="10"/>
  <c r="D11" i="10"/>
  <c r="D13" i="10"/>
  <c r="D26" i="10"/>
  <c r="D20" i="10"/>
  <c r="D10" i="10"/>
  <c r="D28" i="10" s="1"/>
  <c r="D12" i="10"/>
  <c r="D19" i="10"/>
  <c r="D17" i="10"/>
  <c r="D25" i="10"/>
  <c r="D16" i="10"/>
  <c r="D27" i="10"/>
  <c r="D40" i="10"/>
  <c r="D37" i="10"/>
  <c r="D39" i="10"/>
  <c r="D35" i="10"/>
  <c r="D38" i="10"/>
  <c r="D36" i="10"/>
  <c r="F662" i="1"/>
  <c r="C4" i="10" s="1"/>
  <c r="F657" i="1"/>
  <c r="I662" i="1"/>
  <c r="C7" i="10" s="1"/>
  <c r="I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C921143-2676-43C1-AB2A-C31ACA46D50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16E14F6-406B-4A3E-B104-67EBDE00E50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803DDFC-FB92-41A5-9D0F-3A1F403A439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1CB7EBB-560F-42DE-A453-123F17E3D7B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70CF461-81F9-44EC-B9B4-0B0BF9C60C3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1D6B361-647D-410F-8851-202EFF97EB4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DD58122-E499-4C17-9146-A77908B4CDF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0EB130E-832C-4A9D-86D4-25058226C57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B39BA29-5BCC-47AE-997E-04F2EE15D2C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D934C64-64A0-4351-B701-2AC146C78DF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5A0FAC7-F134-492E-8CAE-0136E53EE4F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23B2E94-62F6-4432-A034-4C8CD3357E3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<sst xmlns="http://schemas.openxmlformats.org/spreadsheetml/2006/main" count="3862" uniqueCount="899">
  <si>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</si>
  <si>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</si>
  <si>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</si>
  <si>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</si>
  <si>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</si>
  <si>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</si>
  <si>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</si>
  <si>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</si>
  <si>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</si>
  <si>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</si>
  <si>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</si>
  <si>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</si>
  <si>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</si>
  <si>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</si>
  <si>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</si>
  <si>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</si>
  <si>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</si>
  <si>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</si>
  <si>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</si>
  <si>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</si>
  <si>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</si>
  <si>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</si>
  <si>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</si>
  <si>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</si>
  <si>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</si>
  <si>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</si>
  <si>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</si>
  <si>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</si>
  <si>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</si>
  <si>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</si>
  <si>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</si>
  <si>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</si>
  <si>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</si>
  <si>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</si>
  <si>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</si>
  <si>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</si>
  <si>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</si>
  <si>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</si>
  <si>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</si>
  <si>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</si>
  <si>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</si>
  <si>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</si>
  <si>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</si>
  <si>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</si>
  <si>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</si>
  <si>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</si>
  <si>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</si>
  <si>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</si>
  <si>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</si>
  <si>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</si>
  <si>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</si>
  <si>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</si>
  <si>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</si>
  <si>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</si>
  <si>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</si>
  <si>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</si>
  <si>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</si>
  <si>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</si>
  <si>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</si>
  <si>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</si>
  <si>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</si>
  <si>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</si>
  <si>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</si>
  <si>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</si>
  <si>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</si>
  <si>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</si>
  <si>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</si>
  <si>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</si>
  <si>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</si>
  <si>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</si>
  <si>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</si>
  <si>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</si>
  <si>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</si>
  <si>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</si>
  <si>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</si>
  <si>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</si>
  <si>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</si>
  <si>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</si>
  <si>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</si>
  <si>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</si>
  <si>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</si>
  <si>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</si>
  <si>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</si>
  <si>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</si>
  <si>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</si>
  <si>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</si>
  <si>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</si>
  <si>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</si>
  <si>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</si>
  <si>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</si>
  <si>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</si>
  <si>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</si>
  <si>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</si>
  <si>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</si>
  <si>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</si>
  <si>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</si>
  <si>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</si>
  <si>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</si>
  <si>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</si>
  <si>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</si>
  <si>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</si>
  <si>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</si>
  <si>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</si>
  <si>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</si>
  <si>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</si>
  <si>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</si>
  <si>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</si>
  <si>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</si>
  <si>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</si>
  <si>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</si>
  <si>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</si>
  <si>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</si>
  <si>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</si>
  <si>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</si>
  <si>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</si>
  <si>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</si>
  <si>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</si>
  <si>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</si>
  <si>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</si>
  <si>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</si>
  <si>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</si>
  <si>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</si>
  <si>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</si>
  <si>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</si>
  <si>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</si>
  <si>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</si>
  <si>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</si>
  <si>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</si>
  <si>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</si>
  <si>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</si>
  <si>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</si>
  <si>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</si>
  <si>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</si>
  <si>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</si>
  <si>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</si>
  <si>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</si>
  <si>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</si>
  <si>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</si>
  <si>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</si>
  <si>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</si>
  <si>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</si>
  <si>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</si>
  <si>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</si>
  <si>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</si>
  <si>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</si>
  <si>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</si>
  <si>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</si>
  <si>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</si>
  <si>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</si>
  <si>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</si>
  <si>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</si>
  <si>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</si>
  <si>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</si>
  <si>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</si>
  <si>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</si>
  <si>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</si>
  <si>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</si>
  <si>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</si>
  <si>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</si>
  <si>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</si>
  <si>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</si>
  <si>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</si>
  <si>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</si>
  <si>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</si>
  <si>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</si>
  <si>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</si>
  <si>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</si>
  <si>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</si>
  <si>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</si>
  <si>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</si>
  <si>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</si>
  <si>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</si>
  <si>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</si>
  <si>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</si>
  <si>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</si>
  <si>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</si>
  <si>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</si>
  <si>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</si>
  <si>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</si>
  <si>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</si>
  <si>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</si>
  <si>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</si>
  <si>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</si>
  <si>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</si>
  <si>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</si>
  <si>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</si>
  <si>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</si>
  <si>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</si>
  <si>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</si>
  <si>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</si>
  <si>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</si>
  <si>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</si>
  <si>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</si>
  <si>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</si>
  <si>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</si>
  <si>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</si>
  <si>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</si>
  <si>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</si>
  <si>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</si>
  <si>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</si>
  <si>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</si>
  <si>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</si>
  <si>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</si>
  <si>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</si>
  <si>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</si>
  <si>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</si>
  <si>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</si>
  <si>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</si>
  <si>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</si>
  <si>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</si>
  <si>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</si>
  <si>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</si>
  <si>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</si>
  <si>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</si>
  <si>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</si>
  <si>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</si>
  <si>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</si>
  <si>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</si>
  <si>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</si>
  <si>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</si>
  <si>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</si>
  <si>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</si>
  <si>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</si>
  <si>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</si>
  <si>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</si>
  <si>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</si>
  <si>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</si>
  <si>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</si>
  <si>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</si>
  <si>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</si>
  <si>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</si>
  <si>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</si>
  <si>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</si>
  <si>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</si>
  <si>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</si>
  <si>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</si>
  <si>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</si>
  <si>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</si>
  <si>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</si>
  <si>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</si>
  <si>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</si>
  <si>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</si>
  <si>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</si>
  <si>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</si>
  <si>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</si>
  <si>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</si>
  <si>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</si>
  <si>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</si>
  <si>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</si>
  <si>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</si>
  <si>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</si>
  <si>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</si>
  <si>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</si>
  <si>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</si>
  <si>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</si>
  <si>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</si>
  <si>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</si>
  <si>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</si>
  <si>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</si>
  <si>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</si>
  <si>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</si>
  <si>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</si>
  <si>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</si>
  <si>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</si>
  <si>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</si>
  <si>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</si>
  <si>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</si>
  <si>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</si>
  <si>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</si>
  <si>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</si>
  <si>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</si>
  <si>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</si>
  <si>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</si>
  <si>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</si>
  <si>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</si>
  <si>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</si>
  <si>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</si>
  <si>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</si>
  <si>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</si>
  <si>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</si>
  <si>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</si>
  <si>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</si>
  <si>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</si>
  <si>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</si>
  <si>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</si>
  <si>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</si>
  <si>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</si>
  <si>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</si>
  <si>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</si>
  <si>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</si>
  <si>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</si>
  <si>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</si>
  <si>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</si>
  <si>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</si>
  <si>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</si>
  <si>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</si>
  <si>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</si>
  <si>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</si>
  <si>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</si>
  <si>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</si>
  <si>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</si>
  <si>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</si>
  <si>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</si>
  <si>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</si>
  <si>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</si>
  <si>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</si>
  <si>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</si>
  <si>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</si>
  <si>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</si>
  <si>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</si>
  <si>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</si>
  <si>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</si>
  <si>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</si>
  <si>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</si>
  <si>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</si>
  <si>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</si>
  <si>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</si>
  <si>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</si>
  <si>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</si>
  <si>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</si>
  <si>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</si>
  <si>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</si>
  <si>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</si>
  <si>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</si>
  <si>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</si>
  <si>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</si>
  <si>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</si>
  <si>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</si>
  <si>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</si>
  <si>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</si>
  <si>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</si>
  <si>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</si>
  <si>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</si>
  <si>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</si>
  <si>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</si>
  <si>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</si>
  <si>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</si>
  <si>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</si>
  <si>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</si>
  <si>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</si>
  <si>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</si>
  <si>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</si>
  <si>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</si>
  <si>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</si>
  <si>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</si>
  <si>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</si>
  <si>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</si>
  <si>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</si>
  <si>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</si>
  <si>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</si>
  <si>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</si>
  <si>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</si>
  <si>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</si>
  <si>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</si>
  <si>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</si>
  <si>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</si>
  <si>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</si>
  <si>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</si>
  <si>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</si>
  <si>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</si>
  <si>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</si>
  <si>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</si>
  <si>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</si>
  <si>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</si>
  <si>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</si>
  <si>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</si>
  <si>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</si>
  <si>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</si>
  <si>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</si>
  <si>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</si>
  <si>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</si>
  <si>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</si>
  <si>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</si>
  <si>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</si>
  <si>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</si>
  <si>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</si>
  <si>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</si>
  <si>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</si>
  <si>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</si>
  <si>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</si>
  <si>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</si>
  <si>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</si>
  <si>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</si>
  <si>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</si>
  <si>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</si>
  <si>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</si>
  <si>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</si>
  <si>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</si>
  <si>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</si>
  <si>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</si>
  <si>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</si>
  <si>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</si>
  <si>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</si>
  <si>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</si>
  <si>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</si>
  <si>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</si>
  <si>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</si>
  <si>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</si>
  <si>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</si>
  <si>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</si>
  <si>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</si>
  <si>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</si>
  <si>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</si>
  <si>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</si>
  <si>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</si>
  <si>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</si>
  <si>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</si>
  <si>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</si>
  <si>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</si>
  <si>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</si>
  <si>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</si>
  <si>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</si>
  <si>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</si>
  <si>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</si>
  <si>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</si>
  <si>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</si>
  <si>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</si>
  <si>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</si>
  <si>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</si>
  <si>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</si>
  <si>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</si>
  <si>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</si>
  <si>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</si>
  <si>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</si>
  <si>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</si>
  <si>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</si>
  <si>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</si>
  <si>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</si>
  <si>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</si>
  <si>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</si>
  <si>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</si>
  <si>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</si>
  <si>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</si>
  <si>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</si>
  <si>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</si>
  <si>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</si>
  <si>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</si>
  <si>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</si>
  <si>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</si>
  <si>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</si>
  <si>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</si>
  <si>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</si>
  <si>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</si>
  <si>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</si>
  <si>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</si>
  <si>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</si>
  <si>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</si>
  <si>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</si>
  <si>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</si>
  <si>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</si>
  <si>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</si>
  <si>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</si>
  <si>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</si>
  <si>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</si>
  <si>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</si>
  <si>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</si>
  <si>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</si>
  <si>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</si>
  <si>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</si>
  <si>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</si>
  <si>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</si>
  <si>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</si>
  <si>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</si>
  <si>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</si>
  <si>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</si>
  <si>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</si>
  <si>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</si>
  <si>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</si>
  <si>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</si>
  <si>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</si>
  <si>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</si>
  <si>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</si>
  <si>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</si>
  <si>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</si>
  <si>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</si>
  <si>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</si>
  <si>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</si>
  <si>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</si>
  <si>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</si>
  <si>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</si>
  <si>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</si>
  <si>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</si>
  <si>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</si>
  <si>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</si>
  <si>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</si>
  <si>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</si>
  <si>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</si>
  <si>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</si>
  <si>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</si>
  <si>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</si>
  <si>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</si>
  <si>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</si>
  <si>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</si>
  <si>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</si>
  <si>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</si>
  <si>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</si>
  <si>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</si>
  <si>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</si>
  <si>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</si>
  <si>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</si>
  <si>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</si>
  <si>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</si>
  <si>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</si>
  <si>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</si>
  <si>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</si>
  <si>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</si>
  <si>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</si>
  <si>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</si>
  <si>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</si>
  <si>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</si>
  <si>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</si>
  <si>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</si>
  <si>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</si>
  <si>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</si>
  <si>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</si>
  <si>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</si>
  <si>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</si>
  <si>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</si>
  <si>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</si>
  <si>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</si>
  <si>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</si>
  <si>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</si>
  <si>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</si>
  <si>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</si>
  <si>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</si>
  <si>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</si>
  <si>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</si>
  <si>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</si>
  <si>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</si>
  <si>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</si>
  <si>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</si>
  <si>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</si>
  <si>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</si>
  <si>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</si>
  <si>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</si>
  <si>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</si>
  <si>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</si>
  <si>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</si>
  <si>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</si>
  <si>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</si>
  <si>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</si>
  <si>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</si>
  <si>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</si>
  <si>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</si>
  <si>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</si>
  <si>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</si>
  <si>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</si>
  <si>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</si>
  <si>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</si>
  <si>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</si>
  <si>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</si>
  <si>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</si>
  <si>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</si>
  <si>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</si>
  <si>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</si>
  <si>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</si>
  <si>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</si>
  <si>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</si>
  <si>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</si>
  <si>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</si>
  <si>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</si>
  <si>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</si>
  <si>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</si>
  <si>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</si>
  <si>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</si>
  <si>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</si>
  <si>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</si>
  <si>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</si>
  <si>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</si>
  <si>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</si>
  <si>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</si>
  <si>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</si>
  <si>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</si>
  <si>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</si>
  <si>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</si>
  <si>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</si>
  <si>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</si>
  <si>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</si>
  <si>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</si>
  <si>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</si>
  <si>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</si>
  <si>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</si>
  <si>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</si>
  <si>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</si>
  <si>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</si>
  <si>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</si>
  <si>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</si>
  <si>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</si>
  <si>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</si>
  <si>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</si>
  <si>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</si>
  <si>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</si>
  <si>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</si>
  <si>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</si>
  <si>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</si>
  <si>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</si>
  <si>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</si>
  <si>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</si>
  <si>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</si>
  <si>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</si>
  <si>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</si>
  <si>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</si>
  <si>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</si>
  <si>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</si>
  <si>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</si>
  <si>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</si>
  <si>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</si>
  <si>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</si>
  <si>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</si>
  <si>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</si>
  <si>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</si>
  <si>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</si>
  <si>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</si>
  <si>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</si>
  <si>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</si>
  <si>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</si>
  <si>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</si>
  <si>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</si>
  <si>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</si>
  <si>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</si>
  <si>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</si>
  <si>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</si>
  <si>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</si>
  <si>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</si>
  <si>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</si>
  <si>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</si>
  <si>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</si>
  <si>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</si>
  <si>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</si>
  <si>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</si>
  <si>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</si>
  <si>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</si>
  <si>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</si>
  <si>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</si>
  <si>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</si>
  <si>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</si>
  <si>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</si>
  <si>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</si>
  <si>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</si>
  <si>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</si>
  <si>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</si>
  <si>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</si>
  <si>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</si>
  <si>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</si>
  <si>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</si>
  <si>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</si>
  <si>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</si>
  <si>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</si>
  <si>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</si>
  <si>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</si>
  <si>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</si>
  <si>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</si>
  <si>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</si>
  <si>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</si>
  <si>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</si>
  <si>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</si>
  <si>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</si>
  <si>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</si>
  <si>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</si>
  <si>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</si>
  <si>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</si>
  <si>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</si>
  <si>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</si>
  <si>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</si>
  <si>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</si>
  <si>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</si>
  <si>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</si>
  <si>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</si>
  <si>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</si>
  <si>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</si>
  <si>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</si>
  <si>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</si>
  <si>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</si>
  <si>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</si>
  <si>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</si>
  <si>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</si>
  <si>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</si>
  <si>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</si>
  <si>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</si>
  <si>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</si>
  <si>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</si>
  <si>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</si>
  <si>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</si>
  <si>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</si>
  <si>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</si>
  <si>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</si>
  <si>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</si>
  <si>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</si>
  <si>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</si>
  <si>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</si>
  <si>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</si>
  <si>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</si>
  <si>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</si>
  <si>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</si>
  <si>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</si>
  <si>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</si>
  <si>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</si>
  <si>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</si>
  <si>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</si>
  <si>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</si>
  <si>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</si>
  <si>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</si>
  <si>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</si>
  <si>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</si>
  <si>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</si>
  <si>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</si>
  <si>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</si>
  <si>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</si>
  <si>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</si>
  <si>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</si>
  <si>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</si>
  <si>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</si>
  <si>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</si>
  <si>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</si>
  <si>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</si>
  <si>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</si>
  <si>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</si>
  <si>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</si>
  <si>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</si>
  <si>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</si>
  <si>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</si>
  <si>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</si>
  <si>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</si>
  <si>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</si>
  <si>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</si>
  <si>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</si>
  <si>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</si>
  <si>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</si>
  <si>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</si>
  <si>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</si>
  <si>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</si>
  <si>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</si>
  <si>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</si>
  <si>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</si>
  <si>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</si>
  <si>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</si>
  <si>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</si>
  <si>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</si>
  <si>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</si>
  <si>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</si>
  <si>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</si>
  <si>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</si>
  <si>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</si>
  <si>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</si>
  <si>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</si>
  <si>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</si>
  <si>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</si>
  <si>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</si>
  <si>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</si>
  <si>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</si>
  <si>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</si>
  <si>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</si>
  <si>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</si>
  <si>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</si>
  <si>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</si>
  <si>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</si>
  <si>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</si>
  <si>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</si>
  <si>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</si>
  <si>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</si>
  <si>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</si>
  <si>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</si>
  <si>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</si>
  <si>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</si>
  <si>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</si>
  <si>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</si>
  <si>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</si>
  <si>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</si>
  <si>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</si>
  <si>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</si>
  <si>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</si>
  <si>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</si>
  <si>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</si>
  <si>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</si>
  <si>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</si>
  <si>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</si>
  <si>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</si>
  <si>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</si>
  <si>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</si>
  <si>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</si>
  <si>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</si>
  <si>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</si>
  <si>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</si>
  <si>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</si>
  <si>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</si>
  <si>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</si>
  <si>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</si>
  <si>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</si>
  <si>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</si>
  <si>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</si>
  <si>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</si>
  <si>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</si>
  <si>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</si>
  <si>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</si>
  <si>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</si>
  <si>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</si>
  <si>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</si>
  <si>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</si>
  <si>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</si>
  <si>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</si>
  <si>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</si>
  <si>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</si>
  <si>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</si>
  <si>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</si>
  <si>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</si>
  <si>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</si>
  <si>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</si>
  <si>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</si>
  <si>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</si>
  <si>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</si>
  <si>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</si>
  <si>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</si>
  <si>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</si>
  <si>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</si>
  <si>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</si>
  <si>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</si>
  <si>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</si>
  <si>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</si>
  <si>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</si>
  <si>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</si>
  <si>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</si>
  <si>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</si>
  <si>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</si>
  <si>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</si>
  <si>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</si>
  <si>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</si>
  <si>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</si>
  <si>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</si>
  <si>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</si>
  <si>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</si>
  <si>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</si>
  <si>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</si>
  <si>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</si>
  <si>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</si>
  <si>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</si>
  <si>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</si>
  <si>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</si>
  <si>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</si>
  <si>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</si>
  <si>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</si>
  <si>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</si>
  <si>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</si>
  <si>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</si>
  <si>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</si>
  <si>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</si>
  <si>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</si>
  <si>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</si>
  <si>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</si>
  <si>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</si>
  <si>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</si>
  <si>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</si>
  <si>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</si>
  <si>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</si>
  <si>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</si>
  <si>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</si>
  <si>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</si>
  <si>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</si>
  <si>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</si>
  <si>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</si>
  <si>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</si>
  <si>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</si>
  <si>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</si>
  <si>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</si>
  <si>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</si>
  <si>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</si>
  <si>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</si>
  <si>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</si>
  <si>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</si>
  <si>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</si>
  <si>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</si>
  <si>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</si>
  <si>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</si>
  <si>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</si>
  <si>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</si>
  <si>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</si>
  <si>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</si>
  <si>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</si>
  <si>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</si>
  <si>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</si>
  <si>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</si>
  <si>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</si>
  <si>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</si>
  <si>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</si>
  <si>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</si>
  <si>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</si>
  <si>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</si>
  <si>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</si>
  <si>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</si>
  <si>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</si>
  <si>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</si>
  <si>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</si>
  <si>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</si>
  <si>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</si>
  <si>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</si>
  <si>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Waterville Valley School District</t>
  </si>
  <si>
    <t>7/90</t>
  </si>
  <si>
    <t>7/05</t>
  </si>
  <si>
    <t>7/09</t>
  </si>
  <si>
    <t>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</si>
</sst>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4BC9-AAE3-4F94-B8F1-38E915DB26F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553</v>
      </c>
      <c r="C2" s="21">
        <v>553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43606.84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13.63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51503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318.07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260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95687.91</v>
      </c>
      <c r="G19" s="41">
        <f>SUM(G9:G18)</f>
        <v>13.63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>
        <v>13.63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13.63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89273.23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6414.68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95687.91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95687.91</v>
      </c>
      <c r="G44" s="41">
        <f>G43+G33</f>
        <v>13.63</v>
      </c>
      <c r="H44" s="41">
        <f>H43+H33</f>
        <v>0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159527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159527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24000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5140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29140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20.03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1211.48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4475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17997.099999999999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22492.129999999997</v>
      </c>
      <c r="G103" s="41">
        <f>SUM(G88:G102)</f>
        <v>1211.48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211159.13</v>
      </c>
      <c r="G104" s="41">
        <f>G52+G103</f>
        <v>1211.48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1742.74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820976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668.26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823387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47897.4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3339.78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51237.18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874624.18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7285.96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1292.82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46.4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3124.98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46.4</v>
      </c>
      <c r="H154" s="41">
        <f>SUM(H142:H153)</f>
        <v>11703.76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28715.66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28715.66</v>
      </c>
      <c r="G161" s="41">
        <f>G139+G154+SUM(G155:G160)</f>
        <v>46.4</v>
      </c>
      <c r="H161" s="41">
        <f>H139+H154+SUM(H155:H160)</f>
        <v>11703.76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1156.5899999999999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1156.5899999999999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1156.5899999999999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1114498.97</v>
      </c>
      <c r="G185" s="47">
        <f>G104+G132+G161+G184</f>
        <v>2414.4700000000003</v>
      </c>
      <c r="H185" s="47">
        <f>H104+H132+H161+H184</f>
        <v>11703.76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218718.92</v>
      </c>
      <c r="G189" s="18">
        <v>85440.88</v>
      </c>
      <c r="H189" s="18">
        <v>6954.4</v>
      </c>
      <c r="I189" s="18">
        <v>10033.379999999999</v>
      </c>
      <c r="J189" s="18">
        <v>409.52</v>
      </c>
      <c r="K189" s="18">
        <v>231.99</v>
      </c>
      <c r="L189" s="19">
        <f>SUM(F189:K189)</f>
        <v>321789.09000000008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57271.24</v>
      </c>
      <c r="G190" s="18">
        <v>15975.15</v>
      </c>
      <c r="H190" s="18">
        <v>7531.06</v>
      </c>
      <c r="I190" s="18">
        <v>601.77</v>
      </c>
      <c r="J190" s="18">
        <v>695.2</v>
      </c>
      <c r="K190" s="18">
        <v>50</v>
      </c>
      <c r="L190" s="19">
        <f>SUM(F190:K190)</f>
        <v>82124.42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928</v>
      </c>
      <c r="G192" s="18">
        <v>549.42999999999995</v>
      </c>
      <c r="H192" s="18">
        <v>700</v>
      </c>
      <c r="I192" s="18">
        <v>422.19</v>
      </c>
      <c r="J192" s="18"/>
      <c r="K192" s="18"/>
      <c r="L192" s="19">
        <f>SUM(F192:K192)</f>
        <v>2599.62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8600.7999999999993</v>
      </c>
      <c r="G194" s="18">
        <v>1675.46</v>
      </c>
      <c r="H194" s="18">
        <v>19259.88</v>
      </c>
      <c r="I194" s="18">
        <v>1441.07</v>
      </c>
      <c r="J194" s="18"/>
      <c r="K194" s="18"/>
      <c r="L194" s="19">
        <f t="shared" ref="L194:L200" si="0">SUM(F194:K194)</f>
        <v>30977.21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4611.79</v>
      </c>
      <c r="G195" s="18">
        <v>7013.31</v>
      </c>
      <c r="H195" s="18">
        <v>160.99</v>
      </c>
      <c r="I195" s="18">
        <v>8000.05</v>
      </c>
      <c r="J195" s="18">
        <v>8835.76</v>
      </c>
      <c r="K195" s="18"/>
      <c r="L195" s="19">
        <f t="shared" si="0"/>
        <v>28621.9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3000</v>
      </c>
      <c r="G196" s="18">
        <v>229.5</v>
      </c>
      <c r="H196" s="18">
        <v>75052.94</v>
      </c>
      <c r="I196" s="18">
        <v>737.15</v>
      </c>
      <c r="J196" s="18"/>
      <c r="K196" s="18">
        <v>267.47000000000003</v>
      </c>
      <c r="L196" s="19">
        <f t="shared" si="0"/>
        <v>79287.06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98293.83</v>
      </c>
      <c r="G197" s="18">
        <v>39525.24</v>
      </c>
      <c r="H197" s="18">
        <v>1210.76</v>
      </c>
      <c r="I197" s="18">
        <v>2192.4699999999998</v>
      </c>
      <c r="J197" s="18"/>
      <c r="K197" s="18">
        <v>889</v>
      </c>
      <c r="L197" s="19">
        <f t="shared" si="0"/>
        <v>142111.30000000002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16744</v>
      </c>
      <c r="G199" s="18">
        <v>1897.2</v>
      </c>
      <c r="H199" s="18">
        <v>45518.21</v>
      </c>
      <c r="I199" s="18">
        <v>32279.08</v>
      </c>
      <c r="J199" s="18">
        <v>44.98</v>
      </c>
      <c r="K199" s="18"/>
      <c r="L199" s="19">
        <f t="shared" si="0"/>
        <v>96483.47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2737.5</v>
      </c>
      <c r="I200" s="18"/>
      <c r="J200" s="18"/>
      <c r="K200" s="18"/>
      <c r="L200" s="19">
        <f t="shared" si="0"/>
        <v>2737.5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408168.58</v>
      </c>
      <c r="G203" s="41">
        <f t="shared" si="1"/>
        <v>152306.17000000001</v>
      </c>
      <c r="H203" s="41">
        <f t="shared" si="1"/>
        <v>159125.74</v>
      </c>
      <c r="I203" s="41">
        <f t="shared" si="1"/>
        <v>55707.16</v>
      </c>
      <c r="J203" s="41">
        <f t="shared" si="1"/>
        <v>9985.4599999999991</v>
      </c>
      <c r="K203" s="41">
        <f t="shared" si="1"/>
        <v>1438.46</v>
      </c>
      <c r="L203" s="41">
        <f t="shared" si="1"/>
        <v>786731.57000000007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109915.92</v>
      </c>
      <c r="I225" s="18"/>
      <c r="J225" s="18"/>
      <c r="K225" s="18"/>
      <c r="L225" s="19">
        <f>SUM(F225:K225)</f>
        <v>109915.92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109915.92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109915.92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33067</v>
      </c>
      <c r="I247" s="18"/>
      <c r="J247" s="18"/>
      <c r="K247" s="18"/>
      <c r="L247" s="19">
        <f t="shared" si="6"/>
        <v>33067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33067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33067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408168.58</v>
      </c>
      <c r="G249" s="41">
        <f t="shared" si="8"/>
        <v>152306.17000000001</v>
      </c>
      <c r="H249" s="41">
        <f t="shared" si="8"/>
        <v>302108.65999999997</v>
      </c>
      <c r="I249" s="41">
        <f t="shared" si="8"/>
        <v>55707.16</v>
      </c>
      <c r="J249" s="41">
        <f t="shared" si="8"/>
        <v>9985.4599999999991</v>
      </c>
      <c r="K249" s="41">
        <f t="shared" si="8"/>
        <v>1438.46</v>
      </c>
      <c r="L249" s="41">
        <f t="shared" si="8"/>
        <v>929714.49000000011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159658</v>
      </c>
      <c r="L252" s="19">
        <f>SUM(F252:K252)</f>
        <v>159658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13395.84</v>
      </c>
      <c r="L253" s="19">
        <f>SUM(F253:K253)</f>
        <v>13395.84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1156.5899999999999</v>
      </c>
      <c r="L255" s="19">
        <f>SUM(F255:K255)</f>
        <v>1156.5899999999999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174210.43</v>
      </c>
      <c r="L262" s="41">
        <f t="shared" si="9"/>
        <v>174210.43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408168.58</v>
      </c>
      <c r="G263" s="42">
        <f t="shared" si="11"/>
        <v>152306.17000000001</v>
      </c>
      <c r="H263" s="42">
        <f t="shared" si="11"/>
        <v>302108.65999999997</v>
      </c>
      <c r="I263" s="42">
        <f t="shared" si="11"/>
        <v>55707.16</v>
      </c>
      <c r="J263" s="42">
        <f t="shared" si="11"/>
        <v>9985.4599999999991</v>
      </c>
      <c r="K263" s="42">
        <f t="shared" si="11"/>
        <v>175648.88999999998</v>
      </c>
      <c r="L263" s="42">
        <f t="shared" si="11"/>
        <v>1103924.9200000002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1500</v>
      </c>
      <c r="I269" s="18">
        <v>771.84</v>
      </c>
      <c r="J269" s="18">
        <v>449.9</v>
      </c>
      <c r="K269" s="18"/>
      <c r="L269" s="19">
        <f>SUM(F269:K269)</f>
        <v>2721.7400000000002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1117.08</v>
      </c>
      <c r="I273" s="18"/>
      <c r="J273" s="18"/>
      <c r="K273" s="18"/>
      <c r="L273" s="19">
        <f t="shared" ref="L273:L279" si="12">SUM(F273:K273)</f>
        <v>1117.08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1292.82</v>
      </c>
      <c r="G274" s="18"/>
      <c r="H274" s="18">
        <v>5000</v>
      </c>
      <c r="I274" s="18">
        <v>708.2</v>
      </c>
      <c r="J274" s="18">
        <v>863.92</v>
      </c>
      <c r="K274" s="18"/>
      <c r="L274" s="19">
        <f t="shared" si="12"/>
        <v>7864.94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1292.82</v>
      </c>
      <c r="G282" s="42">
        <f t="shared" si="13"/>
        <v>0</v>
      </c>
      <c r="H282" s="42">
        <f t="shared" si="13"/>
        <v>7617.08</v>
      </c>
      <c r="I282" s="42">
        <f t="shared" si="13"/>
        <v>1480.04</v>
      </c>
      <c r="J282" s="42">
        <f t="shared" si="13"/>
        <v>1313.82</v>
      </c>
      <c r="K282" s="42">
        <f t="shared" si="13"/>
        <v>0</v>
      </c>
      <c r="L282" s="41">
        <f t="shared" si="13"/>
        <v>11703.76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1292.82</v>
      </c>
      <c r="G330" s="41">
        <f t="shared" si="20"/>
        <v>0</v>
      </c>
      <c r="H330" s="41">
        <f t="shared" si="20"/>
        <v>7617.08</v>
      </c>
      <c r="I330" s="41">
        <f t="shared" si="20"/>
        <v>1480.04</v>
      </c>
      <c r="J330" s="41">
        <f t="shared" si="20"/>
        <v>1313.82</v>
      </c>
      <c r="K330" s="41">
        <f t="shared" si="20"/>
        <v>0</v>
      </c>
      <c r="L330" s="41">
        <f t="shared" si="20"/>
        <v>11703.76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1292.82</v>
      </c>
      <c r="G344" s="41">
        <f>G330</f>
        <v>0</v>
      </c>
      <c r="H344" s="41">
        <f>H330</f>
        <v>7617.08</v>
      </c>
      <c r="I344" s="41">
        <f>I330</f>
        <v>1480.04</v>
      </c>
      <c r="J344" s="41">
        <f>J330</f>
        <v>1313.82</v>
      </c>
      <c r="K344" s="47">
        <f>K330+K343</f>
        <v>0</v>
      </c>
      <c r="L344" s="41">
        <f>L330+L343</f>
        <v>11703.76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>
        <v>2426.6999999999998</v>
      </c>
      <c r="J350" s="18"/>
      <c r="K350" s="18"/>
      <c r="L350" s="13">
        <f>SUM(F350:K350)</f>
        <v>2426.6999999999998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2426.6999999999998</v>
      </c>
      <c r="J354" s="47">
        <f t="shared" si="22"/>
        <v>0</v>
      </c>
      <c r="K354" s="47">
        <f t="shared" si="22"/>
        <v>0</v>
      </c>
      <c r="L354" s="47">
        <f t="shared" si="22"/>
        <v>2426.6999999999998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1227.3699999999999</v>
      </c>
      <c r="G359" s="18"/>
      <c r="H359" s="18"/>
      <c r="I359" s="56">
        <f>SUM(F359:H359)</f>
        <v>1227.3699999999999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1199.33</v>
      </c>
      <c r="G360" s="63"/>
      <c r="H360" s="63"/>
      <c r="I360" s="56">
        <f>SUM(F360:H360)</f>
        <v>1199.33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2426.6999999999998</v>
      </c>
      <c r="G361" s="47">
        <f>SUM(G359:G360)</f>
        <v>0</v>
      </c>
      <c r="H361" s="47">
        <f>SUM(H359:H360)</f>
        <v>0</v>
      </c>
      <c r="I361" s="47">
        <f>SUM(I359:I360)</f>
        <v>2426.6999999999998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85113.86</v>
      </c>
      <c r="G455" s="18">
        <v>12.23</v>
      </c>
      <c r="H455" s="18">
        <v>0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1114498.97</v>
      </c>
      <c r="G458" s="18">
        <v>2414.4699999999998</v>
      </c>
      <c r="H458" s="18">
        <v>11703.76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1114498.97</v>
      </c>
      <c r="G460" s="53">
        <f>SUM(G458:G459)</f>
        <v>2414.4699999999998</v>
      </c>
      <c r="H460" s="53">
        <f>SUM(H458:H459)</f>
        <v>11703.76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1103924.92</v>
      </c>
      <c r="G462" s="18">
        <v>2426.6999999999998</v>
      </c>
      <c r="H462" s="18">
        <v>11703.76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1103924.92</v>
      </c>
      <c r="G464" s="53">
        <f>SUM(G462:G463)</f>
        <v>2426.6999999999998</v>
      </c>
      <c r="H464" s="53">
        <f>SUM(H462:H463)</f>
        <v>11703.76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95687.910000000149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7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1300000</v>
      </c>
      <c r="G483" s="18">
        <v>662606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6.8</v>
      </c>
      <c r="G484" s="18">
        <v>3.38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65000</v>
      </c>
      <c r="G485" s="18">
        <v>378632</v>
      </c>
      <c r="H485" s="18"/>
      <c r="I485" s="18"/>
      <c r="J485" s="18"/>
      <c r="K485" s="53">
        <f>SUM(F485:J485)</f>
        <v>443632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65000</v>
      </c>
      <c r="G487" s="18">
        <v>94658</v>
      </c>
      <c r="H487" s="18"/>
      <c r="I487" s="18"/>
      <c r="J487" s="18"/>
      <c r="K487" s="53">
        <f t="shared" si="34"/>
        <v>159658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283974</v>
      </c>
      <c r="H488" s="205"/>
      <c r="I488" s="205"/>
      <c r="J488" s="205"/>
      <c r="K488" s="206">
        <f t="shared" si="34"/>
        <v>283974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14345.52</v>
      </c>
      <c r="H489" s="18"/>
      <c r="I489" s="18"/>
      <c r="J489" s="18"/>
      <c r="K489" s="53">
        <f t="shared" si="34"/>
        <v>14345.52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298319.52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298319.52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94658</v>
      </c>
      <c r="H491" s="205"/>
      <c r="I491" s="205"/>
      <c r="J491" s="205"/>
      <c r="K491" s="206">
        <f t="shared" si="34"/>
        <v>94658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7973.63</v>
      </c>
      <c r="H492" s="18"/>
      <c r="I492" s="18"/>
      <c r="J492" s="18"/>
      <c r="K492" s="53">
        <f t="shared" si="34"/>
        <v>7973.63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102631.63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102631.63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57271.24</v>
      </c>
      <c r="G511" s="18">
        <v>15975.15</v>
      </c>
      <c r="H511" s="18">
        <v>9031.06</v>
      </c>
      <c r="I511" s="18">
        <v>1373.61</v>
      </c>
      <c r="J511" s="18">
        <v>1145.0999999999999</v>
      </c>
      <c r="K511" s="18">
        <v>50</v>
      </c>
      <c r="L511" s="88">
        <f>SUM(F511:K511)</f>
        <v>84846.16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57271.24</v>
      </c>
      <c r="G514" s="108">
        <f t="shared" ref="G514:L514" si="35">SUM(G511:G513)</f>
        <v>15975.15</v>
      </c>
      <c r="H514" s="108">
        <f t="shared" si="35"/>
        <v>9031.06</v>
      </c>
      <c r="I514" s="108">
        <f t="shared" si="35"/>
        <v>1373.61</v>
      </c>
      <c r="J514" s="108">
        <f t="shared" si="35"/>
        <v>1145.0999999999999</v>
      </c>
      <c r="K514" s="108">
        <f t="shared" si="35"/>
        <v>50</v>
      </c>
      <c r="L514" s="89">
        <f t="shared" si="35"/>
        <v>84846.16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18382.740000000002</v>
      </c>
      <c r="I516" s="18"/>
      <c r="J516" s="18"/>
      <c r="K516" s="18"/>
      <c r="L516" s="88">
        <f>SUM(F516:K516)</f>
        <v>18382.740000000002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18382.740000000002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18382.740000000002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6685.76</v>
      </c>
      <c r="G521" s="18">
        <v>1602.23</v>
      </c>
      <c r="H521" s="18">
        <v>75.31</v>
      </c>
      <c r="I521" s="18"/>
      <c r="J521" s="18"/>
      <c r="K521" s="18">
        <v>11.12</v>
      </c>
      <c r="L521" s="88">
        <f>SUM(F521:K521)</f>
        <v>8374.42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6685.76</v>
      </c>
      <c r="G524" s="89">
        <f t="shared" ref="G524:L524" si="37">SUM(G521:G523)</f>
        <v>1602.23</v>
      </c>
      <c r="H524" s="89">
        <f t="shared" si="37"/>
        <v>75.31</v>
      </c>
      <c r="I524" s="89">
        <f t="shared" si="37"/>
        <v>0</v>
      </c>
      <c r="J524" s="89">
        <f t="shared" si="37"/>
        <v>0</v>
      </c>
      <c r="K524" s="89">
        <f t="shared" si="37"/>
        <v>11.12</v>
      </c>
      <c r="L524" s="89">
        <f t="shared" si="37"/>
        <v>8374.42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63957</v>
      </c>
      <c r="G535" s="89">
        <f t="shared" ref="G535:L535" si="40">G514+G519+G524+G529+G534</f>
        <v>17577.38</v>
      </c>
      <c r="H535" s="89">
        <f t="shared" si="40"/>
        <v>27489.110000000004</v>
      </c>
      <c r="I535" s="89">
        <f t="shared" si="40"/>
        <v>1373.61</v>
      </c>
      <c r="J535" s="89">
        <f t="shared" si="40"/>
        <v>1145.0999999999999</v>
      </c>
      <c r="K535" s="89">
        <f t="shared" si="40"/>
        <v>61.12</v>
      </c>
      <c r="L535" s="89">
        <f t="shared" si="40"/>
        <v>111603.32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84846.16</v>
      </c>
      <c r="G539" s="87">
        <f>L516</f>
        <v>18382.740000000002</v>
      </c>
      <c r="H539" s="87">
        <f>L521</f>
        <v>8374.42</v>
      </c>
      <c r="I539" s="87">
        <f>L526</f>
        <v>0</v>
      </c>
      <c r="J539" s="87">
        <f>L531</f>
        <v>0</v>
      </c>
      <c r="K539" s="87">
        <f>SUM(F539:J539)</f>
        <v>111603.32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84846.16</v>
      </c>
      <c r="G542" s="89">
        <f t="shared" si="41"/>
        <v>18382.740000000002</v>
      </c>
      <c r="H542" s="89">
        <f t="shared" si="41"/>
        <v>8374.42</v>
      </c>
      <c r="I542" s="89">
        <f t="shared" si="41"/>
        <v>0</v>
      </c>
      <c r="J542" s="89">
        <f t="shared" si="41"/>
        <v>0</v>
      </c>
      <c r="K542" s="89">
        <f t="shared" si="41"/>
        <v>111603.32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109915.92</v>
      </c>
      <c r="I565" s="87">
        <f>SUM(F565:H565)</f>
        <v>109915.92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/>
      <c r="K581" s="104">
        <f t="shared" ref="K581:K587" si="47">SUM(H581:J581)</f>
        <v>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2737.5</v>
      </c>
      <c r="I585" s="18"/>
      <c r="J585" s="18"/>
      <c r="K585" s="104">
        <f t="shared" si="47"/>
        <v>2737.5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2737.5</v>
      </c>
      <c r="I588" s="108">
        <f>SUM(I581:I587)</f>
        <v>0</v>
      </c>
      <c r="J588" s="108">
        <f>SUM(J581:J587)</f>
        <v>0</v>
      </c>
      <c r="K588" s="108">
        <f>SUM(K581:K587)</f>
        <v>2737.5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11299.28</v>
      </c>
      <c r="I594" s="18"/>
      <c r="J594" s="18"/>
      <c r="K594" s="104">
        <f>SUM(H594:J594)</f>
        <v>11299.28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11299.28</v>
      </c>
      <c r="I595" s="108">
        <f>SUM(I592:I594)</f>
        <v>0</v>
      </c>
      <c r="J595" s="108">
        <f>SUM(J592:J594)</f>
        <v>0</v>
      </c>
      <c r="K595" s="108">
        <f>SUM(K592:K594)</f>
        <v>11299.28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95687.91</v>
      </c>
      <c r="H607" s="109">
        <f>SUM(F44)</f>
        <v>95687.91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13.63</v>
      </c>
      <c r="H608" s="109">
        <f>SUM(G44)</f>
        <v>13.63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95687.91</v>
      </c>
      <c r="H612" s="109">
        <f>F466</f>
        <v>95687.910000000149</v>
      </c>
      <c r="I612" s="121" t="s">
        <v>106</v>
      </c>
      <c r="J612" s="109">
        <f t="shared" ref="J612:J645" si="49">G612-H612</f>
        <v>-1.4551915228366852E-10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1114498.97</v>
      </c>
      <c r="H617" s="104">
        <f>SUM(F458)</f>
        <v>1114498.97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2414.4700000000003</v>
      </c>
      <c r="H618" s="104">
        <f>SUM(G458)</f>
        <v>2414.4699999999998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11703.76</v>
      </c>
      <c r="H619" s="104">
        <f>SUM(H458)</f>
        <v>11703.76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1103924.9200000002</v>
      </c>
      <c r="H622" s="104">
        <f>SUM(F462)</f>
        <v>1103924.92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11703.76</v>
      </c>
      <c r="H623" s="104">
        <f>SUM(H462)</f>
        <v>11703.76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2426.6999999999998</v>
      </c>
      <c r="H624" s="104">
        <f>I361</f>
        <v>2426.6999999999998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2426.6999999999998</v>
      </c>
      <c r="H625" s="104">
        <f>SUM(G462)</f>
        <v>2426.6999999999998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2737.5</v>
      </c>
      <c r="H637" s="104">
        <f>L200+L218+L236</f>
        <v>2737.5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11299.28</v>
      </c>
      <c r="H638" s="104">
        <f>(J249+J330)-(J247+J328)</f>
        <v>11299.279999999999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2737.5</v>
      </c>
      <c r="H639" s="104">
        <f>H588</f>
        <v>2737.5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1156.5899999999999</v>
      </c>
      <c r="H642" s="104">
        <f>K255+K337</f>
        <v>1156.5899999999999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800862.03</v>
      </c>
      <c r="G650" s="19">
        <f>(L221+L301+L351)</f>
        <v>0</v>
      </c>
      <c r="H650" s="19">
        <f>(L239+L320+L352)</f>
        <v>109915.92</v>
      </c>
      <c r="I650" s="19">
        <f>SUM(F650:H650)</f>
        <v>910777.95000000007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1211.48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1211.48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2737.5</v>
      </c>
      <c r="G652" s="19">
        <f>(L218+L298)-(J218+J298)</f>
        <v>0</v>
      </c>
      <c r="H652" s="19">
        <f>(L236+L317)-(J236+J317)</f>
        <v>0</v>
      </c>
      <c r="I652" s="19">
        <f>SUM(F652:H652)</f>
        <v>2737.5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11299.28</v>
      </c>
      <c r="G653" s="200">
        <f>SUM(G565:G577)+SUM(I592:I594)+L602</f>
        <v>0</v>
      </c>
      <c r="H653" s="200">
        <f>SUM(H565:H577)+SUM(J592:J594)+L603</f>
        <v>109915.92</v>
      </c>
      <c r="I653" s="19">
        <f>SUM(F653:H653)</f>
        <v>121215.2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785613.77</v>
      </c>
      <c r="G654" s="19">
        <f>G650-SUM(G651:G653)</f>
        <v>0</v>
      </c>
      <c r="H654" s="19">
        <f>H650-SUM(H651:H653)</f>
        <v>0</v>
      </c>
      <c r="I654" s="19">
        <f>I650-SUM(I651:I653)</f>
        <v>785613.77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30.52</v>
      </c>
      <c r="G655" s="249"/>
      <c r="H655" s="249"/>
      <c r="I655" s="19">
        <f>SUM(F655:H655)</f>
        <v>30.52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25740.95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25740.95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25740.95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25740.95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FE10-1DAE-4ADE-A132-A8D24B1CA796}">
  <sheetPr>
    <tabColor indexed="20"/>
  </sheetPr>
  <dimension ref="A1:C52"/>
  <sheetViews>
    <sheetView topLeftCell="A18" workbookViewId="0">
      <selection activeCell="C51" sqref="C5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Waterville Valley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218718.92</v>
      </c>
      <c r="C9" s="230">
        <f>'DOE25'!G189+'DOE25'!G207+'DOE25'!G225+'DOE25'!G268+'DOE25'!G287+'DOE25'!G306</f>
        <v>85440.88</v>
      </c>
    </row>
    <row r="10" spans="1:3" x14ac:dyDescent="0.2">
      <c r="A10" t="s">
        <v>813</v>
      </c>
      <c r="B10" s="241">
        <v>209628.87</v>
      </c>
      <c r="C10" s="241">
        <v>84721.27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9090.0499999999993</v>
      </c>
      <c r="C12" s="241">
        <v>719.61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218718.91999999998</v>
      </c>
      <c r="C13" s="232">
        <f>SUM(C10:C12)</f>
        <v>85440.88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57271.24</v>
      </c>
      <c r="C18" s="230">
        <f>'DOE25'!G190+'DOE25'!G208+'DOE25'!G226+'DOE25'!G269+'DOE25'!G288+'DOE25'!G307</f>
        <v>15975.15</v>
      </c>
    </row>
    <row r="19" spans="1:3" x14ac:dyDescent="0.2">
      <c r="A19" t="s">
        <v>813</v>
      </c>
      <c r="B19" s="241">
        <v>29426</v>
      </c>
      <c r="C19" s="241">
        <v>4572.93</v>
      </c>
    </row>
    <row r="20" spans="1:3" x14ac:dyDescent="0.2">
      <c r="A20" t="s">
        <v>814</v>
      </c>
      <c r="B20" s="241">
        <v>25919.24</v>
      </c>
      <c r="C20" s="241">
        <v>11254.87</v>
      </c>
    </row>
    <row r="21" spans="1:3" x14ac:dyDescent="0.2">
      <c r="A21" t="s">
        <v>815</v>
      </c>
      <c r="B21" s="241">
        <v>1926</v>
      </c>
      <c r="C21" s="241">
        <v>147.35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57271.240000000005</v>
      </c>
      <c r="C22" s="232">
        <f>SUM(C19:C21)</f>
        <v>15975.150000000001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928</v>
      </c>
      <c r="C36" s="236">
        <f>'DOE25'!G192+'DOE25'!G210+'DOE25'!G228+'DOE25'!G271+'DOE25'!G290+'DOE25'!G309</f>
        <v>549.42999999999995</v>
      </c>
    </row>
    <row r="37" spans="1:3" x14ac:dyDescent="0.2">
      <c r="A37" t="s">
        <v>813</v>
      </c>
      <c r="B37" s="241">
        <v>928</v>
      </c>
      <c r="C37" s="241">
        <v>549.42999999999995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928</v>
      </c>
      <c r="C40" s="232">
        <f>SUM(C37:C39)</f>
        <v>549.42999999999995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573B-0D2E-4621-9E4B-BE9855742F38}">
  <sheetPr>
    <tabColor indexed="11"/>
  </sheetPr>
  <dimension ref="A1:I51"/>
  <sheetViews>
    <sheetView workbookViewId="0">
      <pane ySplit="4" topLeftCell="A5" activePane="bottomLeft" state="frozen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Waterville Valley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516429.05000000005</v>
      </c>
      <c r="D5" s="20">
        <f>SUM('DOE25'!L189:L192)+SUM('DOE25'!L207:L210)+SUM('DOE25'!L225:L228)-F5-G5</f>
        <v>515042.34000000008</v>
      </c>
      <c r="E5" s="244"/>
      <c r="F5" s="256">
        <f>SUM('DOE25'!J189:J192)+SUM('DOE25'!J207:J210)+SUM('DOE25'!J225:J228)</f>
        <v>1104.72</v>
      </c>
      <c r="G5" s="53">
        <f>SUM('DOE25'!K189:K192)+SUM('DOE25'!K207:K210)+SUM('DOE25'!K225:K228)</f>
        <v>281.99</v>
      </c>
      <c r="H5" s="260"/>
    </row>
    <row r="6" spans="1:9" x14ac:dyDescent="0.2">
      <c r="A6" s="32">
        <v>2100</v>
      </c>
      <c r="B6" t="s">
        <v>835</v>
      </c>
      <c r="C6" s="246">
        <f t="shared" si="0"/>
        <v>30977.21</v>
      </c>
      <c r="D6" s="20">
        <f>'DOE25'!L194+'DOE25'!L212+'DOE25'!L230-F6-G6</f>
        <v>30977.21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28621.9</v>
      </c>
      <c r="D7" s="20">
        <f>'DOE25'!L195+'DOE25'!L213+'DOE25'!L231-F7-G7</f>
        <v>19786.14</v>
      </c>
      <c r="E7" s="244"/>
      <c r="F7" s="256">
        <f>'DOE25'!J195+'DOE25'!J213+'DOE25'!J231</f>
        <v>8835.76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63115.519999999997</v>
      </c>
      <c r="D8" s="244"/>
      <c r="E8" s="20">
        <f>'DOE25'!L196+'DOE25'!L214+'DOE25'!L232-F8-G8-D9-D11</f>
        <v>62848.049999999996</v>
      </c>
      <c r="F8" s="256">
        <f>'DOE25'!J196+'DOE25'!J214+'DOE25'!J232</f>
        <v>0</v>
      </c>
      <c r="G8" s="53">
        <f>'DOE25'!K196+'DOE25'!K214+'DOE25'!K232</f>
        <v>267.47000000000003</v>
      </c>
      <c r="H8" s="260"/>
    </row>
    <row r="9" spans="1:9" x14ac:dyDescent="0.2">
      <c r="A9" s="32">
        <v>2310</v>
      </c>
      <c r="B9" t="s">
        <v>852</v>
      </c>
      <c r="C9" s="246">
        <f t="shared" si="0"/>
        <v>2561.33</v>
      </c>
      <c r="D9" s="245">
        <v>2561.33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3600</v>
      </c>
      <c r="D10" s="244"/>
      <c r="E10" s="245">
        <v>3600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13610.21</v>
      </c>
      <c r="D11" s="245">
        <v>13610.21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142111.30000000002</v>
      </c>
      <c r="D12" s="20">
        <f>'DOE25'!L197+'DOE25'!L215+'DOE25'!L233-F12-G12</f>
        <v>141222.30000000002</v>
      </c>
      <c r="E12" s="244"/>
      <c r="F12" s="256">
        <f>'DOE25'!J197+'DOE25'!J215+'DOE25'!J233</f>
        <v>0</v>
      </c>
      <c r="G12" s="53">
        <f>'DOE25'!K197+'DOE25'!K215+'DOE25'!K233</f>
        <v>889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96483.47</v>
      </c>
      <c r="D14" s="20">
        <f>'DOE25'!L199+'DOE25'!L217+'DOE25'!L235-F14-G14</f>
        <v>96438.49</v>
      </c>
      <c r="E14" s="244"/>
      <c r="F14" s="256">
        <f>'DOE25'!J199+'DOE25'!J217+'DOE25'!J235</f>
        <v>44.98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2737.5</v>
      </c>
      <c r="D15" s="20">
        <f>'DOE25'!L200+'DOE25'!L218+'DOE25'!L236-F15-G15</f>
        <v>2737.5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33067</v>
      </c>
      <c r="D22" s="244"/>
      <c r="E22" s="244"/>
      <c r="F22" s="256">
        <f>'DOE25'!L247+'DOE25'!L328</f>
        <v>33067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173053.84</v>
      </c>
      <c r="D25" s="244"/>
      <c r="E25" s="244"/>
      <c r="F25" s="259"/>
      <c r="G25" s="257"/>
      <c r="H25" s="258">
        <f>'DOE25'!L252+'DOE25'!L253+'DOE25'!L333+'DOE25'!L334</f>
        <v>173053.84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1199.33</v>
      </c>
      <c r="D29" s="20">
        <f>'DOE25'!L350+'DOE25'!L351+'DOE25'!L352-'DOE25'!I359-F29-G29</f>
        <v>1199.33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11703.76</v>
      </c>
      <c r="D31" s="20">
        <f>'DOE25'!L282+'DOE25'!L301+'DOE25'!L320+'DOE25'!L325+'DOE25'!L326+'DOE25'!L327-F31-G31</f>
        <v>10389.94</v>
      </c>
      <c r="E31" s="244"/>
      <c r="F31" s="256">
        <f>'DOE25'!J282+'DOE25'!J301+'DOE25'!J320+'DOE25'!J325+'DOE25'!J326+'DOE25'!J327</f>
        <v>1313.82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833964.78999999992</v>
      </c>
      <c r="E33" s="247">
        <f>SUM(E5:E31)</f>
        <v>66448.049999999988</v>
      </c>
      <c r="F33" s="247">
        <f>SUM(F5:F31)</f>
        <v>44366.28</v>
      </c>
      <c r="G33" s="247">
        <f>SUM(G5:G31)</f>
        <v>1438.46</v>
      </c>
      <c r="H33" s="247">
        <f>SUM(H5:H31)</f>
        <v>173053.84</v>
      </c>
    </row>
    <row r="35" spans="2:8" ht="12" thickBot="1" x14ac:dyDescent="0.25">
      <c r="B35" s="254" t="s">
        <v>881</v>
      </c>
      <c r="D35" s="255">
        <f>E33</f>
        <v>66448.049999999988</v>
      </c>
      <c r="E35" s="250"/>
    </row>
    <row r="36" spans="2:8" ht="12" thickTop="1" x14ac:dyDescent="0.2">
      <c r="B36" t="s">
        <v>849</v>
      </c>
      <c r="D36" s="20">
        <f>D33</f>
        <v>833964.78999999992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B973-CB79-41B8-9B14-EBD370635EE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43606.84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13.63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51503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318.07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260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95687.91</v>
      </c>
      <c r="D19" s="41">
        <f>SUM(D9:D18)</f>
        <v>13.63</v>
      </c>
      <c r="E19" s="41">
        <f>SUM(E9:E18)</f>
        <v>0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13.63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13.63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89273.23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6414.68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95687.91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95687.91</v>
      </c>
      <c r="D43" s="41">
        <f>D42+D32</f>
        <v>13.63</v>
      </c>
      <c r="E43" s="41">
        <f>E42+E32</f>
        <v>0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159527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29140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20.03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1211.48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22472.1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51632.13</v>
      </c>
      <c r="D54" s="130">
        <f>SUM(D49:D53)</f>
        <v>1211.48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211159.13</v>
      </c>
      <c r="D55" s="22">
        <f>D48+D54</f>
        <v>1211.48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1742.74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820976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668.26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823387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47897.4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3339.78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51237.18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874624.18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46.4</v>
      </c>
      <c r="E80" s="95">
        <f>SUM('DOE25'!H145:H153)</f>
        <v>11703.76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28715.66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28715.66</v>
      </c>
      <c r="D83" s="131">
        <f>SUM(D77:D82)</f>
        <v>46.4</v>
      </c>
      <c r="E83" s="131">
        <f>SUM(E77:E82)</f>
        <v>11703.76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1156.5899999999999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1156.5899999999999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1114498.97</v>
      </c>
      <c r="D96" s="86">
        <f>D55+D73+D83+D95</f>
        <v>2414.4700000000003</v>
      </c>
      <c r="E96" s="86">
        <f>E55+E73+E83+E95</f>
        <v>11703.76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431705.01000000007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82124.42</v>
      </c>
      <c r="D102" s="24" t="s">
        <v>312</v>
      </c>
      <c r="E102" s="95">
        <f>('DOE25'!L269)+('DOE25'!L288)+('DOE25'!L307)</f>
        <v>2721.7400000000002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2599.62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516429.05000000005</v>
      </c>
      <c r="D107" s="86">
        <f>SUM(D101:D106)</f>
        <v>0</v>
      </c>
      <c r="E107" s="86">
        <f>SUM(E101:E106)</f>
        <v>2721.7400000000002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30977.21</v>
      </c>
      <c r="D110" s="24" t="s">
        <v>312</v>
      </c>
      <c r="E110" s="95">
        <f>+('DOE25'!L273)+('DOE25'!L292)+('DOE25'!L311)</f>
        <v>1117.08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28621.9</v>
      </c>
      <c r="D111" s="24" t="s">
        <v>312</v>
      </c>
      <c r="E111" s="95">
        <f>+('DOE25'!L274)+('DOE25'!L293)+('DOE25'!L312)</f>
        <v>7864.94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79287.06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142111.30000000002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96483.47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2737.5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2426.6999999999998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380218.43999999994</v>
      </c>
      <c r="D120" s="86">
        <f>SUM(D110:D119)</f>
        <v>2426.6999999999998</v>
      </c>
      <c r="E120" s="86">
        <f>SUM(E110:E119)</f>
        <v>8982.02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33067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159658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13395.84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1156.5899999999999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207277.43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1103924.92</v>
      </c>
      <c r="D137" s="86">
        <f>(D107+D120+D136)</f>
        <v>2426.6999999999998</v>
      </c>
      <c r="E137" s="86">
        <f>(E107+E120+E136)</f>
        <v>11703.76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7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7/90</v>
      </c>
      <c r="C144" s="152" t="str">
        <f>'DOE25'!G481</f>
        <v>7/05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7/09</v>
      </c>
      <c r="C145" s="152" t="str">
        <f>'DOE25'!G482</f>
        <v>8/12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1300000</v>
      </c>
      <c r="C146" s="137">
        <f>'DOE25'!G483</f>
        <v>662606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6.8</v>
      </c>
      <c r="C147" s="137">
        <f>'DOE25'!G484</f>
        <v>3.38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65000</v>
      </c>
      <c r="C148" s="137">
        <f>'DOE25'!G485</f>
        <v>378632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443632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65000</v>
      </c>
      <c r="C150" s="137">
        <f>'DOE25'!G487</f>
        <v>94658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159658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283974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283974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14345.52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14345.52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298319.52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298319.52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94658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94658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7973.63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7973.63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102631.63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102631.63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D41A-20E7-4536-B7F9-66324F8E8693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Waterville Valley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25741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25741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431705</v>
      </c>
      <c r="D10" s="182">
        <f>ROUND((C10/$C$28)*100,1)</f>
        <v>46.8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84846</v>
      </c>
      <c r="D11" s="182">
        <f>ROUND((C11/$C$28)*100,1)</f>
        <v>9.1999999999999993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2600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32094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36487</v>
      </c>
      <c r="D16" s="182">
        <f t="shared" si="0"/>
        <v>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79287</v>
      </c>
      <c r="D17" s="182">
        <f t="shared" si="0"/>
        <v>8.6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142111</v>
      </c>
      <c r="D18" s="182">
        <f t="shared" si="0"/>
        <v>15.4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96483</v>
      </c>
      <c r="D20" s="182">
        <f t="shared" si="0"/>
        <v>10.5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2738</v>
      </c>
      <c r="D21" s="182">
        <f t="shared" si="0"/>
        <v>0.3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13396</v>
      </c>
      <c r="D25" s="182">
        <f t="shared" si="0"/>
        <v>1.5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1215.52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922962.52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33067</v>
      </c>
    </row>
    <row r="30" spans="1:4" x14ac:dyDescent="0.2">
      <c r="B30" s="187" t="s">
        <v>760</v>
      </c>
      <c r="C30" s="180">
        <f>SUM(C28:C29)</f>
        <v>956029.52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159658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159527</v>
      </c>
      <c r="D35" s="182">
        <f t="shared" ref="D35:D40" si="1">ROUND((C35/$C$41)*100,1)</f>
        <v>14.2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51632.130000000005</v>
      </c>
      <c r="D36" s="182">
        <f t="shared" si="1"/>
        <v>4.5999999999999996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822719</v>
      </c>
      <c r="D37" s="182">
        <f t="shared" si="1"/>
        <v>73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51905</v>
      </c>
      <c r="D38" s="182">
        <f t="shared" si="1"/>
        <v>4.5999999999999996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40466</v>
      </c>
      <c r="D39" s="182">
        <f t="shared" si="1"/>
        <v>3.6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1126249.1299999999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C9CA-F725-406B-86DC-88424AAD88F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Waterville Valley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DC39:DM39"/>
    <mergeCell ref="DP39:DZ39"/>
    <mergeCell ref="EC39:EM39"/>
    <mergeCell ref="GC39:GM39"/>
    <mergeCell ref="EP40:EZ40"/>
    <mergeCell ref="P39:Z39"/>
    <mergeCell ref="AC39:AM39"/>
    <mergeCell ref="AP39:AZ39"/>
    <mergeCell ref="BP39:BZ39"/>
    <mergeCell ref="CC39:CM39"/>
    <mergeCell ref="GP39:GZ39"/>
    <mergeCell ref="IC39:IM39"/>
    <mergeCell ref="GP38:GZ38"/>
    <mergeCell ref="HC38:HM38"/>
    <mergeCell ref="HP39:HZ39"/>
    <mergeCell ref="HC39:H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2010-10-29T18:35:04Z</cp:lastPrinted>
  <dcterms:created xsi:type="dcterms:W3CDTF">1997-12-04T19:04:30Z</dcterms:created>
  <dcterms:modified xsi:type="dcterms:W3CDTF">2025-01-09T20:18:19Z</dcterms:modified>
</cp:coreProperties>
</file>