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8C70721-CD13-4659-BD89-9E87D077F15D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524990D3-65A2-43A8-A2F5-A55CB30C9D4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B2" i="10"/>
  <c r="L350" i="1"/>
  <c r="F651" i="1" s="1"/>
  <c r="I651" i="1" s="1"/>
  <c r="L351" i="1"/>
  <c r="L352" i="1"/>
  <c r="H651" i="1" s="1"/>
  <c r="C5" i="10"/>
  <c r="L230" i="1"/>
  <c r="I655" i="1"/>
  <c r="G651" i="1"/>
  <c r="I660" i="1"/>
  <c r="L268" i="1"/>
  <c r="L306" i="1"/>
  <c r="L269" i="1"/>
  <c r="L307" i="1"/>
  <c r="L190" i="1"/>
  <c r="C11" i="10" s="1"/>
  <c r="L226" i="1"/>
  <c r="L271" i="1"/>
  <c r="C13" i="10" s="1"/>
  <c r="L309" i="1"/>
  <c r="L192" i="1"/>
  <c r="L273" i="1"/>
  <c r="L311" i="1"/>
  <c r="L194" i="1"/>
  <c r="C110" i="2" s="1"/>
  <c r="L274" i="1"/>
  <c r="L312" i="1"/>
  <c r="L275" i="1"/>
  <c r="L280" i="1"/>
  <c r="E117" i="2" s="1"/>
  <c r="L313" i="1"/>
  <c r="L318" i="1"/>
  <c r="L196" i="1"/>
  <c r="C17" i="10" s="1"/>
  <c r="L232" i="1"/>
  <c r="L270" i="1"/>
  <c r="E103" i="2" s="1"/>
  <c r="L308" i="1"/>
  <c r="L277" i="1"/>
  <c r="E114" i="2" s="1"/>
  <c r="C20" i="10"/>
  <c r="L200" i="1"/>
  <c r="L236" i="1"/>
  <c r="L368" i="1"/>
  <c r="L367" i="1"/>
  <c r="L369" i="1"/>
  <c r="L370" i="1"/>
  <c r="L371" i="1"/>
  <c r="L372" i="1"/>
  <c r="J52" i="1"/>
  <c r="F103" i="1"/>
  <c r="J103" i="1"/>
  <c r="J104" i="1" s="1"/>
  <c r="H71" i="1"/>
  <c r="H103" i="1"/>
  <c r="H104" i="1"/>
  <c r="C37" i="10"/>
  <c r="H128" i="1"/>
  <c r="F128" i="1"/>
  <c r="H154" i="1"/>
  <c r="G154" i="1"/>
  <c r="G161" i="1"/>
  <c r="C40" i="10"/>
  <c r="C42" i="10"/>
  <c r="A1" i="2"/>
  <c r="A2" i="2"/>
  <c r="C9" i="2"/>
  <c r="D9" i="2"/>
  <c r="D19" i="2" s="1"/>
  <c r="E9" i="2"/>
  <c r="F9" i="2"/>
  <c r="C10" i="2"/>
  <c r="C19" i="2" s="1"/>
  <c r="D10" i="2"/>
  <c r="E10" i="2"/>
  <c r="F10" i="2"/>
  <c r="F19" i="2" s="1"/>
  <c r="C11" i="2"/>
  <c r="C12" i="2"/>
  <c r="D12" i="2"/>
  <c r="E12" i="2"/>
  <c r="E19" i="2" s="1"/>
  <c r="F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D22" i="2"/>
  <c r="E22" i="2"/>
  <c r="E32" i="2" s="1"/>
  <c r="F22" i="2"/>
  <c r="F32" i="2" s="1"/>
  <c r="G22" i="2"/>
  <c r="C23" i="2"/>
  <c r="C32" i="2" s="1"/>
  <c r="D23" i="2"/>
  <c r="E23" i="2"/>
  <c r="F23" i="2"/>
  <c r="C24" i="2"/>
  <c r="D24" i="2"/>
  <c r="D32" i="2" s="1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C42" i="2" s="1"/>
  <c r="C43" i="2" s="1"/>
  <c r="D34" i="2"/>
  <c r="E34" i="2"/>
  <c r="E42" i="2" s="1"/>
  <c r="E43" i="2" s="1"/>
  <c r="F34" i="2"/>
  <c r="C35" i="2"/>
  <c r="D35" i="2"/>
  <c r="E35" i="2"/>
  <c r="F35" i="2"/>
  <c r="F42" i="2" s="1"/>
  <c r="F43" i="2" s="1"/>
  <c r="C36" i="2"/>
  <c r="D36" i="2"/>
  <c r="E36" i="2"/>
  <c r="F36" i="2"/>
  <c r="C37" i="2"/>
  <c r="D37" i="2"/>
  <c r="D42" i="2" s="1"/>
  <c r="D43" i="2" s="1"/>
  <c r="E37" i="2"/>
  <c r="F37" i="2"/>
  <c r="C38" i="2"/>
  <c r="D38" i="2"/>
  <c r="E38" i="2"/>
  <c r="F38" i="2"/>
  <c r="C40" i="2"/>
  <c r="D40" i="2"/>
  <c r="E40" i="2"/>
  <c r="F40" i="2"/>
  <c r="I449" i="1"/>
  <c r="J41" i="1"/>
  <c r="G40" i="2"/>
  <c r="C41" i="2"/>
  <c r="D41" i="2"/>
  <c r="E41" i="2"/>
  <c r="F41" i="2"/>
  <c r="F48" i="2"/>
  <c r="G48" i="2"/>
  <c r="G55" i="2" s="1"/>
  <c r="E49" i="2"/>
  <c r="C51" i="2"/>
  <c r="D51" i="2"/>
  <c r="E51" i="2"/>
  <c r="F51" i="2"/>
  <c r="F54" i="2" s="1"/>
  <c r="F55" i="2" s="1"/>
  <c r="G51" i="2"/>
  <c r="D52" i="2"/>
  <c r="C53" i="2"/>
  <c r="D53" i="2"/>
  <c r="D54" i="2" s="1"/>
  <c r="E53" i="2"/>
  <c r="F53" i="2"/>
  <c r="G53" i="2"/>
  <c r="G54" i="2"/>
  <c r="C58" i="2"/>
  <c r="C62" i="2" s="1"/>
  <c r="C59" i="2"/>
  <c r="C60" i="2"/>
  <c r="C61" i="2"/>
  <c r="D61" i="2"/>
  <c r="E61" i="2"/>
  <c r="F61" i="2"/>
  <c r="F62" i="2" s="1"/>
  <c r="G61" i="2"/>
  <c r="D62" i="2"/>
  <c r="E62" i="2"/>
  <c r="G62" i="2"/>
  <c r="G73" i="2" s="1"/>
  <c r="C64" i="2"/>
  <c r="F64" i="2"/>
  <c r="C65" i="2"/>
  <c r="F65" i="2"/>
  <c r="C66" i="2"/>
  <c r="C70" i="2" s="1"/>
  <c r="C73" i="2" s="1"/>
  <c r="C67" i="2"/>
  <c r="C68" i="2"/>
  <c r="E68" i="2"/>
  <c r="F68" i="2"/>
  <c r="F70" i="2" s="1"/>
  <c r="F73" i="2" s="1"/>
  <c r="C69" i="2"/>
  <c r="D69" i="2"/>
  <c r="E69" i="2"/>
  <c r="E70" i="2" s="1"/>
  <c r="E73" i="2" s="1"/>
  <c r="F69" i="2"/>
  <c r="G69" i="2"/>
  <c r="D70" i="2"/>
  <c r="D73" i="2" s="1"/>
  <c r="G70" i="2"/>
  <c r="C71" i="2"/>
  <c r="D71" i="2"/>
  <c r="E71" i="2"/>
  <c r="C72" i="2"/>
  <c r="E72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C95" i="2" s="1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101" i="2"/>
  <c r="E102" i="2"/>
  <c r="C104" i="2"/>
  <c r="C105" i="2"/>
  <c r="D107" i="2"/>
  <c r="F107" i="2"/>
  <c r="G107" i="2"/>
  <c r="E110" i="2"/>
  <c r="C115" i="2"/>
  <c r="D119" i="2"/>
  <c r="D120" i="2" s="1"/>
  <c r="F120" i="2"/>
  <c r="G120" i="2"/>
  <c r="D126" i="2"/>
  <c r="L336" i="1"/>
  <c r="E126" i="2"/>
  <c r="F126" i="2"/>
  <c r="C127" i="2"/>
  <c r="C129" i="2"/>
  <c r="E129" i="2"/>
  <c r="L384" i="1"/>
  <c r="L388" i="1"/>
  <c r="L392" i="1"/>
  <c r="L387" i="1"/>
  <c r="L393" i="1" s="1"/>
  <c r="C131" i="2" s="1"/>
  <c r="L389" i="1"/>
  <c r="L390" i="1"/>
  <c r="L391" i="1"/>
  <c r="L258" i="1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2" i="2"/>
  <c r="G152" i="2" s="1"/>
  <c r="C152" i="2"/>
  <c r="D152" i="2"/>
  <c r="E152" i="2"/>
  <c r="F152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B156" i="2"/>
  <c r="G156" i="2" s="1"/>
  <c r="D156" i="2"/>
  <c r="B2" i="13"/>
  <c r="F5" i="13"/>
  <c r="D5" i="13" s="1"/>
  <c r="G5" i="13"/>
  <c r="G6" i="13"/>
  <c r="F6" i="13"/>
  <c r="F7" i="13"/>
  <c r="G7" i="13"/>
  <c r="G8" i="13"/>
  <c r="F8" i="13"/>
  <c r="C9" i="13"/>
  <c r="C10" i="13"/>
  <c r="C11" i="13"/>
  <c r="F12" i="13"/>
  <c r="G12" i="13"/>
  <c r="F13" i="13"/>
  <c r="G13" i="13"/>
  <c r="F14" i="13"/>
  <c r="G14" i="13"/>
  <c r="D14" i="13"/>
  <c r="C14" i="13" s="1"/>
  <c r="F15" i="13"/>
  <c r="G15" i="13"/>
  <c r="F16" i="13"/>
  <c r="G16" i="13"/>
  <c r="F17" i="13"/>
  <c r="G17" i="13"/>
  <c r="D17" i="13"/>
  <c r="C17" i="13" s="1"/>
  <c r="F18" i="13"/>
  <c r="G18" i="13"/>
  <c r="F19" i="13"/>
  <c r="G19" i="13"/>
  <c r="H25" i="13"/>
  <c r="H33" i="13" s="1"/>
  <c r="I359" i="1"/>
  <c r="D29" i="13" s="1"/>
  <c r="C29" i="13" s="1"/>
  <c r="F29" i="13"/>
  <c r="G29" i="13"/>
  <c r="J282" i="1"/>
  <c r="J330" i="1" s="1"/>
  <c r="J344" i="1" s="1"/>
  <c r="J320" i="1"/>
  <c r="K282" i="1"/>
  <c r="K330" i="1" s="1"/>
  <c r="K344" i="1" s="1"/>
  <c r="K320" i="1"/>
  <c r="L320" i="1"/>
  <c r="D39" i="13"/>
  <c r="B1" i="12"/>
  <c r="B4" i="12"/>
  <c r="B9" i="12"/>
  <c r="C9" i="12"/>
  <c r="B13" i="12"/>
  <c r="C13" i="12"/>
  <c r="A13" i="12"/>
  <c r="B18" i="12"/>
  <c r="C18" i="12"/>
  <c r="B22" i="12"/>
  <c r="C22" i="12"/>
  <c r="A22" i="12"/>
  <c r="B27" i="12"/>
  <c r="C27" i="12"/>
  <c r="A31" i="12" s="1"/>
  <c r="B31" i="12"/>
  <c r="C31" i="12"/>
  <c r="B36" i="12"/>
  <c r="A40" i="12" s="1"/>
  <c r="C36" i="12"/>
  <c r="B40" i="12"/>
  <c r="C40" i="12"/>
  <c r="J9" i="1"/>
  <c r="G9" i="2" s="1"/>
  <c r="J10" i="1"/>
  <c r="G10" i="2" s="1"/>
  <c r="J17" i="1"/>
  <c r="G17" i="2" s="1"/>
  <c r="F19" i="1"/>
  <c r="G19" i="1"/>
  <c r="H19" i="1"/>
  <c r="G609" i="1" s="1"/>
  <c r="I19" i="1"/>
  <c r="J23" i="1"/>
  <c r="J25" i="1"/>
  <c r="G24" i="2" s="1"/>
  <c r="J32" i="1"/>
  <c r="G31" i="2" s="1"/>
  <c r="F33" i="1"/>
  <c r="G33" i="1"/>
  <c r="H33" i="1"/>
  <c r="I33" i="1"/>
  <c r="J38" i="1"/>
  <c r="G37" i="2" s="1"/>
  <c r="F43" i="1"/>
  <c r="G43" i="1"/>
  <c r="G44" i="1" s="1"/>
  <c r="H608" i="1" s="1"/>
  <c r="J608" i="1" s="1"/>
  <c r="H43" i="1"/>
  <c r="H44" i="1" s="1"/>
  <c r="H609" i="1" s="1"/>
  <c r="I43" i="1"/>
  <c r="I44" i="1" s="1"/>
  <c r="H610" i="1" s="1"/>
  <c r="J610" i="1" s="1"/>
  <c r="F44" i="1"/>
  <c r="H607" i="1" s="1"/>
  <c r="J607" i="1" s="1"/>
  <c r="F52" i="1"/>
  <c r="C35" i="10" s="1"/>
  <c r="G52" i="1"/>
  <c r="G104" i="1" s="1"/>
  <c r="G185" i="1" s="1"/>
  <c r="G618" i="1" s="1"/>
  <c r="J618" i="1" s="1"/>
  <c r="H52" i="1"/>
  <c r="E48" i="2" s="1"/>
  <c r="I52" i="1"/>
  <c r="F71" i="1"/>
  <c r="C49" i="2" s="1"/>
  <c r="C54" i="2" s="1"/>
  <c r="F86" i="1"/>
  <c r="C50" i="2" s="1"/>
  <c r="H86" i="1"/>
  <c r="E50" i="2" s="1"/>
  <c r="G103" i="1"/>
  <c r="I103" i="1"/>
  <c r="I104" i="1"/>
  <c r="F113" i="1"/>
  <c r="F132" i="1" s="1"/>
  <c r="G113" i="1"/>
  <c r="H113" i="1"/>
  <c r="H132" i="1" s="1"/>
  <c r="I113" i="1"/>
  <c r="I132" i="1" s="1"/>
  <c r="I185" i="1" s="1"/>
  <c r="G620" i="1" s="1"/>
  <c r="J620" i="1" s="1"/>
  <c r="J113" i="1"/>
  <c r="J132" i="1" s="1"/>
  <c r="G128" i="1"/>
  <c r="I128" i="1"/>
  <c r="J128" i="1"/>
  <c r="G132" i="1"/>
  <c r="F139" i="1"/>
  <c r="C77" i="2" s="1"/>
  <c r="C83" i="2" s="1"/>
  <c r="G139" i="1"/>
  <c r="D77" i="2" s="1"/>
  <c r="D83" i="2" s="1"/>
  <c r="H139" i="1"/>
  <c r="H161" i="1" s="1"/>
  <c r="C39" i="10" s="1"/>
  <c r="I139" i="1"/>
  <c r="F154" i="1"/>
  <c r="I154" i="1"/>
  <c r="F161" i="1"/>
  <c r="I161" i="1"/>
  <c r="F169" i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I180" i="1"/>
  <c r="F184" i="1"/>
  <c r="H184" i="1"/>
  <c r="L189" i="1"/>
  <c r="L191" i="1"/>
  <c r="C103" i="2" s="1"/>
  <c r="L195" i="1"/>
  <c r="D7" i="13" s="1"/>
  <c r="C7" i="13" s="1"/>
  <c r="L197" i="1"/>
  <c r="D12" i="13" s="1"/>
  <c r="C12" i="13" s="1"/>
  <c r="L198" i="1"/>
  <c r="C19" i="10" s="1"/>
  <c r="L199" i="1"/>
  <c r="L201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L207" i="1"/>
  <c r="L221" i="1" s="1"/>
  <c r="L208" i="1"/>
  <c r="L209" i="1"/>
  <c r="L210" i="1"/>
  <c r="L212" i="1"/>
  <c r="L213" i="1"/>
  <c r="L214" i="1"/>
  <c r="C112" i="2" s="1"/>
  <c r="L215" i="1"/>
  <c r="L216" i="1"/>
  <c r="L217" i="1"/>
  <c r="L218" i="1"/>
  <c r="C116" i="2" s="1"/>
  <c r="L219" i="1"/>
  <c r="C117" i="2" s="1"/>
  <c r="F221" i="1"/>
  <c r="G221" i="1"/>
  <c r="H221" i="1"/>
  <c r="H249" i="1" s="1"/>
  <c r="H263" i="1" s="1"/>
  <c r="I221" i="1"/>
  <c r="J221" i="1"/>
  <c r="K221" i="1"/>
  <c r="L225" i="1"/>
  <c r="L239" i="1" s="1"/>
  <c r="H650" i="1" s="1"/>
  <c r="L227" i="1"/>
  <c r="L228" i="1"/>
  <c r="L231" i="1"/>
  <c r="L233" i="1"/>
  <c r="L234" i="1"/>
  <c r="L235" i="1"/>
  <c r="L237" i="1"/>
  <c r="F239" i="1"/>
  <c r="G239" i="1"/>
  <c r="H239" i="1"/>
  <c r="I239" i="1"/>
  <c r="J239" i="1"/>
  <c r="K239" i="1"/>
  <c r="L242" i="1"/>
  <c r="L243" i="1"/>
  <c r="C106" i="2" s="1"/>
  <c r="L244" i="1"/>
  <c r="D18" i="13" s="1"/>
  <c r="C18" i="13" s="1"/>
  <c r="L245" i="1"/>
  <c r="D19" i="13" s="1"/>
  <c r="C19" i="13" s="1"/>
  <c r="L246" i="1"/>
  <c r="L247" i="1"/>
  <c r="F22" i="13" s="1"/>
  <c r="C22" i="13" s="1"/>
  <c r="F248" i="1"/>
  <c r="G248" i="1"/>
  <c r="H248" i="1"/>
  <c r="L248" i="1" s="1"/>
  <c r="I248" i="1"/>
  <c r="J248" i="1"/>
  <c r="K248" i="1"/>
  <c r="G249" i="1"/>
  <c r="G263" i="1" s="1"/>
  <c r="J249" i="1"/>
  <c r="H638" i="1" s="1"/>
  <c r="L252" i="1"/>
  <c r="C32" i="10" s="1"/>
  <c r="L253" i="1"/>
  <c r="C124" i="2" s="1"/>
  <c r="L255" i="1"/>
  <c r="L256" i="1"/>
  <c r="C128" i="2" s="1"/>
  <c r="L257" i="1"/>
  <c r="L260" i="1"/>
  <c r="C26" i="10" s="1"/>
  <c r="L261" i="1"/>
  <c r="C135" i="2" s="1"/>
  <c r="F262" i="1"/>
  <c r="L262" i="1" s="1"/>
  <c r="G262" i="1"/>
  <c r="H262" i="1"/>
  <c r="I262" i="1"/>
  <c r="J262" i="1"/>
  <c r="K262" i="1"/>
  <c r="L276" i="1"/>
  <c r="E113" i="2" s="1"/>
  <c r="L278" i="1"/>
  <c r="E115" i="2" s="1"/>
  <c r="L279" i="1"/>
  <c r="F282" i="1"/>
  <c r="G282" i="1"/>
  <c r="G330" i="1" s="1"/>
  <c r="G344" i="1" s="1"/>
  <c r="H282" i="1"/>
  <c r="I282" i="1"/>
  <c r="I330" i="1" s="1"/>
  <c r="I344" i="1" s="1"/>
  <c r="L287" i="1"/>
  <c r="L301" i="1" s="1"/>
  <c r="L288" i="1"/>
  <c r="L289" i="1"/>
  <c r="L290" i="1"/>
  <c r="L292" i="1"/>
  <c r="L293" i="1"/>
  <c r="E111" i="2" s="1"/>
  <c r="L294" i="1"/>
  <c r="E112" i="2" s="1"/>
  <c r="L295" i="1"/>
  <c r="L296" i="1"/>
  <c r="L297" i="1"/>
  <c r="L298" i="1"/>
  <c r="C21" i="10" s="1"/>
  <c r="L299" i="1"/>
  <c r="F301" i="1"/>
  <c r="G301" i="1"/>
  <c r="H301" i="1"/>
  <c r="I301" i="1"/>
  <c r="J301" i="1"/>
  <c r="K301" i="1"/>
  <c r="L314" i="1"/>
  <c r="L315" i="1"/>
  <c r="L316" i="1"/>
  <c r="L317" i="1"/>
  <c r="H652" i="1" s="1"/>
  <c r="F320" i="1"/>
  <c r="G320" i="1"/>
  <c r="H320" i="1"/>
  <c r="I320" i="1"/>
  <c r="L324" i="1"/>
  <c r="C23" i="10" s="1"/>
  <c r="L325" i="1"/>
  <c r="E106" i="2" s="1"/>
  <c r="L326" i="1"/>
  <c r="L327" i="1"/>
  <c r="L328" i="1"/>
  <c r="E122" i="2" s="1"/>
  <c r="F329" i="1"/>
  <c r="G329" i="1"/>
  <c r="H329" i="1"/>
  <c r="I329" i="1"/>
  <c r="J329" i="1"/>
  <c r="K329" i="1"/>
  <c r="L329" i="1"/>
  <c r="F330" i="1"/>
  <c r="F344" i="1" s="1"/>
  <c r="H330" i="1"/>
  <c r="H344" i="1" s="1"/>
  <c r="L333" i="1"/>
  <c r="L343" i="1" s="1"/>
  <c r="L334" i="1"/>
  <c r="E124" i="2" s="1"/>
  <c r="L337" i="1"/>
  <c r="E127" i="2" s="1"/>
  <c r="L338" i="1"/>
  <c r="L339" i="1"/>
  <c r="L341" i="1"/>
  <c r="E134" i="2" s="1"/>
  <c r="L342" i="1"/>
  <c r="K343" i="1"/>
  <c r="L353" i="1"/>
  <c r="F354" i="1"/>
  <c r="G354" i="1"/>
  <c r="H354" i="1"/>
  <c r="I354" i="1"/>
  <c r="J354" i="1"/>
  <c r="K354" i="1"/>
  <c r="I360" i="1"/>
  <c r="F361" i="1"/>
  <c r="G361" i="1"/>
  <c r="H361" i="1"/>
  <c r="L366" i="1"/>
  <c r="F122" i="2" s="1"/>
  <c r="F136" i="2" s="1"/>
  <c r="L373" i="1"/>
  <c r="F374" i="1"/>
  <c r="G374" i="1"/>
  <c r="H374" i="1"/>
  <c r="I374" i="1"/>
  <c r="J374" i="1"/>
  <c r="K374" i="1"/>
  <c r="L379" i="1"/>
  <c r="L385" i="1" s="1"/>
  <c r="L380" i="1"/>
  <c r="L381" i="1"/>
  <c r="L382" i="1"/>
  <c r="L383" i="1"/>
  <c r="F385" i="1"/>
  <c r="G385" i="1"/>
  <c r="G400" i="1" s="1"/>
  <c r="H635" i="1" s="1"/>
  <c r="H385" i="1"/>
  <c r="I385" i="1"/>
  <c r="F393" i="1"/>
  <c r="G393" i="1"/>
  <c r="H393" i="1"/>
  <c r="I393" i="1"/>
  <c r="I400" i="1" s="1"/>
  <c r="L395" i="1"/>
  <c r="L396" i="1"/>
  <c r="L397" i="1"/>
  <c r="L399" i="1" s="1"/>
  <c r="C132" i="2" s="1"/>
  <c r="L398" i="1"/>
  <c r="F399" i="1"/>
  <c r="G399" i="1"/>
  <c r="H399" i="1"/>
  <c r="I399" i="1"/>
  <c r="F400" i="1"/>
  <c r="H633" i="1" s="1"/>
  <c r="J633" i="1" s="1"/>
  <c r="H400" i="1"/>
  <c r="L405" i="1"/>
  <c r="L406" i="1"/>
  <c r="L411" i="1" s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K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K419" i="1"/>
  <c r="K426" i="1" s="1"/>
  <c r="G126" i="2" s="1"/>
  <c r="G136" i="2" s="1"/>
  <c r="G137" i="2" s="1"/>
  <c r="L421" i="1"/>
  <c r="L422" i="1"/>
  <c r="L425" i="1" s="1"/>
  <c r="L423" i="1"/>
  <c r="L424" i="1"/>
  <c r="F425" i="1"/>
  <c r="G425" i="1"/>
  <c r="H425" i="1"/>
  <c r="I425" i="1"/>
  <c r="J425" i="1"/>
  <c r="K425" i="1"/>
  <c r="F426" i="1"/>
  <c r="H426" i="1"/>
  <c r="I431" i="1"/>
  <c r="I438" i="1" s="1"/>
  <c r="G632" i="1" s="1"/>
  <c r="I432" i="1"/>
  <c r="I433" i="1"/>
  <c r="J12" i="1" s="1"/>
  <c r="G12" i="2" s="1"/>
  <c r="I436" i="1"/>
  <c r="I437" i="1"/>
  <c r="J18" i="1" s="1"/>
  <c r="G18" i="2" s="1"/>
  <c r="F438" i="1"/>
  <c r="G629" i="1" s="1"/>
  <c r="J629" i="1" s="1"/>
  <c r="G438" i="1"/>
  <c r="H438" i="1"/>
  <c r="G631" i="1" s="1"/>
  <c r="I440" i="1"/>
  <c r="I441" i="1"/>
  <c r="J24" i="1" s="1"/>
  <c r="I442" i="1"/>
  <c r="I443" i="1"/>
  <c r="F444" i="1"/>
  <c r="F451" i="1" s="1"/>
  <c r="H629" i="1" s="1"/>
  <c r="G444" i="1"/>
  <c r="H444" i="1"/>
  <c r="H451" i="1" s="1"/>
  <c r="H631" i="1" s="1"/>
  <c r="I444" i="1"/>
  <c r="I446" i="1"/>
  <c r="J37" i="1" s="1"/>
  <c r="I447" i="1"/>
  <c r="I448" i="1"/>
  <c r="J40" i="1" s="1"/>
  <c r="G39" i="2" s="1"/>
  <c r="F450" i="1"/>
  <c r="G450" i="1"/>
  <c r="H450" i="1"/>
  <c r="G451" i="1"/>
  <c r="F460" i="1"/>
  <c r="F466" i="1" s="1"/>
  <c r="H612" i="1" s="1"/>
  <c r="J612" i="1" s="1"/>
  <c r="G460" i="1"/>
  <c r="G466" i="1" s="1"/>
  <c r="H613" i="1" s="1"/>
  <c r="J613" i="1" s="1"/>
  <c r="H460" i="1"/>
  <c r="I460" i="1"/>
  <c r="I466" i="1" s="1"/>
  <c r="H615" i="1" s="1"/>
  <c r="J460" i="1"/>
  <c r="F464" i="1"/>
  <c r="G464" i="1"/>
  <c r="H464" i="1"/>
  <c r="I464" i="1"/>
  <c r="J464" i="1"/>
  <c r="J466" i="1" s="1"/>
  <c r="H616" i="1" s="1"/>
  <c r="H466" i="1"/>
  <c r="H614" i="1" s="1"/>
  <c r="K485" i="1"/>
  <c r="K486" i="1"/>
  <c r="K487" i="1"/>
  <c r="F488" i="1"/>
  <c r="B151" i="2" s="1"/>
  <c r="G488" i="1"/>
  <c r="C151" i="2" s="1"/>
  <c r="H488" i="1"/>
  <c r="D151" i="2" s="1"/>
  <c r="I488" i="1"/>
  <c r="I490" i="1" s="1"/>
  <c r="E153" i="2" s="1"/>
  <c r="J488" i="1"/>
  <c r="J490" i="1" s="1"/>
  <c r="F153" i="2" s="1"/>
  <c r="K489" i="1"/>
  <c r="F490" i="1"/>
  <c r="H490" i="1"/>
  <c r="D153" i="2" s="1"/>
  <c r="K491" i="1"/>
  <c r="K492" i="1"/>
  <c r="F493" i="1"/>
  <c r="K493" i="1" s="1"/>
  <c r="G493" i="1"/>
  <c r="C156" i="2" s="1"/>
  <c r="H493" i="1"/>
  <c r="I493" i="1"/>
  <c r="E156" i="2" s="1"/>
  <c r="J493" i="1"/>
  <c r="F156" i="2" s="1"/>
  <c r="F507" i="1"/>
  <c r="G507" i="1"/>
  <c r="H507" i="1"/>
  <c r="I507" i="1"/>
  <c r="L511" i="1"/>
  <c r="L514" i="1" s="1"/>
  <c r="L512" i="1"/>
  <c r="F540" i="1" s="1"/>
  <c r="L513" i="1"/>
  <c r="F541" i="1" s="1"/>
  <c r="F514" i="1"/>
  <c r="G514" i="1"/>
  <c r="H514" i="1"/>
  <c r="H535" i="1" s="1"/>
  <c r="I514" i="1"/>
  <c r="I535" i="1" s="1"/>
  <c r="J514" i="1"/>
  <c r="K514" i="1"/>
  <c r="K535" i="1" s="1"/>
  <c r="L516" i="1"/>
  <c r="L517" i="1"/>
  <c r="G540" i="1" s="1"/>
  <c r="L518" i="1"/>
  <c r="G541" i="1" s="1"/>
  <c r="F519" i="1"/>
  <c r="G519" i="1"/>
  <c r="G535" i="1" s="1"/>
  <c r="H519" i="1"/>
  <c r="I519" i="1"/>
  <c r="J519" i="1"/>
  <c r="K519" i="1"/>
  <c r="L521" i="1"/>
  <c r="H539" i="1" s="1"/>
  <c r="H542" i="1" s="1"/>
  <c r="L522" i="1"/>
  <c r="L523" i="1"/>
  <c r="F524" i="1"/>
  <c r="G524" i="1"/>
  <c r="H524" i="1"/>
  <c r="I524" i="1"/>
  <c r="J524" i="1"/>
  <c r="K524" i="1"/>
  <c r="L526" i="1"/>
  <c r="I539" i="1" s="1"/>
  <c r="L527" i="1"/>
  <c r="L528" i="1"/>
  <c r="I541" i="1" s="1"/>
  <c r="F529" i="1"/>
  <c r="G529" i="1"/>
  <c r="H529" i="1"/>
  <c r="I529" i="1"/>
  <c r="J529" i="1"/>
  <c r="K529" i="1"/>
  <c r="L531" i="1"/>
  <c r="L532" i="1"/>
  <c r="L534" i="1" s="1"/>
  <c r="L533" i="1"/>
  <c r="J541" i="1" s="1"/>
  <c r="F534" i="1"/>
  <c r="G534" i="1"/>
  <c r="H534" i="1"/>
  <c r="I534" i="1"/>
  <c r="J534" i="1"/>
  <c r="K534" i="1"/>
  <c r="F535" i="1"/>
  <c r="J535" i="1"/>
  <c r="G539" i="1"/>
  <c r="J539" i="1"/>
  <c r="H540" i="1"/>
  <c r="I540" i="1"/>
  <c r="H541" i="1"/>
  <c r="L547" i="1"/>
  <c r="L548" i="1"/>
  <c r="L549" i="1"/>
  <c r="F550" i="1"/>
  <c r="F561" i="1" s="1"/>
  <c r="G550" i="1"/>
  <c r="G561" i="1" s="1"/>
  <c r="H550" i="1"/>
  <c r="I550" i="1"/>
  <c r="J550" i="1"/>
  <c r="J561" i="1" s="1"/>
  <c r="K550" i="1"/>
  <c r="L550" i="1"/>
  <c r="L561" i="1" s="1"/>
  <c r="L552" i="1"/>
  <c r="L553" i="1"/>
  <c r="L555" i="1" s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J588" i="1"/>
  <c r="H641" i="1" s="1"/>
  <c r="J641" i="1" s="1"/>
  <c r="K592" i="1"/>
  <c r="K593" i="1"/>
  <c r="K595" i="1" s="1"/>
  <c r="G638" i="1" s="1"/>
  <c r="K594" i="1"/>
  <c r="H595" i="1"/>
  <c r="I595" i="1"/>
  <c r="J595" i="1"/>
  <c r="L601" i="1"/>
  <c r="L604" i="1" s="1"/>
  <c r="L602" i="1"/>
  <c r="L603" i="1"/>
  <c r="F604" i="1"/>
  <c r="G604" i="1"/>
  <c r="H604" i="1"/>
  <c r="I604" i="1"/>
  <c r="J604" i="1"/>
  <c r="K604" i="1"/>
  <c r="G607" i="1"/>
  <c r="G608" i="1"/>
  <c r="G610" i="1"/>
  <c r="G612" i="1"/>
  <c r="G613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H630" i="1"/>
  <c r="J630" i="1"/>
  <c r="G633" i="1"/>
  <c r="G634" i="1"/>
  <c r="H634" i="1"/>
  <c r="J634" i="1"/>
  <c r="H637" i="1"/>
  <c r="G639" i="1"/>
  <c r="G640" i="1"/>
  <c r="H640" i="1"/>
  <c r="J640" i="1"/>
  <c r="G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F652" i="1"/>
  <c r="I652" i="1" s="1"/>
  <c r="G652" i="1"/>
  <c r="F653" i="1"/>
  <c r="G653" i="1"/>
  <c r="H653" i="1"/>
  <c r="I653" i="1"/>
  <c r="I659" i="1"/>
  <c r="I542" i="1" l="1"/>
  <c r="E120" i="2"/>
  <c r="G19" i="2"/>
  <c r="D137" i="2"/>
  <c r="E54" i="2"/>
  <c r="E55" i="2" s="1"/>
  <c r="E96" i="2" s="1"/>
  <c r="H185" i="1"/>
  <c r="G619" i="1" s="1"/>
  <c r="J619" i="1" s="1"/>
  <c r="K541" i="1"/>
  <c r="G96" i="2"/>
  <c r="J185" i="1"/>
  <c r="J638" i="1"/>
  <c r="K490" i="1"/>
  <c r="J631" i="1"/>
  <c r="E107" i="2"/>
  <c r="G542" i="1"/>
  <c r="H654" i="1"/>
  <c r="J33" i="1"/>
  <c r="G23" i="2"/>
  <c r="G32" i="2" s="1"/>
  <c r="C38" i="10"/>
  <c r="G36" i="2"/>
  <c r="G42" i="2" s="1"/>
  <c r="G43" i="2" s="1"/>
  <c r="J43" i="1"/>
  <c r="J609" i="1"/>
  <c r="F33" i="13"/>
  <c r="F96" i="2"/>
  <c r="L426" i="1"/>
  <c r="G628" i="1" s="1"/>
  <c r="J628" i="1" s="1"/>
  <c r="C130" i="2"/>
  <c r="C133" i="2" s="1"/>
  <c r="L400" i="1"/>
  <c r="G650" i="1"/>
  <c r="G654" i="1" s="1"/>
  <c r="C5" i="13"/>
  <c r="F137" i="2"/>
  <c r="C122" i="2"/>
  <c r="J540" i="1"/>
  <c r="J542" i="1" s="1"/>
  <c r="L519" i="1"/>
  <c r="G490" i="1"/>
  <c r="C153" i="2" s="1"/>
  <c r="G31" i="13"/>
  <c r="G33" i="13" s="1"/>
  <c r="C25" i="13"/>
  <c r="D6" i="13"/>
  <c r="C6" i="13" s="1"/>
  <c r="C102" i="2"/>
  <c r="C29" i="10"/>
  <c r="C18" i="10"/>
  <c r="L524" i="1"/>
  <c r="J263" i="1"/>
  <c r="L203" i="1"/>
  <c r="C101" i="2"/>
  <c r="C107" i="2" s="1"/>
  <c r="K488" i="1"/>
  <c r="I361" i="1"/>
  <c r="H624" i="1" s="1"/>
  <c r="J624" i="1" s="1"/>
  <c r="F31" i="13"/>
  <c r="F151" i="2"/>
  <c r="G151" i="2" s="1"/>
  <c r="C113" i="2"/>
  <c r="E77" i="2"/>
  <c r="E83" i="2" s="1"/>
  <c r="L354" i="1"/>
  <c r="C12" i="10"/>
  <c r="C114" i="2"/>
  <c r="G635" i="1"/>
  <c r="J635" i="1" s="1"/>
  <c r="G615" i="1"/>
  <c r="J615" i="1" s="1"/>
  <c r="L529" i="1"/>
  <c r="L535" i="1" s="1"/>
  <c r="E8" i="13"/>
  <c r="E151" i="2"/>
  <c r="C134" i="2"/>
  <c r="D48" i="2"/>
  <c r="D55" i="2" s="1"/>
  <c r="D96" i="2" s="1"/>
  <c r="C15" i="10"/>
  <c r="C16" i="10"/>
  <c r="J19" i="1"/>
  <c r="G611" i="1" s="1"/>
  <c r="E16" i="13"/>
  <c r="C16" i="13" s="1"/>
  <c r="E13" i="13"/>
  <c r="C13" i="13" s="1"/>
  <c r="E105" i="2"/>
  <c r="C48" i="2"/>
  <c r="C55" i="2" s="1"/>
  <c r="C96" i="2" s="1"/>
  <c r="C25" i="10"/>
  <c r="C10" i="10"/>
  <c r="L374" i="1"/>
  <c r="G626" i="1" s="1"/>
  <c r="J626" i="1" s="1"/>
  <c r="L282" i="1"/>
  <c r="F104" i="1"/>
  <c r="F185" i="1" s="1"/>
  <c r="G617" i="1" s="1"/>
  <c r="J617" i="1" s="1"/>
  <c r="C24" i="10"/>
  <c r="G614" i="1"/>
  <c r="J614" i="1" s="1"/>
  <c r="I450" i="1"/>
  <c r="I451" i="1" s="1"/>
  <c r="H632" i="1" s="1"/>
  <c r="J632" i="1" s="1"/>
  <c r="B153" i="2"/>
  <c r="G153" i="2" s="1"/>
  <c r="E123" i="2"/>
  <c r="E136" i="2" s="1"/>
  <c r="C111" i="2"/>
  <c r="C120" i="2" s="1"/>
  <c r="E104" i="2"/>
  <c r="C123" i="2"/>
  <c r="E116" i="2"/>
  <c r="D15" i="13"/>
  <c r="C15" i="13" s="1"/>
  <c r="F539" i="1"/>
  <c r="K539" i="1" l="1"/>
  <c r="F542" i="1"/>
  <c r="D31" i="13"/>
  <c r="L330" i="1"/>
  <c r="L344" i="1" s="1"/>
  <c r="G623" i="1" s="1"/>
  <c r="J623" i="1" s="1"/>
  <c r="G627" i="1"/>
  <c r="J627" i="1" s="1"/>
  <c r="H636" i="1"/>
  <c r="H657" i="1"/>
  <c r="H662" i="1"/>
  <c r="C6" i="10" s="1"/>
  <c r="G621" i="1"/>
  <c r="J621" i="1" s="1"/>
  <c r="G636" i="1"/>
  <c r="J636" i="1" s="1"/>
  <c r="C28" i="10"/>
  <c r="D16" i="10" s="1"/>
  <c r="E33" i="13"/>
  <c r="D35" i="13" s="1"/>
  <c r="C8" i="13"/>
  <c r="L249" i="1"/>
  <c r="L263" i="1" s="1"/>
  <c r="G622" i="1" s="1"/>
  <c r="J622" i="1" s="1"/>
  <c r="F650" i="1"/>
  <c r="C136" i="2"/>
  <c r="C137" i="2" s="1"/>
  <c r="J44" i="1"/>
  <c r="H611" i="1" s="1"/>
  <c r="J611" i="1" s="1"/>
  <c r="G616" i="1"/>
  <c r="J616" i="1" s="1"/>
  <c r="K540" i="1"/>
  <c r="E137" i="2"/>
  <c r="G625" i="1"/>
  <c r="J625" i="1" s="1"/>
  <c r="C27" i="10"/>
  <c r="C36" i="10"/>
  <c r="G657" i="1"/>
  <c r="G662" i="1"/>
  <c r="D15" i="10"/>
  <c r="D24" i="10" l="1"/>
  <c r="D22" i="10"/>
  <c r="C30" i="10"/>
  <c r="D26" i="10"/>
  <c r="D19" i="10"/>
  <c r="D21" i="10"/>
  <c r="D11" i="10"/>
  <c r="D23" i="10"/>
  <c r="D20" i="10"/>
  <c r="D17" i="10"/>
  <c r="D13" i="10"/>
  <c r="D36" i="10"/>
  <c r="C41" i="10"/>
  <c r="D27" i="10"/>
  <c r="F654" i="1"/>
  <c r="I650" i="1"/>
  <c r="I654" i="1" s="1"/>
  <c r="C31" i="13"/>
  <c r="D33" i="13"/>
  <c r="D36" i="13" s="1"/>
  <c r="D18" i="10"/>
  <c r="K542" i="1"/>
  <c r="D25" i="10"/>
  <c r="D12" i="10"/>
  <c r="D10" i="10"/>
  <c r="H646" i="1"/>
  <c r="D28" i="10" l="1"/>
  <c r="I662" i="1"/>
  <c r="C7" i="10" s="1"/>
  <c r="I657" i="1"/>
  <c r="F657" i="1"/>
  <c r="F662" i="1"/>
  <c r="C4" i="10" s="1"/>
  <c r="D40" i="10"/>
  <c r="D35" i="10"/>
  <c r="D37" i="10"/>
  <c r="D39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5FD1B58-52B6-4399-82C0-BB591B21480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3074B2A-263D-4482-B17F-402F3EA6709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38FDF1B-46E0-4F33-8314-B56B050C29B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DC99627-8287-44E0-B9FC-11EEB51BB1D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FB55FA8-58C2-4246-8CB4-FAFA444E45A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3B17205-48A1-41A1-92C6-6C6B34BE562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818FC00-0DF8-4E52-A89E-138BA304557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6BE64EB-8186-4F8A-9E9E-FCA93F35FC6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EB4ABAB-6B68-4983-962F-5C38F668507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73ECF5A-96E8-41F5-9C30-879AE261389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70CC7E2-9098-437A-9EE7-E5D27911EFD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EAB3D8B-A047-480B-8682-228CA6722EC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<sst xmlns="http://schemas.openxmlformats.org/spreadsheetml/2006/main" count="3878" uniqueCount="905">
  <si>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</si>
  <si>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</si>
  <si>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</si>
  <si>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</si>
  <si>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</si>
  <si>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</si>
  <si>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</si>
  <si>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</si>
  <si>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</si>
  <si>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</si>
  <si>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</si>
  <si>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</si>
  <si>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</si>
  <si>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</si>
  <si>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</si>
  <si>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</si>
  <si>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</si>
  <si>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</si>
  <si>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</si>
  <si>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</si>
  <si>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</si>
  <si>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</si>
  <si>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</si>
  <si>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</si>
  <si>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</si>
  <si>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</si>
  <si>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</si>
  <si>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</si>
  <si>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</si>
  <si>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</si>
  <si>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</si>
  <si>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</si>
  <si>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</si>
  <si>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</si>
  <si>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</si>
  <si>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</si>
  <si>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</si>
  <si>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</si>
  <si>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</si>
  <si>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</si>
  <si>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</si>
  <si>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</si>
  <si>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</si>
  <si>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</si>
  <si>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</si>
  <si>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</si>
  <si>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</si>
  <si>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</si>
  <si>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</si>
  <si>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</si>
  <si>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</si>
  <si>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</si>
  <si>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</si>
  <si>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</si>
  <si>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</si>
  <si>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</si>
  <si>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</si>
  <si>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</si>
  <si>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</si>
  <si>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</si>
  <si>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</si>
  <si>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</si>
  <si>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</si>
  <si>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</si>
  <si>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</si>
  <si>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</si>
  <si>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</si>
  <si>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</si>
  <si>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</si>
  <si>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</si>
  <si>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</si>
  <si>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</si>
  <si>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</si>
  <si>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</si>
  <si>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</si>
  <si>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</si>
  <si>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</si>
  <si>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</si>
  <si>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</si>
  <si>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</si>
  <si>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</si>
  <si>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</si>
  <si>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</si>
  <si>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</si>
  <si>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</si>
  <si>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</si>
  <si>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</si>
  <si>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</si>
  <si>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</si>
  <si>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</si>
  <si>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</si>
  <si>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</si>
  <si>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</si>
  <si>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</si>
  <si>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</si>
  <si>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</si>
  <si>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</si>
  <si>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</si>
  <si>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</si>
  <si>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</si>
  <si>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</si>
  <si>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</si>
  <si>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</si>
  <si>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</si>
  <si>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</si>
  <si>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</si>
  <si>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</si>
  <si>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</si>
  <si>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</si>
  <si>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</si>
  <si>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</si>
  <si>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</si>
  <si>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</si>
  <si>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</si>
  <si>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</si>
  <si>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</si>
  <si>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</si>
  <si>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</si>
  <si>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</si>
  <si>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</si>
  <si>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</si>
  <si>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</si>
  <si>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</si>
  <si>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</si>
  <si>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</si>
  <si>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</si>
  <si>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</si>
  <si>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</si>
  <si>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</si>
  <si>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</si>
  <si>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</si>
  <si>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</si>
  <si>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</si>
  <si>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</si>
  <si>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</si>
  <si>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</si>
  <si>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</si>
  <si>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</si>
  <si>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</si>
  <si>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</si>
  <si>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</si>
  <si>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</si>
  <si>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</si>
  <si>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</si>
  <si>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</si>
  <si>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</si>
  <si>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</si>
  <si>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</si>
  <si>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</si>
  <si>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</si>
  <si>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</si>
  <si>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</si>
  <si>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</si>
  <si>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</si>
  <si>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</si>
  <si>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</si>
  <si>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</si>
  <si>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</si>
  <si>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</si>
  <si>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</si>
  <si>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</si>
  <si>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</si>
  <si>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</si>
  <si>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</si>
  <si>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</si>
  <si>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</si>
  <si>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</si>
  <si>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</si>
  <si>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</si>
  <si>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</si>
  <si>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</si>
  <si>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</si>
  <si>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</si>
  <si>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</si>
  <si>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</si>
  <si>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</si>
  <si>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</si>
  <si>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</si>
  <si>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</si>
  <si>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</si>
  <si>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</si>
  <si>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</si>
  <si>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</si>
  <si>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</si>
  <si>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</si>
  <si>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</si>
  <si>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</si>
  <si>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</si>
  <si>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</si>
  <si>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</si>
  <si>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</si>
  <si>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</si>
  <si>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</si>
  <si>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</si>
  <si>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</si>
  <si>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</si>
  <si>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</si>
  <si>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</si>
  <si>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</si>
  <si>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</si>
  <si>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</si>
  <si>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</si>
  <si>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</si>
  <si>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</si>
  <si>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</si>
  <si>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</si>
  <si>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</si>
  <si>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</si>
  <si>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</si>
  <si>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</si>
  <si>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</si>
  <si>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</si>
  <si>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</si>
  <si>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</si>
  <si>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</si>
  <si>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</si>
  <si>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</si>
  <si>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</si>
  <si>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</si>
  <si>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</si>
  <si>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</si>
  <si>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</si>
  <si>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</si>
  <si>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</si>
  <si>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</si>
  <si>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</si>
  <si>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</si>
  <si>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</si>
  <si>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</si>
  <si>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</si>
  <si>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</si>
  <si>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</si>
  <si>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</si>
  <si>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</si>
  <si>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</si>
  <si>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</si>
  <si>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</si>
  <si>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</si>
  <si>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</si>
  <si>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</si>
  <si>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</si>
  <si>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</si>
  <si>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</si>
  <si>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</si>
  <si>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</si>
  <si>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</si>
  <si>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</si>
  <si>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</si>
  <si>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</si>
  <si>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</si>
  <si>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</si>
  <si>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</si>
  <si>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</si>
  <si>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</si>
  <si>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</si>
  <si>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</si>
  <si>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</si>
  <si>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</si>
  <si>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</si>
  <si>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</si>
  <si>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</si>
  <si>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</si>
  <si>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</si>
  <si>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</si>
  <si>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</si>
  <si>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</si>
  <si>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</si>
  <si>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</si>
  <si>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</si>
  <si>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</si>
  <si>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</si>
  <si>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</si>
  <si>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</si>
  <si>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</si>
  <si>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</si>
  <si>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</si>
  <si>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</si>
  <si>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</si>
  <si>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</si>
  <si>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</si>
  <si>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</si>
  <si>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</si>
  <si>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</si>
  <si>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</si>
  <si>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</si>
  <si>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</si>
  <si>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</si>
  <si>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</si>
  <si>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</si>
  <si>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</si>
  <si>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</si>
  <si>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</si>
  <si>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</si>
  <si>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</si>
  <si>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</si>
  <si>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</si>
  <si>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</si>
  <si>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</si>
  <si>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</si>
  <si>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</si>
  <si>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</si>
  <si>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</si>
  <si>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</si>
  <si>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</si>
  <si>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</si>
  <si>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</si>
  <si>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</si>
  <si>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</si>
  <si>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</si>
  <si>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</si>
  <si>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</si>
  <si>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</si>
  <si>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</si>
  <si>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</si>
  <si>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</si>
  <si>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</si>
  <si>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</si>
  <si>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</si>
  <si>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</si>
  <si>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</si>
  <si>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</si>
  <si>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</si>
  <si>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</si>
  <si>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</si>
  <si>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</si>
  <si>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</si>
  <si>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</si>
  <si>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</si>
  <si>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</si>
  <si>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</si>
  <si>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</si>
  <si>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</si>
  <si>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</si>
  <si>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</si>
  <si>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</si>
  <si>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</si>
  <si>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</si>
  <si>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</si>
  <si>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</si>
  <si>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</si>
  <si>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</si>
  <si>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</si>
  <si>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</si>
  <si>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</si>
  <si>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</si>
  <si>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</si>
  <si>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</si>
  <si>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</si>
  <si>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</si>
  <si>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</si>
  <si>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</si>
  <si>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</si>
  <si>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</si>
  <si>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</si>
  <si>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</si>
  <si>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</si>
  <si>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</si>
  <si>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</si>
  <si>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</si>
  <si>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</si>
  <si>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</si>
  <si>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</si>
  <si>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</si>
  <si>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</si>
  <si>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</si>
  <si>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</si>
  <si>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</si>
  <si>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</si>
  <si>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</si>
  <si>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</si>
  <si>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</si>
  <si>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</si>
  <si>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</si>
  <si>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</si>
  <si>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</si>
  <si>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</si>
  <si>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</si>
  <si>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</si>
  <si>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</si>
  <si>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</si>
  <si>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</si>
  <si>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</si>
  <si>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</si>
  <si>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</si>
  <si>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</si>
  <si>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</si>
  <si>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</si>
  <si>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</si>
  <si>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</si>
  <si>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</si>
  <si>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</si>
  <si>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</si>
  <si>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</si>
  <si>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</si>
  <si>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</si>
  <si>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</si>
  <si>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</si>
  <si>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</si>
  <si>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</si>
  <si>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</si>
  <si>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</si>
  <si>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</si>
  <si>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</si>
  <si>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</si>
  <si>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</si>
  <si>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</si>
  <si>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</si>
  <si>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</si>
  <si>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</si>
  <si>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</si>
  <si>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</si>
  <si>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</si>
  <si>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</si>
  <si>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</si>
  <si>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</si>
  <si>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</si>
  <si>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</si>
  <si>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</si>
  <si>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</si>
  <si>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</si>
  <si>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</si>
  <si>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</si>
  <si>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</si>
  <si>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</si>
  <si>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</si>
  <si>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</si>
  <si>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</si>
  <si>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</si>
  <si>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</si>
  <si>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</si>
  <si>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</si>
  <si>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</si>
  <si>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</si>
  <si>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</si>
  <si>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</si>
  <si>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</si>
  <si>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</si>
  <si>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</si>
  <si>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</si>
  <si>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</si>
  <si>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</si>
  <si>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</si>
  <si>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</si>
  <si>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</si>
  <si>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</si>
  <si>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</si>
  <si>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</si>
  <si>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</si>
  <si>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</si>
  <si>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</si>
  <si>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</si>
  <si>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</si>
  <si>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</si>
  <si>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</si>
  <si>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</si>
  <si>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</si>
  <si>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</si>
  <si>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</si>
  <si>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</si>
  <si>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</si>
  <si>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</si>
  <si>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</si>
  <si>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</si>
  <si>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</si>
  <si>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</si>
  <si>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</si>
  <si>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</si>
  <si>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</si>
  <si>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</si>
  <si>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</si>
  <si>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</si>
  <si>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</si>
  <si>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</si>
  <si>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</si>
  <si>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</si>
  <si>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</si>
  <si>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</si>
  <si>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</si>
  <si>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</si>
  <si>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</si>
  <si>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</si>
  <si>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</si>
  <si>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</si>
  <si>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</si>
  <si>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</si>
  <si>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</si>
  <si>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</si>
  <si>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</si>
  <si>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</si>
  <si>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</si>
  <si>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</si>
  <si>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</si>
  <si>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</si>
  <si>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</si>
  <si>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</si>
  <si>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</si>
  <si>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</si>
  <si>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</si>
  <si>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</si>
  <si>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</si>
  <si>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</si>
  <si>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</si>
  <si>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</si>
  <si>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</si>
  <si>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</si>
  <si>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</si>
  <si>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</si>
  <si>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</si>
  <si>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</si>
  <si>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</si>
  <si>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</si>
  <si>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</si>
  <si>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</si>
  <si>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</si>
  <si>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</si>
  <si>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</si>
  <si>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</si>
  <si>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</si>
  <si>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</si>
  <si>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</si>
  <si>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</si>
  <si>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</si>
  <si>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</si>
  <si>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</si>
  <si>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</si>
  <si>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</si>
  <si>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</si>
  <si>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</si>
  <si>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</si>
  <si>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</si>
  <si>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</si>
  <si>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</si>
  <si>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</si>
  <si>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</si>
  <si>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</si>
  <si>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</si>
  <si>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</si>
  <si>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</si>
  <si>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</si>
  <si>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</si>
  <si>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</si>
  <si>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</si>
  <si>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</si>
  <si>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</si>
  <si>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</si>
  <si>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</si>
  <si>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</si>
  <si>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</si>
  <si>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</si>
  <si>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</si>
  <si>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</si>
  <si>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</si>
  <si>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</si>
  <si>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</si>
  <si>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</si>
  <si>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</si>
  <si>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</si>
  <si>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</si>
  <si>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</si>
  <si>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</si>
  <si>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</si>
  <si>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</si>
  <si>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</si>
  <si>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</si>
  <si>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</si>
  <si>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</si>
  <si>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</si>
  <si>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</si>
  <si>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</si>
  <si>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</si>
  <si>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</si>
  <si>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</si>
  <si>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</si>
  <si>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</si>
  <si>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</si>
  <si>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</si>
  <si>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</si>
  <si>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</si>
  <si>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</si>
  <si>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</si>
  <si>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</si>
  <si>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</si>
  <si>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</si>
  <si>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</si>
  <si>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</si>
  <si>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</si>
  <si>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</si>
  <si>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</si>
  <si>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</si>
  <si>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</si>
  <si>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</si>
  <si>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</si>
  <si>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</si>
  <si>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</si>
  <si>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</si>
  <si>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</si>
  <si>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</si>
  <si>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</si>
  <si>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</si>
  <si>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</si>
  <si>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</si>
  <si>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</si>
  <si>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</si>
  <si>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</si>
  <si>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</si>
  <si>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</si>
  <si>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</si>
  <si>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</si>
  <si>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</si>
  <si>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</si>
  <si>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</si>
  <si>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</si>
  <si>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</si>
  <si>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</si>
  <si>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</si>
  <si>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</si>
  <si>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</si>
  <si>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</si>
  <si>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</si>
  <si>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</si>
  <si>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</si>
  <si>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</si>
  <si>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</si>
  <si>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</si>
  <si>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</si>
  <si>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</si>
  <si>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</si>
  <si>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</si>
  <si>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</si>
  <si>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</si>
  <si>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</si>
  <si>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</si>
  <si>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</si>
  <si>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</si>
  <si>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</si>
  <si>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</si>
  <si>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</si>
  <si>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</si>
  <si>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</si>
  <si>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</si>
  <si>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</si>
  <si>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</si>
  <si>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</si>
  <si>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</si>
  <si>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</si>
  <si>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</si>
  <si>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</si>
  <si>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</si>
  <si>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</si>
  <si>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</si>
  <si>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</si>
  <si>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</si>
  <si>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</si>
  <si>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</si>
  <si>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</si>
  <si>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</si>
  <si>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</si>
  <si>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</si>
  <si>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</si>
  <si>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</si>
  <si>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</si>
  <si>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</si>
  <si>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</si>
  <si>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</si>
  <si>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</si>
  <si>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</si>
  <si>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</si>
  <si>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</si>
  <si>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</si>
  <si>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</si>
  <si>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</si>
  <si>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</si>
  <si>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</si>
  <si>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</si>
  <si>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</si>
  <si>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</si>
  <si>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</si>
  <si>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</si>
  <si>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</si>
  <si>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</si>
  <si>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</si>
  <si>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</si>
  <si>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</si>
  <si>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</si>
  <si>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</si>
  <si>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</si>
  <si>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</si>
  <si>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</si>
  <si>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</si>
  <si>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</si>
  <si>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</si>
  <si>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</si>
  <si>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</si>
  <si>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</si>
  <si>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</si>
  <si>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</si>
  <si>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</si>
  <si>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</si>
  <si>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</si>
  <si>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</si>
  <si>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</si>
  <si>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</si>
  <si>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</si>
  <si>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</si>
  <si>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</si>
  <si>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</si>
  <si>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</si>
  <si>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</si>
  <si>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</si>
  <si>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</si>
  <si>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</si>
  <si>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</si>
  <si>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</si>
  <si>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</si>
  <si>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</si>
  <si>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</si>
  <si>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</si>
  <si>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</si>
  <si>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</si>
  <si>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</si>
  <si>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</si>
  <si>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</si>
  <si>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</si>
  <si>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</si>
  <si>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</si>
  <si>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</si>
  <si>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</si>
  <si>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</si>
  <si>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</si>
  <si>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</si>
  <si>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</si>
  <si>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</si>
  <si>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</si>
  <si>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</si>
  <si>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</si>
  <si>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</si>
  <si>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</si>
  <si>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</si>
  <si>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</si>
  <si>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</si>
  <si>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</si>
  <si>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</si>
  <si>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</si>
  <si>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</si>
  <si>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</si>
  <si>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</si>
  <si>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</si>
  <si>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</si>
  <si>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</si>
  <si>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</si>
  <si>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</si>
  <si>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</si>
  <si>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</si>
  <si>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</si>
  <si>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</si>
  <si>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</si>
  <si>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</si>
  <si>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</si>
  <si>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</si>
  <si>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</si>
  <si>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</si>
  <si>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</si>
  <si>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</si>
  <si>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</si>
  <si>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</si>
  <si>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</si>
  <si>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</si>
  <si>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</si>
  <si>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</si>
  <si>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</si>
  <si>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</si>
  <si>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</si>
  <si>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</si>
  <si>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</si>
  <si>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</si>
  <si>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</si>
  <si>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</si>
  <si>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</si>
  <si>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</si>
  <si>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</si>
  <si>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</si>
  <si>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</si>
  <si>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</si>
  <si>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</si>
  <si>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</si>
  <si>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</si>
  <si>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</si>
  <si>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</si>
  <si>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</si>
  <si>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</si>
  <si>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</si>
  <si>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</si>
  <si>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</si>
  <si>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</si>
  <si>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</si>
  <si>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</si>
  <si>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</si>
  <si>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</si>
  <si>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</si>
  <si>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</si>
  <si>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</si>
  <si>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</si>
  <si>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</si>
  <si>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</si>
  <si>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</si>
  <si>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</si>
  <si>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</si>
  <si>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</si>
  <si>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</si>
  <si>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</si>
  <si>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</si>
  <si>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</si>
  <si>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</si>
  <si>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</si>
  <si>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</si>
  <si>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</si>
  <si>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</si>
  <si>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</si>
  <si>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</si>
  <si>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</si>
  <si>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</si>
  <si>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</si>
  <si>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</si>
  <si>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</si>
  <si>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</si>
  <si>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</si>
  <si>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</si>
  <si>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</si>
  <si>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</si>
  <si>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</si>
  <si>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</si>
  <si>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</si>
  <si>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</si>
  <si>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</si>
  <si>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</si>
  <si>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</si>
  <si>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</si>
  <si>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</si>
  <si>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</si>
  <si>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</si>
  <si>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</si>
  <si>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</si>
  <si>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</si>
  <si>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</si>
  <si>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</si>
  <si>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</si>
  <si>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</si>
  <si>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</si>
  <si>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</si>
  <si>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</si>
  <si>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</si>
  <si>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</si>
  <si>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</si>
  <si>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</si>
  <si>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</si>
  <si>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</si>
  <si>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</si>
  <si>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</si>
  <si>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</si>
  <si>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</si>
  <si>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</si>
  <si>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</si>
  <si>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</si>
  <si>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</si>
  <si>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</si>
  <si>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</si>
  <si>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</si>
  <si>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</si>
  <si>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</si>
  <si>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</si>
  <si>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</si>
  <si>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</si>
  <si>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</si>
  <si>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</si>
  <si>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</si>
  <si>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</si>
  <si>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</si>
  <si>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</si>
  <si>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</si>
  <si>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</si>
  <si>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</si>
  <si>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</si>
  <si>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</si>
  <si>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</si>
  <si>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</si>
  <si>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</si>
  <si>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</si>
  <si>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</si>
  <si>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</si>
  <si>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</si>
  <si>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</si>
  <si>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</si>
  <si>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</si>
  <si>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</si>
  <si>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12/89</t>
  </si>
  <si>
    <t>1/90</t>
  </si>
  <si>
    <t>1/91</t>
  </si>
  <si>
    <t>8/96</t>
  </si>
  <si>
    <t>10/00</t>
  </si>
  <si>
    <t>1/2010</t>
  </si>
  <si>
    <t>1/2011</t>
  </si>
  <si>
    <t>8/2011</t>
  </si>
  <si>
    <t>10/2012</t>
  </si>
  <si>
    <t>WHITE MTS. REGIONAL SCHOOL DISTRICT</t>
  </si>
  <si>
    <t>After School Program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</si>
</sst>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0" fillId="0" borderId="3" xfId="0" applyNumberForma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9A41-563F-4C51-888A-33D0297BE02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568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538755.15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37374.480000000003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53579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 t="s">
        <v>310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279246.95</v>
      </c>
      <c r="G13" s="18">
        <v>20754.560000000001</v>
      </c>
      <c r="H13" s="18">
        <v>477141.53</v>
      </c>
      <c r="I13" s="18"/>
      <c r="J13" s="67">
        <f>SUM(I434)</f>
        <v>647288.19999999995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7603.42</v>
      </c>
      <c r="G14" s="18"/>
      <c r="H14" s="18"/>
      <c r="I14" s="18" t="s">
        <v>310</v>
      </c>
      <c r="J14" s="67">
        <f>SUM(I435)</f>
        <v>17411.93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2000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918559.00000000012</v>
      </c>
      <c r="G19" s="41">
        <f>SUM(G9:G18)</f>
        <v>20754.560000000001</v>
      </c>
      <c r="H19" s="41">
        <f>SUM(H9:H18)</f>
        <v>477141.53</v>
      </c>
      <c r="I19" s="41">
        <f>SUM(I9:I18)</f>
        <v>0</v>
      </c>
      <c r="J19" s="41">
        <f>SUM(J9:J18)</f>
        <v>664700.13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-325867.38</v>
      </c>
      <c r="G23" s="18">
        <v>-37109.31</v>
      </c>
      <c r="H23" s="18">
        <v>362976.69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17411.93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1068441.22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-22.15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106221.01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759963.62</v>
      </c>
      <c r="G33" s="41">
        <f>SUM(G23:G32)</f>
        <v>-37109.31</v>
      </c>
      <c r="H33" s="41">
        <f>SUM(H23:H32)</f>
        <v>469197.7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4190.0200000000004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57863.87</v>
      </c>
      <c r="H41" s="18">
        <v>7943.83</v>
      </c>
      <c r="I41" s="18"/>
      <c r="J41" s="13">
        <f>SUM(I449)</f>
        <v>664700.13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154405.35999999999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158595.37999999998</v>
      </c>
      <c r="G43" s="41">
        <f>SUM(G35:G42)</f>
        <v>57863.87</v>
      </c>
      <c r="H43" s="41">
        <f>SUM(H35:H42)</f>
        <v>7943.83</v>
      </c>
      <c r="I43" s="41">
        <f>SUM(I35:I42)</f>
        <v>0</v>
      </c>
      <c r="J43" s="41">
        <f>SUM(J35:J42)</f>
        <v>664700.13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918559</v>
      </c>
      <c r="G44" s="41">
        <f>G43+G33</f>
        <v>20754.560000000005</v>
      </c>
      <c r="H44" s="41">
        <f>H43+H33</f>
        <v>477141.53</v>
      </c>
      <c r="I44" s="41">
        <f>I43+I33</f>
        <v>0</v>
      </c>
      <c r="J44" s="41">
        <f>J43+J33</f>
        <v>664700.13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6350333</v>
      </c>
      <c r="G49" s="18"/>
      <c r="H49" s="18"/>
      <c r="I49" s="18"/>
      <c r="J49" s="18" t="s">
        <v>310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 t="s">
        <v>310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6350333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 t="s">
        <v>310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1985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390746.68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144791.74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27332.22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30930.9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564855.6399999999</v>
      </c>
      <c r="G71" s="45" t="s">
        <v>312</v>
      </c>
      <c r="H71" s="41">
        <f>SUM(H55:H70)</f>
        <v>30930.9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3340.38</v>
      </c>
      <c r="G88" s="18"/>
      <c r="H88" s="18"/>
      <c r="I88" s="18"/>
      <c r="J88" s="18">
        <v>9030.5300000000007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224973.04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4847.8</v>
      </c>
      <c r="G90" s="24" t="s">
        <v>312</v>
      </c>
      <c r="H90" s="18">
        <v>5375.25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535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5999.77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62131.6</v>
      </c>
      <c r="G102" s="18"/>
      <c r="H102" s="18">
        <v>35632.57</v>
      </c>
      <c r="I102" s="18"/>
      <c r="J102" s="18">
        <v>236412.79999999999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76854.55</v>
      </c>
      <c r="G103" s="41">
        <f>SUM(G88:G102)</f>
        <v>224973.04</v>
      </c>
      <c r="H103" s="41">
        <f>SUM(H88:H102)</f>
        <v>41007.82</v>
      </c>
      <c r="I103" s="41">
        <f>SUM(I88:I102)</f>
        <v>0</v>
      </c>
      <c r="J103" s="41">
        <f>SUM(J88:J102)</f>
        <v>245443.33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6992043.1899999995</v>
      </c>
      <c r="G104" s="41">
        <f>G52+G103</f>
        <v>224973.04</v>
      </c>
      <c r="H104" s="41">
        <f>H52+H71+H86+H103</f>
        <v>71938.720000000001</v>
      </c>
      <c r="I104" s="41">
        <f>I52+I103</f>
        <v>0</v>
      </c>
      <c r="J104" s="41">
        <f>J52+J103</f>
        <v>245443.33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4860361.71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2345169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1864769.29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9070300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509987.2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135461.44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72815.759999999995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10572.32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5711.96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10929.55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728836.72</v>
      </c>
      <c r="G128" s="41">
        <f>SUM(G115:G127)</f>
        <v>5711.96</v>
      </c>
      <c r="H128" s="41">
        <f>SUM(H115:H127)</f>
        <v>10929.55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597.07000000000005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9799136.7200000007</v>
      </c>
      <c r="G132" s="41">
        <f>G113+SUM(G128:G129)</f>
        <v>5711.96</v>
      </c>
      <c r="H132" s="41">
        <f>H113+SUM(H128:H131)</f>
        <v>11526.619999999999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644719.28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350092.56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296922.44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301281.48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487378.05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38727.47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57448.84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38727.47</v>
      </c>
      <c r="G154" s="41">
        <f>SUM(G142:G153)</f>
        <v>301281.48</v>
      </c>
      <c r="H154" s="41">
        <f>SUM(H142:H153)</f>
        <v>1836561.1700000002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161511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37268.629999999997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75996.100000000006</v>
      </c>
      <c r="G161" s="41">
        <f>G139+G154+SUM(G155:G160)</f>
        <v>301281.48</v>
      </c>
      <c r="H161" s="41">
        <f>H139+H154+SUM(H155:H160)</f>
        <v>1998072.1700000002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185282.93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185282.93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185282.93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16867176.010000002</v>
      </c>
      <c r="G185" s="47">
        <f>G104+G132+G161+G184</f>
        <v>531966.48</v>
      </c>
      <c r="H185" s="47">
        <f>H104+H132+H161+H184</f>
        <v>2081537.5100000002</v>
      </c>
      <c r="I185" s="47">
        <f>I104+I132+I161+I184</f>
        <v>0</v>
      </c>
      <c r="J185" s="47">
        <f>J104+J132+J184</f>
        <v>430726.26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2804348.32</v>
      </c>
      <c r="G189" s="18">
        <v>1332441.78</v>
      </c>
      <c r="H189" s="18">
        <v>24852.94</v>
      </c>
      <c r="I189" s="18">
        <v>157039.42000000001</v>
      </c>
      <c r="J189" s="18">
        <v>4579.3100000000004</v>
      </c>
      <c r="K189" s="18">
        <v>1308.8800000000001</v>
      </c>
      <c r="L189" s="19">
        <f>SUM(F189:K189)</f>
        <v>4324570.6499999994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897761.78</v>
      </c>
      <c r="G190" s="18">
        <v>413438.56</v>
      </c>
      <c r="H190" s="18">
        <v>53488.160000000003</v>
      </c>
      <c r="I190" s="18">
        <v>15765.56</v>
      </c>
      <c r="J190" s="18">
        <v>2569.61</v>
      </c>
      <c r="K190" s="18">
        <v>0</v>
      </c>
      <c r="L190" s="19">
        <f>SUM(F190:K190)</f>
        <v>1383023.6700000002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76591.34</v>
      </c>
      <c r="G192" s="18">
        <v>8001.63</v>
      </c>
      <c r="H192" s="18">
        <v>2418</v>
      </c>
      <c r="I192" s="18">
        <v>0</v>
      </c>
      <c r="J192" s="18">
        <v>66.37</v>
      </c>
      <c r="K192" s="18">
        <v>0</v>
      </c>
      <c r="L192" s="19">
        <f>SUM(F192:K192)</f>
        <v>87077.34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510620.63</v>
      </c>
      <c r="G194" s="18">
        <v>207267.19</v>
      </c>
      <c r="H194" s="18">
        <v>65447.59</v>
      </c>
      <c r="I194" s="18">
        <v>7791.57</v>
      </c>
      <c r="J194" s="18">
        <v>274.2</v>
      </c>
      <c r="K194" s="18">
        <v>0</v>
      </c>
      <c r="L194" s="19">
        <f t="shared" ref="L194:L200" si="0">SUM(F194:K194)</f>
        <v>791401.17999999993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108256.62</v>
      </c>
      <c r="G195" s="18">
        <v>68678.53</v>
      </c>
      <c r="H195" s="18">
        <v>40548.910000000003</v>
      </c>
      <c r="I195" s="18">
        <v>11014.24</v>
      </c>
      <c r="J195" s="18">
        <v>0</v>
      </c>
      <c r="K195" s="18">
        <v>2452.1999999999998</v>
      </c>
      <c r="L195" s="19">
        <f t="shared" si="0"/>
        <v>230950.5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259685.74</v>
      </c>
      <c r="G196" s="18">
        <v>68757.53</v>
      </c>
      <c r="H196" s="18">
        <v>157551.07999999999</v>
      </c>
      <c r="I196" s="18">
        <v>37432.01</v>
      </c>
      <c r="J196" s="18">
        <v>367.75</v>
      </c>
      <c r="K196" s="18">
        <v>16848.009999999998</v>
      </c>
      <c r="L196" s="19">
        <f t="shared" si="0"/>
        <v>540642.12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457539.3</v>
      </c>
      <c r="G197" s="18">
        <v>196435.4</v>
      </c>
      <c r="H197" s="18">
        <v>52206.48</v>
      </c>
      <c r="I197" s="18">
        <v>7896.81</v>
      </c>
      <c r="J197" s="18">
        <v>139.97999999999999</v>
      </c>
      <c r="K197" s="18">
        <v>13317.74</v>
      </c>
      <c r="L197" s="19">
        <f t="shared" si="0"/>
        <v>727535.71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69182.17</v>
      </c>
      <c r="G198" s="18">
        <v>42389.96</v>
      </c>
      <c r="H198" s="18">
        <v>5063.8599999999997</v>
      </c>
      <c r="I198" s="18">
        <v>0</v>
      </c>
      <c r="J198" s="18">
        <v>0</v>
      </c>
      <c r="K198" s="18">
        <v>0</v>
      </c>
      <c r="L198" s="19">
        <f t="shared" si="0"/>
        <v>116635.99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312288.56</v>
      </c>
      <c r="G199" s="18">
        <v>136021.65</v>
      </c>
      <c r="H199" s="18">
        <v>313554.74</v>
      </c>
      <c r="I199" s="18">
        <v>251491.74</v>
      </c>
      <c r="J199" s="18">
        <v>3276.37</v>
      </c>
      <c r="K199" s="18">
        <v>0</v>
      </c>
      <c r="L199" s="19">
        <f t="shared" si="0"/>
        <v>1016633.0599999999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13590.14</v>
      </c>
      <c r="G200" s="18">
        <v>1039.67</v>
      </c>
      <c r="H200" s="18">
        <v>563578.77</v>
      </c>
      <c r="I200" s="18">
        <v>3096.64</v>
      </c>
      <c r="J200" s="18">
        <v>0</v>
      </c>
      <c r="K200" s="18">
        <v>0</v>
      </c>
      <c r="L200" s="19">
        <f t="shared" si="0"/>
        <v>581305.22000000009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5509864.5999999987</v>
      </c>
      <c r="G203" s="41">
        <f t="shared" si="1"/>
        <v>2474471.8999999994</v>
      </c>
      <c r="H203" s="41">
        <f t="shared" si="1"/>
        <v>1278710.53</v>
      </c>
      <c r="I203" s="41">
        <f t="shared" si="1"/>
        <v>491527.99</v>
      </c>
      <c r="J203" s="41">
        <f t="shared" si="1"/>
        <v>11273.59</v>
      </c>
      <c r="K203" s="41">
        <f t="shared" si="1"/>
        <v>33926.829999999994</v>
      </c>
      <c r="L203" s="41">
        <f t="shared" si="1"/>
        <v>9799775.4399999995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1271382.58</v>
      </c>
      <c r="G225" s="18">
        <v>554904.92000000004</v>
      </c>
      <c r="H225" s="18">
        <v>32440.98</v>
      </c>
      <c r="I225" s="18">
        <v>50760.07</v>
      </c>
      <c r="J225" s="18">
        <v>2963.71</v>
      </c>
      <c r="K225" s="18">
        <v>1182.8699999999999</v>
      </c>
      <c r="L225" s="19">
        <f>SUM(F225:K225)</f>
        <v>1913635.1300000001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299658.40000000002</v>
      </c>
      <c r="G226" s="18">
        <v>131363.76</v>
      </c>
      <c r="H226" s="18">
        <v>414024.3</v>
      </c>
      <c r="I226" s="18">
        <v>3068.15</v>
      </c>
      <c r="J226" s="18">
        <v>14.16</v>
      </c>
      <c r="K226" s="18">
        <v>0</v>
      </c>
      <c r="L226" s="19">
        <f>SUM(F226:K226)</f>
        <v>848128.77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293263</v>
      </c>
      <c r="G227" s="18">
        <v>146688.48000000001</v>
      </c>
      <c r="H227" s="18">
        <v>28871.07</v>
      </c>
      <c r="I227" s="18">
        <v>66364.12</v>
      </c>
      <c r="J227" s="18">
        <v>482.2</v>
      </c>
      <c r="K227" s="18">
        <v>1315</v>
      </c>
      <c r="L227" s="19">
        <f>SUM(F227:K227)</f>
        <v>536983.86999999988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171519.76</v>
      </c>
      <c r="G228" s="18">
        <v>36862.58</v>
      </c>
      <c r="H228" s="18">
        <v>17314.25</v>
      </c>
      <c r="I228" s="18">
        <v>10706.55</v>
      </c>
      <c r="J228" s="18">
        <v>0</v>
      </c>
      <c r="K228" s="18">
        <v>11443.5</v>
      </c>
      <c r="L228" s="19">
        <f>SUM(F228:K228)</f>
        <v>247846.64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167887.11</v>
      </c>
      <c r="G230" s="18">
        <v>88509.19</v>
      </c>
      <c r="H230" s="18">
        <v>39360.43</v>
      </c>
      <c r="I230" s="18">
        <v>4631.16</v>
      </c>
      <c r="J230" s="18">
        <v>135.05000000000001</v>
      </c>
      <c r="K230" s="18">
        <v>0</v>
      </c>
      <c r="L230" s="19">
        <f t="shared" ref="L230:L236" si="4">SUM(F230:K230)</f>
        <v>300522.93999999994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66940.06</v>
      </c>
      <c r="G231" s="18">
        <v>56475.8</v>
      </c>
      <c r="H231" s="18">
        <v>29388.7</v>
      </c>
      <c r="I231" s="18">
        <v>11314.13</v>
      </c>
      <c r="J231" s="18">
        <v>7.8</v>
      </c>
      <c r="K231" s="18">
        <v>24179.8</v>
      </c>
      <c r="L231" s="19">
        <f t="shared" si="4"/>
        <v>188306.28999999998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244092.14</v>
      </c>
      <c r="G232" s="18">
        <v>110435.6</v>
      </c>
      <c r="H232" s="18">
        <v>165400.31</v>
      </c>
      <c r="I232" s="18">
        <v>15619.6</v>
      </c>
      <c r="J232" s="18">
        <v>181.13</v>
      </c>
      <c r="K232" s="18">
        <v>8145.24</v>
      </c>
      <c r="L232" s="19">
        <f t="shared" si="4"/>
        <v>543874.02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187918.25</v>
      </c>
      <c r="G233" s="18">
        <v>92047.46</v>
      </c>
      <c r="H233" s="18">
        <v>38890.959999999999</v>
      </c>
      <c r="I233" s="18">
        <v>13271.34</v>
      </c>
      <c r="J233" s="18">
        <v>0</v>
      </c>
      <c r="K233" s="18">
        <v>14025.09</v>
      </c>
      <c r="L233" s="19">
        <f t="shared" si="4"/>
        <v>346153.10000000009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34074.800000000003</v>
      </c>
      <c r="G234" s="18">
        <v>20878.63</v>
      </c>
      <c r="H234" s="18">
        <v>2494.14</v>
      </c>
      <c r="I234" s="18">
        <v>0</v>
      </c>
      <c r="J234" s="18">
        <v>0</v>
      </c>
      <c r="K234" s="18">
        <v>0</v>
      </c>
      <c r="L234" s="19">
        <f t="shared" si="4"/>
        <v>57447.570000000007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199005.34</v>
      </c>
      <c r="G235" s="18">
        <v>89787.75</v>
      </c>
      <c r="H235" s="18">
        <v>245154.1</v>
      </c>
      <c r="I235" s="18">
        <v>218922.97</v>
      </c>
      <c r="J235" s="18">
        <v>1299.96</v>
      </c>
      <c r="K235" s="18">
        <v>0</v>
      </c>
      <c r="L235" s="19">
        <f t="shared" si="4"/>
        <v>754170.11999999988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6693.65</v>
      </c>
      <c r="G236" s="18">
        <v>512.08000000000004</v>
      </c>
      <c r="H236" s="18">
        <v>365928.91</v>
      </c>
      <c r="I236" s="18">
        <v>1525.21</v>
      </c>
      <c r="J236" s="18">
        <v>0</v>
      </c>
      <c r="K236" s="18">
        <v>0</v>
      </c>
      <c r="L236" s="19">
        <f t="shared" si="4"/>
        <v>374659.85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2942435.09</v>
      </c>
      <c r="G239" s="41">
        <f t="shared" si="5"/>
        <v>1328466.25</v>
      </c>
      <c r="H239" s="41">
        <f t="shared" si="5"/>
        <v>1379268.15</v>
      </c>
      <c r="I239" s="41">
        <f t="shared" si="5"/>
        <v>396183.3</v>
      </c>
      <c r="J239" s="41">
        <f t="shared" si="5"/>
        <v>5084.01</v>
      </c>
      <c r="K239" s="41">
        <f t="shared" si="5"/>
        <v>60291.5</v>
      </c>
      <c r="L239" s="41">
        <f t="shared" si="5"/>
        <v>6111728.2999999998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92.65</v>
      </c>
      <c r="I247" s="18"/>
      <c r="J247" s="18"/>
      <c r="K247" s="18"/>
      <c r="L247" s="19">
        <f t="shared" si="6"/>
        <v>92.65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92.65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92.65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8452299.6899999976</v>
      </c>
      <c r="G249" s="41">
        <f t="shared" si="8"/>
        <v>3802938.1499999994</v>
      </c>
      <c r="H249" s="41">
        <f t="shared" si="8"/>
        <v>2658071.3299999996</v>
      </c>
      <c r="I249" s="41">
        <f t="shared" si="8"/>
        <v>887711.29</v>
      </c>
      <c r="J249" s="41">
        <f t="shared" si="8"/>
        <v>16357.6</v>
      </c>
      <c r="K249" s="41">
        <f t="shared" si="8"/>
        <v>94218.329999999987</v>
      </c>
      <c r="L249" s="41">
        <f t="shared" si="8"/>
        <v>15911596.389999999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790000</v>
      </c>
      <c r="L252" s="19">
        <f>SUM(F252:K252)</f>
        <v>790000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50552.5</v>
      </c>
      <c r="L253" s="19">
        <f>SUM(F253:K253)</f>
        <v>50552.5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185282.93</v>
      </c>
      <c r="L258" s="19">
        <f t="shared" si="9"/>
        <v>185282.93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82400</v>
      </c>
      <c r="L260" s="19">
        <f t="shared" si="9"/>
        <v>82400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1108235.43</v>
      </c>
      <c r="L262" s="41">
        <f t="shared" si="9"/>
        <v>1108235.43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8452299.6899999976</v>
      </c>
      <c r="G263" s="42">
        <f t="shared" si="11"/>
        <v>3802938.1499999994</v>
      </c>
      <c r="H263" s="42">
        <f t="shared" si="11"/>
        <v>2658071.3299999996</v>
      </c>
      <c r="I263" s="42">
        <f t="shared" si="11"/>
        <v>887711.29</v>
      </c>
      <c r="J263" s="42">
        <f t="shared" si="11"/>
        <v>16357.6</v>
      </c>
      <c r="K263" s="42">
        <f t="shared" si="11"/>
        <v>1202453.76</v>
      </c>
      <c r="L263" s="42">
        <f t="shared" si="11"/>
        <v>17019831.82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18121.75</v>
      </c>
      <c r="G268" s="18">
        <v>1600.76</v>
      </c>
      <c r="H268" s="18">
        <v>3647.44</v>
      </c>
      <c r="I268" s="18">
        <v>30422.02</v>
      </c>
      <c r="J268" s="18">
        <v>83532.289999999994</v>
      </c>
      <c r="K268" s="18">
        <v>2000</v>
      </c>
      <c r="L268" s="19">
        <f>SUM(F268:K268)</f>
        <v>139324.26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333747.46999999997</v>
      </c>
      <c r="G269" s="18">
        <v>157628.25</v>
      </c>
      <c r="H269" s="18"/>
      <c r="I269" s="18">
        <v>7404.35</v>
      </c>
      <c r="J269" s="18">
        <v>9707.5</v>
      </c>
      <c r="K269" s="18"/>
      <c r="L269" s="19">
        <f>SUM(F269:K269)</f>
        <v>508487.56999999995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 t="s">
        <v>310</v>
      </c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28471.61</v>
      </c>
      <c r="G271" s="18">
        <v>3024.26</v>
      </c>
      <c r="H271" s="18">
        <v>3615.54</v>
      </c>
      <c r="I271" s="18">
        <v>6332.02</v>
      </c>
      <c r="J271" s="18">
        <v>341.65</v>
      </c>
      <c r="K271" s="18">
        <v>705</v>
      </c>
      <c r="L271" s="19">
        <f>SUM(F271:K271)</f>
        <v>42490.080000000009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91854.22</v>
      </c>
      <c r="G273" s="18">
        <v>42200.66</v>
      </c>
      <c r="H273" s="18">
        <v>110138.89</v>
      </c>
      <c r="I273" s="18">
        <v>9310.7199999999993</v>
      </c>
      <c r="J273" s="18"/>
      <c r="K273" s="18"/>
      <c r="L273" s="19">
        <f t="shared" ref="L273:L279" si="12">SUM(F273:K273)</f>
        <v>253504.49000000002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16029.84</v>
      </c>
      <c r="G274" s="18">
        <v>1901.43</v>
      </c>
      <c r="H274" s="18">
        <v>238821.3</v>
      </c>
      <c r="I274" s="18">
        <v>2338.48</v>
      </c>
      <c r="J274" s="18">
        <v>108212.37</v>
      </c>
      <c r="K274" s="18"/>
      <c r="L274" s="19">
        <f t="shared" si="12"/>
        <v>367303.42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31500</v>
      </c>
      <c r="G275" s="18">
        <v>17006.48</v>
      </c>
      <c r="H275" s="18"/>
      <c r="I275" s="18"/>
      <c r="J275" s="18"/>
      <c r="K275" s="18"/>
      <c r="L275" s="19">
        <f t="shared" si="12"/>
        <v>48506.479999999996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>
        <v>1893</v>
      </c>
      <c r="K277" s="18"/>
      <c r="L277" s="19">
        <f t="shared" si="12"/>
        <v>1893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5137.5</v>
      </c>
      <c r="G280" s="18">
        <v>393.03</v>
      </c>
      <c r="H280" s="18">
        <v>3015</v>
      </c>
      <c r="I280" s="18">
        <v>464.81</v>
      </c>
      <c r="J280" s="18"/>
      <c r="K280" s="18"/>
      <c r="L280" s="19">
        <f>SUM(F280:K280)</f>
        <v>9010.3399999999983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524862.3899999999</v>
      </c>
      <c r="G282" s="42">
        <f t="shared" si="13"/>
        <v>223754.87000000002</v>
      </c>
      <c r="H282" s="42">
        <f t="shared" si="13"/>
        <v>359238.17</v>
      </c>
      <c r="I282" s="42">
        <f t="shared" si="13"/>
        <v>56272.4</v>
      </c>
      <c r="J282" s="42">
        <f t="shared" si="13"/>
        <v>203686.81</v>
      </c>
      <c r="K282" s="42">
        <f t="shared" si="13"/>
        <v>2705</v>
      </c>
      <c r="L282" s="41">
        <f t="shared" si="13"/>
        <v>1370519.64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16256.69</v>
      </c>
      <c r="G306" s="18">
        <v>4465.71</v>
      </c>
      <c r="H306" s="18">
        <v>2481.77</v>
      </c>
      <c r="I306" s="18">
        <v>896.31</v>
      </c>
      <c r="J306" s="18">
        <v>42492.79</v>
      </c>
      <c r="K306" s="18"/>
      <c r="L306" s="19">
        <f>SUM(F306:K306)</f>
        <v>66593.27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2706</v>
      </c>
      <c r="G307" s="18">
        <v>24538.74</v>
      </c>
      <c r="H307" s="18"/>
      <c r="I307" s="18">
        <v>3157.26</v>
      </c>
      <c r="J307" s="18">
        <v>4781.3</v>
      </c>
      <c r="K307" s="18"/>
      <c r="L307" s="19">
        <f>SUM(F307:K307)</f>
        <v>35183.300000000003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69601</v>
      </c>
      <c r="G308" s="18"/>
      <c r="H308" s="18">
        <v>17641.14</v>
      </c>
      <c r="I308" s="18">
        <v>6865.15</v>
      </c>
      <c r="J308" s="18">
        <v>25609.9</v>
      </c>
      <c r="K308" s="18">
        <v>1370.76</v>
      </c>
      <c r="L308" s="19">
        <f>SUM(F308:K308)</f>
        <v>121087.95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>
        <v>736</v>
      </c>
      <c r="J309" s="18"/>
      <c r="K309" s="18"/>
      <c r="L309" s="19">
        <f>SUM(F309:K309)</f>
        <v>736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106010.92</v>
      </c>
      <c r="G311" s="18">
        <v>43331.18</v>
      </c>
      <c r="H311" s="18">
        <v>72182.58</v>
      </c>
      <c r="I311" s="18">
        <v>5849.43</v>
      </c>
      <c r="J311" s="18"/>
      <c r="K311" s="18">
        <v>7920</v>
      </c>
      <c r="L311" s="19">
        <f t="shared" ref="L311:L317" si="16">SUM(F311:K311)</f>
        <v>235294.11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6831.41</v>
      </c>
      <c r="G312" s="18">
        <v>855.14</v>
      </c>
      <c r="H312" s="18">
        <v>127630.16</v>
      </c>
      <c r="I312" s="18">
        <v>772.8</v>
      </c>
      <c r="J312" s="18">
        <v>53298.63</v>
      </c>
      <c r="K312" s="18">
        <v>1960.54</v>
      </c>
      <c r="L312" s="19">
        <f t="shared" si="16"/>
        <v>191348.68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>
        <v>869.94</v>
      </c>
      <c r="K313" s="18"/>
      <c r="L313" s="19">
        <f t="shared" si="16"/>
        <v>869.94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v>1485</v>
      </c>
      <c r="I318" s="18"/>
      <c r="J318" s="18"/>
      <c r="K318" s="18"/>
      <c r="L318" s="19">
        <f>SUM(F318:K318)</f>
        <v>1485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201406.02</v>
      </c>
      <c r="G320" s="42">
        <f t="shared" si="17"/>
        <v>73190.77</v>
      </c>
      <c r="H320" s="42">
        <f t="shared" si="17"/>
        <v>221420.65000000002</v>
      </c>
      <c r="I320" s="42">
        <f t="shared" si="17"/>
        <v>18276.95</v>
      </c>
      <c r="J320" s="42">
        <f t="shared" si="17"/>
        <v>127052.56</v>
      </c>
      <c r="K320" s="42">
        <f t="shared" si="17"/>
        <v>11251.3</v>
      </c>
      <c r="L320" s="41">
        <f t="shared" si="17"/>
        <v>652598.25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726268.40999999992</v>
      </c>
      <c r="G330" s="41">
        <f t="shared" si="20"/>
        <v>296945.64</v>
      </c>
      <c r="H330" s="41">
        <f t="shared" si="20"/>
        <v>580658.82000000007</v>
      </c>
      <c r="I330" s="41">
        <f t="shared" si="20"/>
        <v>74549.350000000006</v>
      </c>
      <c r="J330" s="41">
        <f t="shared" si="20"/>
        <v>330739.37</v>
      </c>
      <c r="K330" s="41">
        <f t="shared" si="20"/>
        <v>13956.3</v>
      </c>
      <c r="L330" s="41">
        <f t="shared" si="20"/>
        <v>2023117.89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59072.57</v>
      </c>
      <c r="L336" s="19">
        <f t="shared" ref="L336:L342" si="21">SUM(F336:K336)</f>
        <v>59072.57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59072.57</v>
      </c>
      <c r="L343" s="41">
        <f>SUM(L333:L342)</f>
        <v>59072.57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726268.40999999992</v>
      </c>
      <c r="G344" s="41">
        <f>G330</f>
        <v>296945.64</v>
      </c>
      <c r="H344" s="41">
        <f>H330</f>
        <v>580658.82000000007</v>
      </c>
      <c r="I344" s="41">
        <f>I330</f>
        <v>74549.350000000006</v>
      </c>
      <c r="J344" s="41">
        <f>J330</f>
        <v>330739.37</v>
      </c>
      <c r="K344" s="47">
        <f>K330+K343</f>
        <v>73028.87</v>
      </c>
      <c r="L344" s="41">
        <f>L330+L343</f>
        <v>2082190.46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135201.4</v>
      </c>
      <c r="G350" s="18">
        <v>76835.839999999997</v>
      </c>
      <c r="H350" s="18">
        <v>2359.5500000000002</v>
      </c>
      <c r="I350" s="18">
        <v>129920.9</v>
      </c>
      <c r="J350" s="18">
        <v>2108.0300000000002</v>
      </c>
      <c r="K350" s="18">
        <v>2113.12</v>
      </c>
      <c r="L350" s="13">
        <f>SUM(F350:K350)</f>
        <v>348538.83999999997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50538.51</v>
      </c>
      <c r="G352" s="18">
        <v>17315.169999999998</v>
      </c>
      <c r="H352" s="18">
        <v>842.48</v>
      </c>
      <c r="I352" s="18">
        <v>82243.39</v>
      </c>
      <c r="J352" s="18">
        <v>577.69000000000005</v>
      </c>
      <c r="K352" s="18">
        <v>704.38</v>
      </c>
      <c r="L352" s="19">
        <f>SUM(F352:K352)</f>
        <v>152221.62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185739.91</v>
      </c>
      <c r="G354" s="47">
        <f t="shared" si="22"/>
        <v>94151.01</v>
      </c>
      <c r="H354" s="47">
        <f t="shared" si="22"/>
        <v>3202.03</v>
      </c>
      <c r="I354" s="47">
        <f t="shared" si="22"/>
        <v>212164.28999999998</v>
      </c>
      <c r="J354" s="47">
        <f t="shared" si="22"/>
        <v>2685.7200000000003</v>
      </c>
      <c r="K354" s="47">
        <f t="shared" si="22"/>
        <v>2817.5</v>
      </c>
      <c r="L354" s="47">
        <f t="shared" si="22"/>
        <v>500760.45999999996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120032.16</v>
      </c>
      <c r="G359" s="18"/>
      <c r="H359" s="18">
        <v>77121.56</v>
      </c>
      <c r="I359" s="56">
        <f>SUM(F359:H359)</f>
        <v>197153.72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9888.74</v>
      </c>
      <c r="G360" s="63"/>
      <c r="H360" s="63">
        <v>5121.83</v>
      </c>
      <c r="I360" s="56">
        <f>SUM(F360:H360)</f>
        <v>15010.57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129920.90000000001</v>
      </c>
      <c r="G361" s="47">
        <f>SUM(G359:G360)</f>
        <v>0</v>
      </c>
      <c r="H361" s="47">
        <f>SUM(H359:H360)</f>
        <v>82243.39</v>
      </c>
      <c r="I361" s="47">
        <f>SUM(I359:I360)</f>
        <v>212164.29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4"/>
      <c r="G368" s="18"/>
      <c r="H368" s="18" t="s">
        <v>310</v>
      </c>
      <c r="I368" s="18"/>
      <c r="J368" s="18"/>
      <c r="K368" s="18"/>
      <c r="L368" s="13">
        <f>SUM(G368:K368)</f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60282.93</v>
      </c>
      <c r="H384" s="18">
        <v>208.71</v>
      </c>
      <c r="I384" s="18"/>
      <c r="J384" s="24" t="s">
        <v>312</v>
      </c>
      <c r="K384" s="24" t="s">
        <v>312</v>
      </c>
      <c r="L384" s="56">
        <f t="shared" si="25"/>
        <v>60491.64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60282.93</v>
      </c>
      <c r="H385" s="139">
        <f>SUM(H379:H384)</f>
        <v>208.71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60491.64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125000</v>
      </c>
      <c r="H388" s="18">
        <v>882.21</v>
      </c>
      <c r="I388" s="18"/>
      <c r="J388" s="24" t="s">
        <v>312</v>
      </c>
      <c r="K388" s="24" t="s">
        <v>312</v>
      </c>
      <c r="L388" s="56">
        <f t="shared" si="26"/>
        <v>125882.21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 t="s">
        <v>310</v>
      </c>
      <c r="G392" s="4"/>
      <c r="H392" s="18">
        <v>7939.61</v>
      </c>
      <c r="I392" s="18">
        <v>236412.79999999999</v>
      </c>
      <c r="J392" s="24" t="s">
        <v>312</v>
      </c>
      <c r="K392" s="24" t="s">
        <v>312</v>
      </c>
      <c r="L392" s="56">
        <f t="shared" si="26"/>
        <v>244352.40999999997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125000</v>
      </c>
      <c r="H393" s="47">
        <f>SUM(H387:H392)</f>
        <v>8821.82</v>
      </c>
      <c r="I393" s="47">
        <f>SUM(I387:I392)</f>
        <v>236412.79999999999</v>
      </c>
      <c r="J393" s="45" t="s">
        <v>312</v>
      </c>
      <c r="K393" s="45" t="s">
        <v>312</v>
      </c>
      <c r="L393" s="47">
        <f>SUM(L387:L392)</f>
        <v>370234.62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185282.93</v>
      </c>
      <c r="H400" s="47">
        <f>H385+H393+H399</f>
        <v>9030.5299999999988</v>
      </c>
      <c r="I400" s="47">
        <f>I385+I393+I399</f>
        <v>236412.79999999999</v>
      </c>
      <c r="J400" s="24" t="s">
        <v>312</v>
      </c>
      <c r="K400" s="24" t="s">
        <v>312</v>
      </c>
      <c r="L400" s="47">
        <f>L385+L393+L399</f>
        <v>430726.26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8393.65</v>
      </c>
      <c r="I410" s="18"/>
      <c r="J410" s="18">
        <v>32709</v>
      </c>
      <c r="K410" s="18"/>
      <c r="L410" s="56">
        <f t="shared" si="27"/>
        <v>41102.65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8393.65</v>
      </c>
      <c r="I411" s="139">
        <f t="shared" si="28"/>
        <v>0</v>
      </c>
      <c r="J411" s="139">
        <f t="shared" si="28"/>
        <v>32709</v>
      </c>
      <c r="K411" s="139">
        <f t="shared" si="28"/>
        <v>0</v>
      </c>
      <c r="L411" s="47">
        <f t="shared" si="28"/>
        <v>41102.65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183780.18</v>
      </c>
      <c r="I418" s="18"/>
      <c r="J418" s="18"/>
      <c r="K418" s="18"/>
      <c r="L418" s="56">
        <f t="shared" si="29"/>
        <v>183780.18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183780.18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183780.18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192173.83</v>
      </c>
      <c r="I426" s="47">
        <f t="shared" si="32"/>
        <v>0</v>
      </c>
      <c r="J426" s="47">
        <f t="shared" si="32"/>
        <v>32709</v>
      </c>
      <c r="K426" s="47">
        <f t="shared" si="32"/>
        <v>0</v>
      </c>
      <c r="L426" s="47">
        <f t="shared" si="32"/>
        <v>224882.83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59720.46</v>
      </c>
      <c r="G434" s="18">
        <v>587567.74</v>
      </c>
      <c r="H434" s="18"/>
      <c r="I434" s="56">
        <f t="shared" si="33"/>
        <v>647288.19999999995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17411.93</v>
      </c>
      <c r="G435" s="18"/>
      <c r="H435" s="18"/>
      <c r="I435" s="56">
        <f t="shared" si="33"/>
        <v>17411.93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77132.39</v>
      </c>
      <c r="G438" s="13">
        <f>SUM(G431:G437)</f>
        <v>587567.74</v>
      </c>
      <c r="H438" s="13">
        <f>SUM(H431:H437)</f>
        <v>0</v>
      </c>
      <c r="I438" s="13">
        <f>SUM(I431:I437)</f>
        <v>664700.13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77132.39</v>
      </c>
      <c r="G449" s="18">
        <v>587567.74</v>
      </c>
      <c r="H449" s="18"/>
      <c r="I449" s="56">
        <f>SUM(F449:H449)</f>
        <v>664700.13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77132.39</v>
      </c>
      <c r="G450" s="83">
        <f>SUM(G446:G449)</f>
        <v>587567.74</v>
      </c>
      <c r="H450" s="83">
        <f>SUM(H446:H449)</f>
        <v>0</v>
      </c>
      <c r="I450" s="83">
        <f>SUM(I446:I449)</f>
        <v>664700.13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77132.39</v>
      </c>
      <c r="G451" s="42">
        <f>G444+G450</f>
        <v>587567.74</v>
      </c>
      <c r="H451" s="42">
        <f>H444+H450</f>
        <v>0</v>
      </c>
      <c r="I451" s="42">
        <f>I444+I450</f>
        <v>664700.13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311251.19</v>
      </c>
      <c r="G455" s="18">
        <v>26657.85</v>
      </c>
      <c r="H455" s="18">
        <v>8596.7800000000007</v>
      </c>
      <c r="I455" s="18">
        <v>0</v>
      </c>
      <c r="J455" s="18">
        <v>458856.7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16867176.010000002</v>
      </c>
      <c r="G458" s="18">
        <v>531966.48</v>
      </c>
      <c r="H458" s="18">
        <v>2081537.51</v>
      </c>
      <c r="I458" s="18"/>
      <c r="J458" s="18">
        <v>430726.26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 t="s">
        <v>310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16867176.010000002</v>
      </c>
      <c r="G460" s="53">
        <f>SUM(G458:G459)</f>
        <v>531966.48</v>
      </c>
      <c r="H460" s="53">
        <f>SUM(H458:H459)</f>
        <v>2081537.51</v>
      </c>
      <c r="I460" s="53">
        <f>SUM(I458:I459)</f>
        <v>0</v>
      </c>
      <c r="J460" s="53">
        <f>SUM(J458:J459)</f>
        <v>430726.26</v>
      </c>
      <c r="K460" s="24" t="s">
        <v>312</v>
      </c>
      <c r="L460" s="24" t="s">
        <v>312</v>
      </c>
    </row>
    <row r="461" spans="1:23" s="52" customFormat="1" ht="12" customHeight="1" thickBot="1" x14ac:dyDescent="0.25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thickTop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271">
        <v>17019831.82</v>
      </c>
      <c r="G462" s="18">
        <v>500760.46</v>
      </c>
      <c r="H462" s="18">
        <v>2082190.46</v>
      </c>
      <c r="I462" s="18"/>
      <c r="J462" s="18">
        <v>224882.83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17019831.82</v>
      </c>
      <c r="G464" s="53">
        <f>SUM(G462:G463)</f>
        <v>500760.46</v>
      </c>
      <c r="H464" s="53">
        <f>SUM(H462:H463)</f>
        <v>2082190.46</v>
      </c>
      <c r="I464" s="53">
        <f>SUM(I462:I463)</f>
        <v>0</v>
      </c>
      <c r="J464" s="53">
        <f>SUM(J462:J463)</f>
        <v>224882.83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158595.38000000268</v>
      </c>
      <c r="G466" s="53">
        <f>(G455+G460)- G464</f>
        <v>57863.869999999937</v>
      </c>
      <c r="H466" s="53">
        <f>(H455+H460)- H464</f>
        <v>7943.8300000000745</v>
      </c>
      <c r="I466" s="53">
        <f>(I455+I460)- I464</f>
        <v>0</v>
      </c>
      <c r="J466" s="53">
        <f>(J455+J460)- J464</f>
        <v>664700.13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20</v>
      </c>
      <c r="I480" s="154">
        <v>15</v>
      </c>
      <c r="J480" s="154">
        <v>12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 t="s">
        <v>898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 t="s">
        <v>899</v>
      </c>
      <c r="H482" s="155" t="s">
        <v>900</v>
      </c>
      <c r="I482" s="155" t="s">
        <v>901</v>
      </c>
      <c r="J482" s="155" t="s">
        <v>902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5000000</v>
      </c>
      <c r="G483" s="18">
        <v>5000000</v>
      </c>
      <c r="H483" s="18">
        <v>1790000</v>
      </c>
      <c r="I483" s="18">
        <v>500000</v>
      </c>
      <c r="J483" s="18">
        <v>2100000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6.88</v>
      </c>
      <c r="G484" s="18">
        <v>6.88</v>
      </c>
      <c r="H484" s="18">
        <v>6.8</v>
      </c>
      <c r="I484" s="18">
        <v>5.63</v>
      </c>
      <c r="J484" s="18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250000</v>
      </c>
      <c r="G485" s="18">
        <v>250000</v>
      </c>
      <c r="H485" s="18">
        <v>170000</v>
      </c>
      <c r="I485" s="18">
        <v>90000</v>
      </c>
      <c r="J485" s="18">
        <v>700000</v>
      </c>
      <c r="K485" s="53">
        <f>SUM(F485:J485)</f>
        <v>1460000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250000</v>
      </c>
      <c r="G487" s="18">
        <v>250000</v>
      </c>
      <c r="H487" s="18">
        <v>85000</v>
      </c>
      <c r="I487" s="18">
        <v>30000</v>
      </c>
      <c r="J487" s="18">
        <v>175000</v>
      </c>
      <c r="K487" s="53">
        <f t="shared" si="34"/>
        <v>790000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SUM(F485-F487)</f>
        <v>0</v>
      </c>
      <c r="G488" s="205">
        <f>SUM(G485-G487)</f>
        <v>0</v>
      </c>
      <c r="H488" s="205">
        <f>SUM(H485-H487)</f>
        <v>85000</v>
      </c>
      <c r="I488" s="205">
        <f>SUM(I485-I487)</f>
        <v>60000</v>
      </c>
      <c r="J488" s="205">
        <f>SUM(J485-J487)</f>
        <v>525000</v>
      </c>
      <c r="K488" s="206">
        <f t="shared" si="34"/>
        <v>670000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0</v>
      </c>
      <c r="H489" s="18">
        <v>5780</v>
      </c>
      <c r="I489" s="18">
        <v>3451</v>
      </c>
      <c r="J489" s="18">
        <v>0</v>
      </c>
      <c r="K489" s="53">
        <f t="shared" si="34"/>
        <v>9231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90780</v>
      </c>
      <c r="I490" s="42">
        <f>SUM(I488:I489)</f>
        <v>63451</v>
      </c>
      <c r="J490" s="42">
        <f>SUM(J488:J489)</f>
        <v>525000</v>
      </c>
      <c r="K490" s="42">
        <f t="shared" si="34"/>
        <v>679231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0</v>
      </c>
      <c r="H491" s="205">
        <v>85000</v>
      </c>
      <c r="I491" s="205">
        <v>30000</v>
      </c>
      <c r="J491" s="205">
        <v>175000</v>
      </c>
      <c r="K491" s="206">
        <f t="shared" si="34"/>
        <v>290000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0</v>
      </c>
      <c r="H492" s="18">
        <v>5780</v>
      </c>
      <c r="I492" s="18">
        <v>2588</v>
      </c>
      <c r="J492" s="18">
        <v>0</v>
      </c>
      <c r="K492" s="53">
        <f t="shared" si="34"/>
        <v>8368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90780</v>
      </c>
      <c r="I493" s="42">
        <f>SUM(I491:I492)</f>
        <v>32588</v>
      </c>
      <c r="J493" s="42">
        <f>SUM(J491:J492)</f>
        <v>175000</v>
      </c>
      <c r="K493" s="42">
        <f t="shared" si="34"/>
        <v>298368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906903.33</v>
      </c>
      <c r="G511" s="18">
        <v>401054.61</v>
      </c>
      <c r="H511" s="18">
        <v>99205.52</v>
      </c>
      <c r="I511" s="18">
        <v>25264.48</v>
      </c>
      <c r="J511" s="18">
        <v>21417.37</v>
      </c>
      <c r="K511" s="18"/>
      <c r="L511" s="88">
        <f>SUM(F511:K511)</f>
        <v>1453845.31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288177.37</v>
      </c>
      <c r="G513" s="18">
        <v>123266.13</v>
      </c>
      <c r="H513" s="18">
        <v>413972.66</v>
      </c>
      <c r="I513" s="18">
        <v>3364.3</v>
      </c>
      <c r="J513" s="18">
        <v>3248.16</v>
      </c>
      <c r="K513" s="18"/>
      <c r="L513" s="88">
        <f>SUM(F513:K513)</f>
        <v>832028.62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1195080.7</v>
      </c>
      <c r="G514" s="108">
        <f t="shared" ref="G514:L514" si="35">SUM(G511:G513)</f>
        <v>524320.74</v>
      </c>
      <c r="H514" s="108">
        <f t="shared" si="35"/>
        <v>513178.18</v>
      </c>
      <c r="I514" s="108">
        <f t="shared" si="35"/>
        <v>28628.78</v>
      </c>
      <c r="J514" s="108">
        <f t="shared" si="35"/>
        <v>24665.53</v>
      </c>
      <c r="K514" s="108">
        <f t="shared" si="35"/>
        <v>0</v>
      </c>
      <c r="L514" s="89">
        <f t="shared" si="35"/>
        <v>2285873.9300000002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607583.93999999994</v>
      </c>
      <c r="G516" s="18">
        <v>274840.03000000003</v>
      </c>
      <c r="H516" s="18">
        <v>284948.96999999997</v>
      </c>
      <c r="I516" s="18">
        <v>9847.4599999999991</v>
      </c>
      <c r="J516" s="18">
        <v>9981.7000000000007</v>
      </c>
      <c r="K516" s="18">
        <v>30838.75</v>
      </c>
      <c r="L516" s="88">
        <f>SUM(F516:K516)</f>
        <v>1218040.8499999999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53731.55</v>
      </c>
      <c r="G518" s="18">
        <v>24827.279999999999</v>
      </c>
      <c r="H518" s="18">
        <v>131997.43</v>
      </c>
      <c r="I518" s="18">
        <v>3459.96</v>
      </c>
      <c r="J518" s="18">
        <v>4916.3500000000004</v>
      </c>
      <c r="K518" s="18">
        <v>10538.25</v>
      </c>
      <c r="L518" s="88">
        <f>SUM(F518:K518)</f>
        <v>229470.82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661315.49</v>
      </c>
      <c r="G519" s="89">
        <f t="shared" ref="G519:L519" si="36">SUM(G516:G518)</f>
        <v>299667.31000000006</v>
      </c>
      <c r="H519" s="89">
        <f t="shared" si="36"/>
        <v>416946.39999999997</v>
      </c>
      <c r="I519" s="89">
        <f t="shared" si="36"/>
        <v>13307.419999999998</v>
      </c>
      <c r="J519" s="89">
        <f t="shared" si="36"/>
        <v>14898.050000000001</v>
      </c>
      <c r="K519" s="89">
        <f t="shared" si="36"/>
        <v>41377</v>
      </c>
      <c r="L519" s="89">
        <f t="shared" si="36"/>
        <v>1447511.67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150648.79</v>
      </c>
      <c r="G521" s="18">
        <v>56921.38</v>
      </c>
      <c r="H521" s="18">
        <v>3439.66</v>
      </c>
      <c r="I521" s="18"/>
      <c r="J521" s="18"/>
      <c r="K521" s="18">
        <v>2061.2399999999998</v>
      </c>
      <c r="L521" s="88">
        <f>SUM(F521:K521)</f>
        <v>213071.07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66250.34</v>
      </c>
      <c r="G523" s="18">
        <v>23354.95</v>
      </c>
      <c r="H523" s="18">
        <v>613.85</v>
      </c>
      <c r="I523" s="18"/>
      <c r="J523" s="18"/>
      <c r="K523" s="18">
        <v>907.37</v>
      </c>
      <c r="L523" s="88">
        <f>SUM(F523:K523)</f>
        <v>91126.51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216899.13</v>
      </c>
      <c r="G524" s="89">
        <f t="shared" ref="G524:L524" si="37">SUM(G521:G523)</f>
        <v>80276.33</v>
      </c>
      <c r="H524" s="89">
        <f t="shared" si="37"/>
        <v>4053.5099999999998</v>
      </c>
      <c r="I524" s="89">
        <f t="shared" si="37"/>
        <v>0</v>
      </c>
      <c r="J524" s="89">
        <f t="shared" si="37"/>
        <v>0</v>
      </c>
      <c r="K524" s="89">
        <f t="shared" si="37"/>
        <v>2968.6099999999997</v>
      </c>
      <c r="L524" s="89">
        <f t="shared" si="37"/>
        <v>304197.58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13590.14</v>
      </c>
      <c r="G531" s="18">
        <v>1039.67</v>
      </c>
      <c r="H531" s="18">
        <v>114951.03999999999</v>
      </c>
      <c r="I531" s="18">
        <v>3096.64</v>
      </c>
      <c r="J531" s="18"/>
      <c r="K531" s="18"/>
      <c r="L531" s="88">
        <f>SUM(F531:K531)</f>
        <v>132677.49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6693.65</v>
      </c>
      <c r="G533" s="18">
        <v>512.08000000000004</v>
      </c>
      <c r="H533" s="18">
        <v>56617.67</v>
      </c>
      <c r="I533" s="18">
        <v>1525.2139999999999</v>
      </c>
      <c r="J533" s="18"/>
      <c r="K533" s="18"/>
      <c r="L533" s="88">
        <f>SUM(F533:K533)</f>
        <v>65348.613999999994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20283.79</v>
      </c>
      <c r="G534" s="194">
        <f t="shared" ref="G534:L534" si="39">SUM(G531:G533)</f>
        <v>1551.75</v>
      </c>
      <c r="H534" s="194">
        <f t="shared" si="39"/>
        <v>171568.71</v>
      </c>
      <c r="I534" s="194">
        <f t="shared" si="39"/>
        <v>4621.8539999999994</v>
      </c>
      <c r="J534" s="194">
        <f t="shared" si="39"/>
        <v>0</v>
      </c>
      <c r="K534" s="194">
        <f t="shared" si="39"/>
        <v>0</v>
      </c>
      <c r="L534" s="194">
        <f t="shared" si="39"/>
        <v>198026.10399999999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2093579.1099999999</v>
      </c>
      <c r="G535" s="89">
        <f t="shared" ref="G535:L535" si="40">G514+G519+G524+G529+G534</f>
        <v>905816.13</v>
      </c>
      <c r="H535" s="89">
        <f t="shared" si="40"/>
        <v>1105746.8</v>
      </c>
      <c r="I535" s="89">
        <f t="shared" si="40"/>
        <v>46558.053999999996</v>
      </c>
      <c r="J535" s="89">
        <f t="shared" si="40"/>
        <v>39563.58</v>
      </c>
      <c r="K535" s="89">
        <f t="shared" si="40"/>
        <v>44345.61</v>
      </c>
      <c r="L535" s="89">
        <f t="shared" si="40"/>
        <v>4235609.284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1453845.31</v>
      </c>
      <c r="G539" s="87">
        <f>L516</f>
        <v>1218040.8499999999</v>
      </c>
      <c r="H539" s="87">
        <f>L521</f>
        <v>213071.07</v>
      </c>
      <c r="I539" s="87">
        <f>L526</f>
        <v>0</v>
      </c>
      <c r="J539" s="87">
        <f>L531</f>
        <v>132677.49</v>
      </c>
      <c r="K539" s="87">
        <f>SUM(F539:J539)</f>
        <v>3017634.7199999997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832028.62</v>
      </c>
      <c r="G541" s="87">
        <f>L518</f>
        <v>229470.82</v>
      </c>
      <c r="H541" s="87">
        <f>L523</f>
        <v>91126.51</v>
      </c>
      <c r="I541" s="87">
        <f>L528</f>
        <v>0</v>
      </c>
      <c r="J541" s="87">
        <f>L533</f>
        <v>65348.613999999994</v>
      </c>
      <c r="K541" s="87">
        <f>SUM(F541:J541)</f>
        <v>1217974.564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2285873.9300000002</v>
      </c>
      <c r="G542" s="89">
        <f t="shared" si="41"/>
        <v>1447511.67</v>
      </c>
      <c r="H542" s="89">
        <f t="shared" si="41"/>
        <v>304197.58</v>
      </c>
      <c r="I542" s="89">
        <f t="shared" si="41"/>
        <v>0</v>
      </c>
      <c r="J542" s="89">
        <f t="shared" si="41"/>
        <v>198026.10399999999</v>
      </c>
      <c r="K542" s="89">
        <f t="shared" si="41"/>
        <v>4235609.284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23309.97</v>
      </c>
      <c r="G552" s="18">
        <v>16440.63</v>
      </c>
      <c r="H552" s="18">
        <v>310.38</v>
      </c>
      <c r="I552" s="18"/>
      <c r="J552" s="18"/>
      <c r="K552" s="18"/>
      <c r="L552" s="88">
        <f>SUM(F552:K552)</f>
        <v>40060.980000000003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11481.03</v>
      </c>
      <c r="G554" s="18">
        <v>8097.63</v>
      </c>
      <c r="H554" s="18">
        <v>152.87</v>
      </c>
      <c r="I554" s="18"/>
      <c r="J554" s="18"/>
      <c r="K554" s="18"/>
      <c r="L554" s="88">
        <f>SUM(F554:K554)</f>
        <v>19731.53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34791</v>
      </c>
      <c r="G555" s="89">
        <f t="shared" si="43"/>
        <v>24538.260000000002</v>
      </c>
      <c r="H555" s="89">
        <f t="shared" si="43"/>
        <v>463.25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59792.51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34791</v>
      </c>
      <c r="G561" s="89">
        <f t="shared" ref="G561:L561" si="45">G550+G555+G560</f>
        <v>24538.260000000002</v>
      </c>
      <c r="H561" s="89">
        <f t="shared" si="45"/>
        <v>463.25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59792.51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7700</v>
      </c>
      <c r="I568" s="87">
        <f t="shared" si="46"/>
        <v>7700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53994.37</v>
      </c>
      <c r="I569" s="87">
        <f t="shared" si="46"/>
        <v>53994.37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51001.19</v>
      </c>
      <c r="G572" s="18"/>
      <c r="H572" s="18">
        <v>254361.64</v>
      </c>
      <c r="I572" s="87">
        <f t="shared" si="46"/>
        <v>305362.83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104830.57</v>
      </c>
      <c r="I573" s="87">
        <f t="shared" si="46"/>
        <v>104830.57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85090.41</v>
      </c>
      <c r="I574" s="87">
        <f t="shared" si="46"/>
        <v>85090.41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414523.04</v>
      </c>
      <c r="I581" s="18"/>
      <c r="J581" s="18">
        <v>212680.67</v>
      </c>
      <c r="K581" s="104">
        <f t="shared" ref="K581:K587" si="47">SUM(H581:J581)</f>
        <v>627203.71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128064.07</v>
      </c>
      <c r="I582" s="18"/>
      <c r="J582" s="18">
        <v>63076.34</v>
      </c>
      <c r="K582" s="104">
        <f t="shared" si="47"/>
        <v>191140.41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30021.52</v>
      </c>
      <c r="K583" s="104">
        <f t="shared" si="47"/>
        <v>30021.52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18571.2</v>
      </c>
      <c r="I584" s="18"/>
      <c r="J584" s="18">
        <v>53909.69</v>
      </c>
      <c r="K584" s="104">
        <f t="shared" si="47"/>
        <v>72480.89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15533.5</v>
      </c>
      <c r="I585" s="18"/>
      <c r="J585" s="18">
        <v>12699.35</v>
      </c>
      <c r="K585" s="104">
        <f t="shared" si="47"/>
        <v>28232.85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4613.41</v>
      </c>
      <c r="I587" s="18"/>
      <c r="J587" s="18">
        <v>2272.2800000000002</v>
      </c>
      <c r="K587" s="104">
        <f t="shared" si="47"/>
        <v>6885.6900000000005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581305.22</v>
      </c>
      <c r="I588" s="108">
        <f>SUM(I581:I587)</f>
        <v>0</v>
      </c>
      <c r="J588" s="108">
        <f>SUM(J581:J587)</f>
        <v>374659.85000000003</v>
      </c>
      <c r="K588" s="108">
        <f>SUM(K581:K587)</f>
        <v>955965.07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214960.4</v>
      </c>
      <c r="I594" s="18"/>
      <c r="J594" s="18">
        <v>132136.57</v>
      </c>
      <c r="K594" s="104">
        <f>SUM(H594:J594)</f>
        <v>347096.97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214960.4</v>
      </c>
      <c r="I595" s="108">
        <f>SUM(I592:I594)</f>
        <v>0</v>
      </c>
      <c r="J595" s="108">
        <f>SUM(J592:J594)</f>
        <v>132136.57</v>
      </c>
      <c r="K595" s="108">
        <f>SUM(K592:K594)</f>
        <v>347096.97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6050</v>
      </c>
      <c r="G601" s="18">
        <v>822.34</v>
      </c>
      <c r="H601" s="18"/>
      <c r="I601" s="18"/>
      <c r="J601" s="18"/>
      <c r="K601" s="18"/>
      <c r="L601" s="88">
        <f>SUM(F601:K601)</f>
        <v>6872.34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7250</v>
      </c>
      <c r="G603" s="18">
        <v>940.87</v>
      </c>
      <c r="H603" s="18"/>
      <c r="I603" s="18"/>
      <c r="J603" s="18"/>
      <c r="K603" s="18"/>
      <c r="L603" s="88">
        <f>SUM(F603:K603)</f>
        <v>8190.87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13300</v>
      </c>
      <c r="G604" s="108">
        <f t="shared" si="48"/>
        <v>1763.21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15063.21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918559.00000000012</v>
      </c>
      <c r="H607" s="109">
        <f>SUM(F44)</f>
        <v>918559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20754.560000000001</v>
      </c>
      <c r="H608" s="109">
        <f>SUM(G44)</f>
        <v>20754.560000000005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477141.53</v>
      </c>
      <c r="H609" s="109">
        <f>SUM(H44)</f>
        <v>477141.53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664700.13</v>
      </c>
      <c r="H611" s="109">
        <f>SUM(J44)</f>
        <v>664700.13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158595.37999999998</v>
      </c>
      <c r="H612" s="109">
        <f>F466</f>
        <v>158595.38000000268</v>
      </c>
      <c r="I612" s="121" t="s">
        <v>106</v>
      </c>
      <c r="J612" s="109">
        <f t="shared" ref="J612:J645" si="49">G612-H612</f>
        <v>-2.7066562324762344E-9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57863.87</v>
      </c>
      <c r="H613" s="109">
        <f>G466</f>
        <v>57863.869999999937</v>
      </c>
      <c r="I613" s="121" t="s">
        <v>108</v>
      </c>
      <c r="J613" s="109">
        <f t="shared" si="49"/>
        <v>6.5483618527650833E-11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7943.83</v>
      </c>
      <c r="H614" s="109">
        <f>H466</f>
        <v>7943.8300000000745</v>
      </c>
      <c r="I614" s="121" t="s">
        <v>110</v>
      </c>
      <c r="J614" s="109">
        <f t="shared" si="49"/>
        <v>-7.4578565545380116E-11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664700.13</v>
      </c>
      <c r="H616" s="109">
        <f>J466</f>
        <v>664700.13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16867176.010000002</v>
      </c>
      <c r="H617" s="104">
        <f>SUM(F458)</f>
        <v>16867176.010000002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531966.48</v>
      </c>
      <c r="H618" s="104">
        <f>SUM(G458)</f>
        <v>531966.48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2081537.5100000002</v>
      </c>
      <c r="H619" s="104">
        <f>SUM(H458)</f>
        <v>2081537.51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430726.26</v>
      </c>
      <c r="H621" s="104">
        <f>SUM(J458)</f>
        <v>430726.26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17019831.82</v>
      </c>
      <c r="H622" s="104">
        <f>SUM(F462)</f>
        <v>17019831.82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2082190.46</v>
      </c>
      <c r="H623" s="104">
        <f>SUM(H462)</f>
        <v>2082190.46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212164.28999999998</v>
      </c>
      <c r="H624" s="104">
        <f>I361</f>
        <v>212164.29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500760.45999999996</v>
      </c>
      <c r="H625" s="104">
        <f>SUM(G462)</f>
        <v>500760.46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430726.26</v>
      </c>
      <c r="H627" s="164">
        <f>SUM(J458)</f>
        <v>430726.26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224882.83</v>
      </c>
      <c r="H628" s="164">
        <f>SUM(J462)</f>
        <v>224882.83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77132.39</v>
      </c>
      <c r="H629" s="104">
        <f>SUM(F451)</f>
        <v>77132.39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587567.74</v>
      </c>
      <c r="H630" s="104">
        <f>SUM(G451)</f>
        <v>587567.74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664700.13</v>
      </c>
      <c r="H632" s="104">
        <f>SUM(I451)</f>
        <v>664700.13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 t="str">
        <f>J49</f>
        <v xml:space="preserve"> 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9030.5300000000007</v>
      </c>
      <c r="H634" s="104">
        <f>H400</f>
        <v>9030.5299999999988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185282.93</v>
      </c>
      <c r="H635" s="104">
        <f>G400</f>
        <v>185282.93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430726.26</v>
      </c>
      <c r="H636" s="104">
        <f>L400</f>
        <v>430726.26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955965.07</v>
      </c>
      <c r="H637" s="104">
        <f>L200+L218+L236</f>
        <v>955965.07000000007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347096.97</v>
      </c>
      <c r="H638" s="104">
        <f>(J249+J330)-(J247+J328)</f>
        <v>347096.97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581305.22000000009</v>
      </c>
      <c r="H639" s="104">
        <f>H588</f>
        <v>581305.22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374659.85</v>
      </c>
      <c r="H641" s="104">
        <f>J588</f>
        <v>374659.85000000003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185282.93</v>
      </c>
      <c r="H645" s="104">
        <f>K258+K339</f>
        <v>185282.93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11518833.92</v>
      </c>
      <c r="G650" s="19">
        <f>(L221+L301+L351)</f>
        <v>0</v>
      </c>
      <c r="H650" s="19">
        <f>(L239+L320+L352)</f>
        <v>6916548.1699999999</v>
      </c>
      <c r="I650" s="19">
        <f>SUM(F650:H650)</f>
        <v>18435382.09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156585.53072036398</v>
      </c>
      <c r="G651" s="19">
        <f>(L351/IF(SUM(L350:L352)=0,1,SUM(L350:L352))*(SUM(G89:G102)))</f>
        <v>0</v>
      </c>
      <c r="H651" s="19">
        <f>(L352/IF(SUM(L350:L352)=0,1,SUM(L350:L352))*(SUM(G89:G102)))</f>
        <v>68387.509279636026</v>
      </c>
      <c r="I651" s="19">
        <f>SUM(F651:H651)</f>
        <v>224973.04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581305.22000000009</v>
      </c>
      <c r="G652" s="19">
        <f>(L218+L298)-(J218+J298)</f>
        <v>0</v>
      </c>
      <c r="H652" s="19">
        <f>(L236+L317)-(J236+J317)</f>
        <v>374659.85</v>
      </c>
      <c r="I652" s="19">
        <f>SUM(F652:H652)</f>
        <v>955965.07000000007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272833.93</v>
      </c>
      <c r="G653" s="200">
        <f>SUM(G565:G577)+SUM(I592:I594)+L602</f>
        <v>0</v>
      </c>
      <c r="H653" s="200">
        <f>SUM(H565:H577)+SUM(J592:J594)+L603</f>
        <v>646304.43000000005</v>
      </c>
      <c r="I653" s="19">
        <f>SUM(F653:H653)</f>
        <v>919138.3600000001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10508109.239279635</v>
      </c>
      <c r="G654" s="19">
        <f>G650-SUM(G651:G653)</f>
        <v>0</v>
      </c>
      <c r="H654" s="19">
        <f>H650-SUM(H651:H653)</f>
        <v>5827196.3807203639</v>
      </c>
      <c r="I654" s="19">
        <f>I650-SUM(I651:I653)</f>
        <v>16335305.619999999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840.67</v>
      </c>
      <c r="G655" s="249"/>
      <c r="H655" s="249">
        <v>413.14</v>
      </c>
      <c r="I655" s="19">
        <f>SUM(F655:H655)</f>
        <v>1253.81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12499.68</v>
      </c>
      <c r="G657" s="19" t="e">
        <f>ROUND(G654/G655,2)</f>
        <v>#DIV/0!</v>
      </c>
      <c r="H657" s="19">
        <f>ROUND(H654/H655,2)</f>
        <v>14104.65</v>
      </c>
      <c r="I657" s="19">
        <f>ROUND(I654/I655,2)</f>
        <v>13028.53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2.56</v>
      </c>
      <c r="I660" s="19">
        <f>SUM(F660:H660)</f>
        <v>2.56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12499.68</v>
      </c>
      <c r="G662" s="19" t="e">
        <f>ROUND((G654+G659)/(G655+G660),2)</f>
        <v>#DIV/0!</v>
      </c>
      <c r="H662" s="19">
        <f>ROUND((H654+H659)/(H655+H660),2)</f>
        <v>14017.79</v>
      </c>
      <c r="I662" s="19">
        <f>ROUND((I654+I659)/(I655+I660),2)</f>
        <v>13001.99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D332-1B1C-4FFB-A893-E01F57142407}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WHITE MTS. REGIONAL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4110109.34</v>
      </c>
      <c r="C9" s="230">
        <f>'DOE25'!G189+'DOE25'!G207+'DOE25'!G225+'DOE25'!G268+'DOE25'!G287+'DOE25'!G306</f>
        <v>1893413.1700000002</v>
      </c>
    </row>
    <row r="10" spans="1:3" x14ac:dyDescent="0.2">
      <c r="A10" t="s">
        <v>813</v>
      </c>
      <c r="B10" s="241">
        <v>3635711.5</v>
      </c>
      <c r="C10" s="241">
        <v>1748085.6</v>
      </c>
    </row>
    <row r="11" spans="1:3" x14ac:dyDescent="0.2">
      <c r="A11" t="s">
        <v>814</v>
      </c>
      <c r="B11" s="241">
        <v>210583.03</v>
      </c>
      <c r="C11" s="241">
        <v>93611.32</v>
      </c>
    </row>
    <row r="12" spans="1:3" x14ac:dyDescent="0.2">
      <c r="A12" t="s">
        <v>815</v>
      </c>
      <c r="B12" s="241">
        <v>263814.81</v>
      </c>
      <c r="C12" s="241">
        <v>51716.25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4110109.34</v>
      </c>
      <c r="C13" s="232">
        <f>SUM(C10:C12)</f>
        <v>1893413.1700000002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1533873.6500000001</v>
      </c>
      <c r="C18" s="230">
        <f>'DOE25'!G190+'DOE25'!G208+'DOE25'!G226+'DOE25'!G269+'DOE25'!G288+'DOE25'!G307</f>
        <v>726969.31</v>
      </c>
    </row>
    <row r="19" spans="1:3" x14ac:dyDescent="0.2">
      <c r="A19" t="s">
        <v>813</v>
      </c>
      <c r="B19" s="241">
        <v>987183.53</v>
      </c>
      <c r="C19" s="241">
        <v>521839.1</v>
      </c>
    </row>
    <row r="20" spans="1:3" x14ac:dyDescent="0.2">
      <c r="A20" t="s">
        <v>814</v>
      </c>
      <c r="B20" s="241">
        <v>533385.12</v>
      </c>
      <c r="C20" s="241">
        <v>201383.02</v>
      </c>
    </row>
    <row r="21" spans="1:3" x14ac:dyDescent="0.2">
      <c r="A21" t="s">
        <v>815</v>
      </c>
      <c r="B21" s="241">
        <v>13305</v>
      </c>
      <c r="C21" s="241">
        <v>3747.19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1533873.65</v>
      </c>
      <c r="C22" s="232">
        <f>SUM(C19:C21)</f>
        <v>726969.30999999994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362864</v>
      </c>
      <c r="C27" s="235">
        <f>'DOE25'!G191+'DOE25'!G209+'DOE25'!G227+'DOE25'!G270+'DOE25'!G289+'DOE25'!G308</f>
        <v>146688.48000000001</v>
      </c>
    </row>
    <row r="28" spans="1:3" x14ac:dyDescent="0.2">
      <c r="A28" t="s">
        <v>813</v>
      </c>
      <c r="B28" s="241">
        <v>295763</v>
      </c>
      <c r="C28" s="241">
        <v>127495.02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67101</v>
      </c>
      <c r="C30" s="241">
        <v>19193.46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362864</v>
      </c>
      <c r="C31" s="232">
        <f>SUM(C28:C30)</f>
        <v>146688.48000000001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276582.71000000002</v>
      </c>
      <c r="C36" s="236">
        <f>'DOE25'!G192+'DOE25'!G210+'DOE25'!G228+'DOE25'!G271+'DOE25'!G290+'DOE25'!G309</f>
        <v>47888.47</v>
      </c>
    </row>
    <row r="37" spans="1:3" x14ac:dyDescent="0.2">
      <c r="A37" t="s">
        <v>813</v>
      </c>
      <c r="B37" s="241">
        <v>93763.92</v>
      </c>
      <c r="C37" s="241">
        <v>29550.85</v>
      </c>
    </row>
    <row r="38" spans="1:3" x14ac:dyDescent="0.2">
      <c r="A38" t="s">
        <v>814</v>
      </c>
      <c r="B38" s="241">
        <v>13289.4</v>
      </c>
      <c r="C38" s="241">
        <v>360.76</v>
      </c>
    </row>
    <row r="39" spans="1:3" x14ac:dyDescent="0.2">
      <c r="A39" t="s">
        <v>815</v>
      </c>
      <c r="B39" s="241">
        <v>169529.39</v>
      </c>
      <c r="C39" s="241">
        <v>17976.86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276582.71000000002</v>
      </c>
      <c r="C40" s="232">
        <f>SUM(C37:C39)</f>
        <v>47888.47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7E1-123A-4835-9250-8F09D970F13F}">
  <sheetPr>
    <tabColor indexed="11"/>
  </sheetPr>
  <dimension ref="A1:I51"/>
  <sheetViews>
    <sheetView workbookViewId="0">
      <pane ySplit="4" topLeftCell="A5" activePane="bottomLeft" state="frozen"/>
      <selection pane="bottomLeft" activeCell="F6" sqref="F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WHITE MTS. REGIONAL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9341266.0700000003</v>
      </c>
      <c r="D5" s="20">
        <f>SUM('DOE25'!L189:L192)+SUM('DOE25'!L207:L210)+SUM('DOE25'!L225:L228)-F5-G5</f>
        <v>9315340.4600000009</v>
      </c>
      <c r="E5" s="244"/>
      <c r="F5" s="256">
        <f>SUM('DOE25'!J189:J192)+SUM('DOE25'!J207:J210)+SUM('DOE25'!J225:J228)</f>
        <v>10675.36</v>
      </c>
      <c r="G5" s="53">
        <f>SUM('DOE25'!K189:K192)+SUM('DOE25'!K207:K210)+SUM('DOE25'!K225:K228)</f>
        <v>15250.25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1091924.1199999999</v>
      </c>
      <c r="D6" s="20">
        <f>'DOE25'!L194+'DOE25'!L212+'DOE25'!L230-F6-G6</f>
        <v>1091514.8699999999</v>
      </c>
      <c r="E6" s="244"/>
      <c r="F6" s="256">
        <f>'DOE25'!J194+'DOE25'!J212+'DOE25'!J230</f>
        <v>409.25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419256.79</v>
      </c>
      <c r="D7" s="20">
        <f>'DOE25'!L195+'DOE25'!L213+'DOE25'!L231-F7-G7</f>
        <v>392616.99</v>
      </c>
      <c r="E7" s="244"/>
      <c r="F7" s="256">
        <f>'DOE25'!J195+'DOE25'!J213+'DOE25'!J231</f>
        <v>7.8</v>
      </c>
      <c r="G7" s="53">
        <f>'DOE25'!K195+'DOE25'!K213+'DOE25'!K231</f>
        <v>26632</v>
      </c>
      <c r="H7" s="260"/>
    </row>
    <row r="8" spans="1:9" x14ac:dyDescent="0.2">
      <c r="A8" s="32">
        <v>2300</v>
      </c>
      <c r="B8" t="s">
        <v>836</v>
      </c>
      <c r="C8" s="246">
        <f t="shared" si="0"/>
        <v>541632.49000000022</v>
      </c>
      <c r="D8" s="244"/>
      <c r="E8" s="20">
        <f>'DOE25'!L196+'DOE25'!L214+'DOE25'!L232-F8-G8-D9-D11</f>
        <v>516090.36000000022</v>
      </c>
      <c r="F8" s="256">
        <f>'DOE25'!J196+'DOE25'!J214+'DOE25'!J232</f>
        <v>548.88</v>
      </c>
      <c r="G8" s="53">
        <f>'DOE25'!K196+'DOE25'!K214+'DOE25'!K232</f>
        <v>24993.25</v>
      </c>
      <c r="H8" s="260"/>
    </row>
    <row r="9" spans="1:9" x14ac:dyDescent="0.2">
      <c r="A9" s="32">
        <v>2310</v>
      </c>
      <c r="B9" t="s">
        <v>852</v>
      </c>
      <c r="C9" s="246">
        <f t="shared" si="0"/>
        <v>251352.88</v>
      </c>
      <c r="D9" s="245">
        <v>251352.88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13500</v>
      </c>
      <c r="D10" s="244"/>
      <c r="E10" s="245">
        <v>13500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291530.77</v>
      </c>
      <c r="D11" s="245">
        <v>291530.77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1073688.81</v>
      </c>
      <c r="D12" s="20">
        <f>'DOE25'!L197+'DOE25'!L215+'DOE25'!L233-F12-G12</f>
        <v>1046206.0000000001</v>
      </c>
      <c r="E12" s="244"/>
      <c r="F12" s="256">
        <f>'DOE25'!J197+'DOE25'!J215+'DOE25'!J233</f>
        <v>139.97999999999999</v>
      </c>
      <c r="G12" s="53">
        <f>'DOE25'!K197+'DOE25'!K215+'DOE25'!K233</f>
        <v>27342.83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174083.56</v>
      </c>
      <c r="D13" s="244"/>
      <c r="E13" s="20">
        <f>'DOE25'!L198+'DOE25'!L216+'DOE25'!L234-F13-G13</f>
        <v>174083.56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1770803.1799999997</v>
      </c>
      <c r="D14" s="20">
        <f>'DOE25'!L199+'DOE25'!L217+'DOE25'!L235-F14-G14</f>
        <v>1766226.8499999996</v>
      </c>
      <c r="E14" s="244"/>
      <c r="F14" s="256">
        <f>'DOE25'!J199+'DOE25'!J217+'DOE25'!J235</f>
        <v>4576.33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955965.07000000007</v>
      </c>
      <c r="D15" s="20">
        <f>'DOE25'!L200+'DOE25'!L218+'DOE25'!L236-F15-G15</f>
        <v>955965.07000000007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92.65</v>
      </c>
      <c r="D22" s="244"/>
      <c r="E22" s="244"/>
      <c r="F22" s="256">
        <f>'DOE25'!L247+'DOE25'!L328</f>
        <v>92.65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840552.5</v>
      </c>
      <c r="D25" s="244"/>
      <c r="E25" s="244"/>
      <c r="F25" s="259"/>
      <c r="G25" s="257"/>
      <c r="H25" s="258">
        <f>'DOE25'!L252+'DOE25'!L253+'DOE25'!L333+'DOE25'!L334</f>
        <v>840552.5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303606.74</v>
      </c>
      <c r="D29" s="20">
        <f>'DOE25'!L350+'DOE25'!L351+'DOE25'!L352-'DOE25'!I359-F29-G29</f>
        <v>298103.52</v>
      </c>
      <c r="E29" s="244"/>
      <c r="F29" s="256">
        <f>'DOE25'!J350+'DOE25'!J351+'DOE25'!J352</f>
        <v>2685.7200000000003</v>
      </c>
      <c r="G29" s="53">
        <f>'DOE25'!K350+'DOE25'!K351+'DOE25'!K352</f>
        <v>2817.5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2023117.89</v>
      </c>
      <c r="D31" s="20">
        <f>'DOE25'!L282+'DOE25'!L301+'DOE25'!L320+'DOE25'!L325+'DOE25'!L326+'DOE25'!L327-F31-G31</f>
        <v>1678422.22</v>
      </c>
      <c r="E31" s="244"/>
      <c r="F31" s="256">
        <f>'DOE25'!J282+'DOE25'!J301+'DOE25'!J320+'DOE25'!J325+'DOE25'!J326+'DOE25'!J327</f>
        <v>330739.37</v>
      </c>
      <c r="G31" s="53">
        <f>'DOE25'!K282+'DOE25'!K301+'DOE25'!K320+'DOE25'!K325+'DOE25'!K326+'DOE25'!K327</f>
        <v>13956.3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17087279.629999999</v>
      </c>
      <c r="E33" s="247">
        <f>SUM(E5:E31)</f>
        <v>703673.92000000016</v>
      </c>
      <c r="F33" s="247">
        <f>SUM(F5:F31)</f>
        <v>349875.33999999997</v>
      </c>
      <c r="G33" s="247">
        <f>SUM(G5:G31)</f>
        <v>110992.13</v>
      </c>
      <c r="H33" s="247">
        <f>SUM(H5:H31)</f>
        <v>840552.5</v>
      </c>
    </row>
    <row r="35" spans="2:8" ht="12" thickBot="1" x14ac:dyDescent="0.25">
      <c r="B35" s="254" t="s">
        <v>881</v>
      </c>
      <c r="D35" s="255">
        <f>E33</f>
        <v>703673.92000000016</v>
      </c>
      <c r="E35" s="250"/>
    </row>
    <row r="36" spans="2:8" ht="12" thickTop="1" x14ac:dyDescent="0.2">
      <c r="B36" t="s">
        <v>849</v>
      </c>
      <c r="D36" s="20">
        <f>D33</f>
        <v>17087279.629999999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09D6-8B61-4AEB-8480-05AF992DFD8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MTS.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538755.15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37374.480000000003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53579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 t="str">
        <f>'DOE25'!H12</f>
        <v xml:space="preserve"> 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279246.95</v>
      </c>
      <c r="D13" s="95">
        <f>'DOE25'!G13</f>
        <v>20754.560000000001</v>
      </c>
      <c r="E13" s="95">
        <f>'DOE25'!H13</f>
        <v>477141.53</v>
      </c>
      <c r="F13" s="95">
        <f>'DOE25'!I13</f>
        <v>0</v>
      </c>
      <c r="G13" s="95">
        <f>'DOE25'!J13</f>
        <v>647288.19999999995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7603.42</v>
      </c>
      <c r="D14" s="95">
        <f>'DOE25'!G14</f>
        <v>0</v>
      </c>
      <c r="E14" s="95">
        <f>'DOE25'!H14</f>
        <v>0</v>
      </c>
      <c r="F14" s="95" t="str">
        <f>'DOE25'!I14</f>
        <v xml:space="preserve"> </v>
      </c>
      <c r="G14" s="95">
        <f>'DOE25'!J14</f>
        <v>17411.93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2000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918559.00000000012</v>
      </c>
      <c r="D19" s="41">
        <f>SUM(D9:D18)</f>
        <v>20754.560000000001</v>
      </c>
      <c r="E19" s="41">
        <f>SUM(E9:E18)</f>
        <v>477141.53</v>
      </c>
      <c r="F19" s="41">
        <f>SUM(F9:F18)</f>
        <v>0</v>
      </c>
      <c r="G19" s="41">
        <f>SUM(G9:G18)</f>
        <v>664700.13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-325867.38</v>
      </c>
      <c r="D22" s="95">
        <f>'DOE25'!G23</f>
        <v>-37109.31</v>
      </c>
      <c r="E22" s="95">
        <f>'DOE25'!H23</f>
        <v>362976.69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17411.93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1068441.22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-22.15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106221.01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759963.62</v>
      </c>
      <c r="D32" s="41">
        <f>SUM(D22:D31)</f>
        <v>-37109.31</v>
      </c>
      <c r="E32" s="41">
        <f>SUM(E22:E31)</f>
        <v>469197.7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4190.0200000000004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57863.87</v>
      </c>
      <c r="E40" s="95">
        <f>'DOE25'!H41</f>
        <v>7943.83</v>
      </c>
      <c r="F40" s="95">
        <f>'DOE25'!I41</f>
        <v>0</v>
      </c>
      <c r="G40" s="95">
        <f>'DOE25'!J41</f>
        <v>664700.13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154405.35999999999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158595.37999999998</v>
      </c>
      <c r="D42" s="41">
        <f>SUM(D34:D41)</f>
        <v>57863.87</v>
      </c>
      <c r="E42" s="41">
        <f>SUM(E34:E41)</f>
        <v>7943.83</v>
      </c>
      <c r="F42" s="41">
        <f>SUM(F34:F41)</f>
        <v>0</v>
      </c>
      <c r="G42" s="41">
        <f>SUM(G34:G41)</f>
        <v>664700.13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918559</v>
      </c>
      <c r="D43" s="41">
        <f>D42+D32</f>
        <v>20754.560000000005</v>
      </c>
      <c r="E43" s="41">
        <f>E42+E32</f>
        <v>477141.53</v>
      </c>
      <c r="F43" s="41">
        <f>F42+F32</f>
        <v>0</v>
      </c>
      <c r="G43" s="41">
        <f>G42+G32</f>
        <v>664700.13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6350333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564855.6399999999</v>
      </c>
      <c r="D49" s="24" t="s">
        <v>312</v>
      </c>
      <c r="E49" s="95">
        <f>'DOE25'!H71</f>
        <v>30930.9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3340.38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9030.5300000000007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224973.04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73514.17</v>
      </c>
      <c r="D53" s="95">
        <f>SUM('DOE25'!G90:G102)</f>
        <v>0</v>
      </c>
      <c r="E53" s="95">
        <f>SUM('DOE25'!H90:H102)</f>
        <v>41007.82</v>
      </c>
      <c r="F53" s="95">
        <f>SUM('DOE25'!I90:I102)</f>
        <v>0</v>
      </c>
      <c r="G53" s="95">
        <f>SUM('DOE25'!J90:J102)</f>
        <v>236412.79999999999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641710.18999999994</v>
      </c>
      <c r="D54" s="130">
        <f>SUM(D49:D53)</f>
        <v>224973.04</v>
      </c>
      <c r="E54" s="130">
        <f>SUM(E49:E53)</f>
        <v>71938.720000000001</v>
      </c>
      <c r="F54" s="130">
        <f>SUM(F49:F53)</f>
        <v>0</v>
      </c>
      <c r="G54" s="130">
        <f>SUM(G49:G53)</f>
        <v>245443.33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6992043.1899999995</v>
      </c>
      <c r="D55" s="22">
        <f>D48+D54</f>
        <v>224973.04</v>
      </c>
      <c r="E55" s="22">
        <f>E48+E54</f>
        <v>71938.720000000001</v>
      </c>
      <c r="F55" s="22">
        <f>F48+F54</f>
        <v>0</v>
      </c>
      <c r="G55" s="22">
        <f>G48+G54</f>
        <v>245443.33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4860361.71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2345169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1864769.29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9070300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509987.2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135461.44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83388.079999999987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5711.96</v>
      </c>
      <c r="E69" s="95">
        <f>SUM('DOE25'!H123:H127)</f>
        <v>10929.55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728836.72</v>
      </c>
      <c r="D70" s="130">
        <f>SUM(D64:D69)</f>
        <v>5711.96</v>
      </c>
      <c r="E70" s="130">
        <f>SUM(E64:E69)</f>
        <v>10929.55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597.07000000000005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9799136.7200000007</v>
      </c>
      <c r="D73" s="130">
        <f>SUM(D71:D72)+D70+D62</f>
        <v>5711.96</v>
      </c>
      <c r="E73" s="130">
        <f>SUM(E71:E72)+E70+E62</f>
        <v>11526.619999999999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38727.47</v>
      </c>
      <c r="D80" s="95">
        <f>SUM('DOE25'!G145:G153)</f>
        <v>301281.48</v>
      </c>
      <c r="E80" s="95">
        <f>SUM('DOE25'!H145:H153)</f>
        <v>1836561.1700000002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161511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37268.629999999997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75996.100000000006</v>
      </c>
      <c r="D83" s="131">
        <f>SUM(D77:D82)</f>
        <v>301281.48</v>
      </c>
      <c r="E83" s="131">
        <f>SUM(E77:E82)</f>
        <v>1998072.1700000002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185282.93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185282.93</v>
      </c>
    </row>
    <row r="96" spans="1:7" ht="12.75" thickTop="1" thickBot="1" x14ac:dyDescent="0.25">
      <c r="A96" s="33" t="s">
        <v>797</v>
      </c>
      <c r="C96" s="86">
        <f>C55+C73+C83+C95</f>
        <v>16867176.010000002</v>
      </c>
      <c r="D96" s="86">
        <f>D55+D73+D83+D95</f>
        <v>531966.48</v>
      </c>
      <c r="E96" s="86">
        <f>E55+E73+E83+E95</f>
        <v>2081537.5100000002</v>
      </c>
      <c r="F96" s="86">
        <f>F55+F73+F83+F95</f>
        <v>0</v>
      </c>
      <c r="G96" s="86">
        <f>G55+G73+G95</f>
        <v>430726.26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6238205.7799999993</v>
      </c>
      <c r="D101" s="24" t="s">
        <v>312</v>
      </c>
      <c r="E101" s="95">
        <f>('DOE25'!L268)+('DOE25'!L287)+('DOE25'!L306)</f>
        <v>205917.53000000003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2231152.4400000004</v>
      </c>
      <c r="D102" s="24" t="s">
        <v>312</v>
      </c>
      <c r="E102" s="95">
        <f>('DOE25'!L269)+('DOE25'!L288)+('DOE25'!L307)</f>
        <v>543670.87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536983.86999999988</v>
      </c>
      <c r="D103" s="24" t="s">
        <v>312</v>
      </c>
      <c r="E103" s="95">
        <f>('DOE25'!L270)+('DOE25'!L289)+('DOE25'!L308)</f>
        <v>121087.95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334923.98</v>
      </c>
      <c r="D104" s="24" t="s">
        <v>312</v>
      </c>
      <c r="E104" s="95">
        <f>+('DOE25'!L271)+('DOE25'!L290)+('DOE25'!L309)</f>
        <v>43226.080000000009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9341266.0699999984</v>
      </c>
      <c r="D107" s="86">
        <f>SUM(D101:D106)</f>
        <v>0</v>
      </c>
      <c r="E107" s="86">
        <f>SUM(E101:E106)</f>
        <v>913902.42999999993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1091924.1199999999</v>
      </c>
      <c r="D110" s="24" t="s">
        <v>312</v>
      </c>
      <c r="E110" s="95">
        <f>+('DOE25'!L273)+('DOE25'!L292)+('DOE25'!L311)</f>
        <v>488798.6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419256.79</v>
      </c>
      <c r="D111" s="24" t="s">
        <v>312</v>
      </c>
      <c r="E111" s="95">
        <f>+('DOE25'!L274)+('DOE25'!L293)+('DOE25'!L312)</f>
        <v>558652.1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1084516.1400000001</v>
      </c>
      <c r="D112" s="24" t="s">
        <v>312</v>
      </c>
      <c r="E112" s="95">
        <f>+('DOE25'!L275)+('DOE25'!L294)+('DOE25'!L313)</f>
        <v>49376.42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1073688.81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174083.56</v>
      </c>
      <c r="D114" s="24" t="s">
        <v>312</v>
      </c>
      <c r="E114" s="95">
        <f>+('DOE25'!L277)+('DOE25'!L296)+('DOE25'!L315)</f>
        <v>1893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1770803.1799999997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955965.07000000007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10495.339999999998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500760.45999999996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6570237.6699999999</v>
      </c>
      <c r="D120" s="86">
        <f>SUM(D110:D119)</f>
        <v>500760.45999999996</v>
      </c>
      <c r="E120" s="86">
        <f>SUM(E110:E119)</f>
        <v>1109215.46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92.65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50552.5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59072.57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60491.64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370234.62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-245443.33000000002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82400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1108328.08</v>
      </c>
      <c r="D136" s="141">
        <f>SUM(D122:D135)</f>
        <v>0</v>
      </c>
      <c r="E136" s="141">
        <f>SUM(E122:E135)</f>
        <v>59072.57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17019831.82</v>
      </c>
      <c r="D137" s="86">
        <f>(D107+D120+D136)</f>
        <v>500760.45999999996</v>
      </c>
      <c r="E137" s="86">
        <f>(E107+E120+E136)</f>
        <v>2082190.46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15</v>
      </c>
      <c r="F143" s="153">
        <f>'DOE25'!J480</f>
        <v>12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12/89</v>
      </c>
      <c r="C144" s="152" t="str">
        <f>'DOE25'!G481</f>
        <v>1/90</v>
      </c>
      <c r="D144" s="152" t="str">
        <f>'DOE25'!H481</f>
        <v>1/91</v>
      </c>
      <c r="E144" s="152" t="str">
        <f>'DOE25'!I481</f>
        <v>8/96</v>
      </c>
      <c r="F144" s="152" t="str">
        <f>'DOE25'!J481</f>
        <v>10/00</v>
      </c>
      <c r="G144" s="24" t="s">
        <v>312</v>
      </c>
    </row>
    <row r="145" spans="1:7" x14ac:dyDescent="0.2">
      <c r="A145" s="136" t="s">
        <v>29</v>
      </c>
      <c r="B145" s="152" t="str">
        <f>'DOE25'!F482</f>
        <v>1/2010</v>
      </c>
      <c r="C145" s="152" t="str">
        <f>'DOE25'!G482</f>
        <v>1/2010</v>
      </c>
      <c r="D145" s="152" t="str">
        <f>'DOE25'!H482</f>
        <v>1/2011</v>
      </c>
      <c r="E145" s="152" t="str">
        <f>'DOE25'!I482</f>
        <v>8/2011</v>
      </c>
      <c r="F145" s="152" t="str">
        <f>'DOE25'!J482</f>
        <v>10/2012</v>
      </c>
      <c r="G145" s="24" t="s">
        <v>312</v>
      </c>
    </row>
    <row r="146" spans="1:7" x14ac:dyDescent="0.2">
      <c r="A146" s="136" t="s">
        <v>30</v>
      </c>
      <c r="B146" s="137">
        <f>'DOE25'!F483</f>
        <v>5000000</v>
      </c>
      <c r="C146" s="137">
        <f>'DOE25'!G483</f>
        <v>5000000</v>
      </c>
      <c r="D146" s="137">
        <f>'DOE25'!H483</f>
        <v>1790000</v>
      </c>
      <c r="E146" s="137">
        <f>'DOE25'!I483</f>
        <v>500000</v>
      </c>
      <c r="F146" s="137">
        <f>'DOE25'!J483</f>
        <v>2100000</v>
      </c>
      <c r="G146" s="24" t="s">
        <v>312</v>
      </c>
    </row>
    <row r="147" spans="1:7" x14ac:dyDescent="0.2">
      <c r="A147" s="136" t="s">
        <v>31</v>
      </c>
      <c r="B147" s="137">
        <f>'DOE25'!F484</f>
        <v>6.88</v>
      </c>
      <c r="C147" s="137">
        <f>'DOE25'!G484</f>
        <v>6.88</v>
      </c>
      <c r="D147" s="137">
        <f>'DOE25'!H484</f>
        <v>6.8</v>
      </c>
      <c r="E147" s="137">
        <f>'DOE25'!I484</f>
        <v>5.63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250000</v>
      </c>
      <c r="C148" s="137">
        <f>'DOE25'!G485</f>
        <v>250000</v>
      </c>
      <c r="D148" s="137">
        <f>'DOE25'!H485</f>
        <v>170000</v>
      </c>
      <c r="E148" s="137">
        <f>'DOE25'!I485</f>
        <v>90000</v>
      </c>
      <c r="F148" s="137">
        <f>'DOE25'!J485</f>
        <v>700000</v>
      </c>
      <c r="G148" s="138">
        <f>SUM(B148:F148)</f>
        <v>1460000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250000</v>
      </c>
      <c r="C150" s="137">
        <f>'DOE25'!G487</f>
        <v>250000</v>
      </c>
      <c r="D150" s="137">
        <f>'DOE25'!H487</f>
        <v>85000</v>
      </c>
      <c r="E150" s="137">
        <f>'DOE25'!I487</f>
        <v>30000</v>
      </c>
      <c r="F150" s="137">
        <f>'DOE25'!J487</f>
        <v>175000</v>
      </c>
      <c r="G150" s="138">
        <f t="shared" si="0"/>
        <v>790000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85000</v>
      </c>
      <c r="E151" s="137">
        <f>'DOE25'!I488</f>
        <v>60000</v>
      </c>
      <c r="F151" s="137">
        <f>'DOE25'!J488</f>
        <v>525000</v>
      </c>
      <c r="G151" s="138">
        <f t="shared" si="0"/>
        <v>670000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5780</v>
      </c>
      <c r="E152" s="137">
        <f>'DOE25'!I489</f>
        <v>3451</v>
      </c>
      <c r="F152" s="137">
        <f>'DOE25'!J489</f>
        <v>0</v>
      </c>
      <c r="G152" s="138">
        <f t="shared" si="0"/>
        <v>9231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90780</v>
      </c>
      <c r="E153" s="137">
        <f>'DOE25'!I490</f>
        <v>63451</v>
      </c>
      <c r="F153" s="137">
        <f>'DOE25'!J490</f>
        <v>525000</v>
      </c>
      <c r="G153" s="138">
        <f t="shared" si="0"/>
        <v>679231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85000</v>
      </c>
      <c r="E154" s="137">
        <f>'DOE25'!I491</f>
        <v>30000</v>
      </c>
      <c r="F154" s="137">
        <f>'DOE25'!J491</f>
        <v>175000</v>
      </c>
      <c r="G154" s="138">
        <f t="shared" si="0"/>
        <v>290000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5780</v>
      </c>
      <c r="E155" s="137">
        <f>'DOE25'!I492</f>
        <v>2588</v>
      </c>
      <c r="F155" s="137">
        <f>'DOE25'!J492</f>
        <v>0</v>
      </c>
      <c r="G155" s="138">
        <f t="shared" si="0"/>
        <v>8368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90780</v>
      </c>
      <c r="E156" s="137">
        <f>'DOE25'!I493</f>
        <v>32588</v>
      </c>
      <c r="F156" s="137">
        <f>'DOE25'!J493</f>
        <v>175000</v>
      </c>
      <c r="G156" s="138">
        <f t="shared" si="0"/>
        <v>298368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C462-7AB0-4177-87BB-F428A8A8CDC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WHITE MTS. REGIONAL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12500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14018</v>
      </c>
    </row>
    <row r="7" spans="1:4" x14ac:dyDescent="0.2">
      <c r="B7" t="s">
        <v>736</v>
      </c>
      <c r="C7" s="179">
        <f>IF('DOE25'!I655+'DOE25'!I660=0,0,ROUND('DOE25'!I662,0))</f>
        <v>13002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6444123</v>
      </c>
      <c r="D10" s="182">
        <f>ROUND((C10/$C$28)*100,1)</f>
        <v>35.1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2774823</v>
      </c>
      <c r="D11" s="182">
        <f>ROUND((C11/$C$28)*100,1)</f>
        <v>15.1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658072</v>
      </c>
      <c r="D12" s="182">
        <f>ROUND((C12/$C$28)*100,1)</f>
        <v>3.6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378150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1580723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977909</v>
      </c>
      <c r="D16" s="182">
        <f t="shared" si="0"/>
        <v>5.3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1144388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1073689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175977</v>
      </c>
      <c r="D19" s="182">
        <f t="shared" si="0"/>
        <v>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1770803</v>
      </c>
      <c r="D20" s="182">
        <f t="shared" si="0"/>
        <v>9.6999999999999993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955965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50553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82400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275786.95999999996</v>
      </c>
      <c r="D27" s="182">
        <f t="shared" si="0"/>
        <v>1.5</v>
      </c>
    </row>
    <row r="28" spans="1:4" x14ac:dyDescent="0.2">
      <c r="B28" s="187" t="s">
        <v>754</v>
      </c>
      <c r="C28" s="180">
        <f>SUM(C10:C27)</f>
        <v>18343361.960000001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93</v>
      </c>
    </row>
    <row r="30" spans="1:4" x14ac:dyDescent="0.2">
      <c r="B30" s="187" t="s">
        <v>760</v>
      </c>
      <c r="C30" s="180">
        <f>SUM(C28:C29)</f>
        <v>18343454.960000001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790000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6350333</v>
      </c>
      <c r="D35" s="182">
        <f t="shared" ref="D35:D40" si="1">ROUND((C35/$C$41)*100,1)</f>
        <v>32.6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959092.23999999929</v>
      </c>
      <c r="D36" s="182">
        <f t="shared" si="1"/>
        <v>4.9000000000000004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7205531</v>
      </c>
      <c r="D37" s="182">
        <f t="shared" si="1"/>
        <v>36.9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2610845</v>
      </c>
      <c r="D38" s="182">
        <f t="shared" si="1"/>
        <v>13.4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2375350</v>
      </c>
      <c r="D39" s="182">
        <f t="shared" si="1"/>
        <v>12.2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19501151.239999998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EC33-5BD6-426C-9FCC-ED7DD76635D4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WHITE MTS. REGIONAL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2</v>
      </c>
      <c r="B4" s="220">
        <v>17</v>
      </c>
      <c r="C4" s="281" t="s">
        <v>904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2010-10-15T12:19:04Z</cp:lastPrinted>
  <dcterms:created xsi:type="dcterms:W3CDTF">1997-12-04T19:04:30Z</dcterms:created>
  <dcterms:modified xsi:type="dcterms:W3CDTF">2025-01-09T20:17:34Z</dcterms:modified>
</cp:coreProperties>
</file>