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6F490BDC-87FF-4F07-BC5D-C9C5E9ED4A9C}" xr6:coauthVersionLast="47" xr6:coauthVersionMax="47" xr10:uidLastSave="{00000000-0000-0000-0000-000000000000}"/>
  <workbookProtection workbookPassword="B70A" lockStructure="1"/>
  <bookViews>
    <workbookView xWindow="-120" yWindow="-120" windowWidth="29040" windowHeight="15990" tabRatio="855" activeTab="2" xr2:uid="{9DCC9A23-DF3B-4F7D-B11B-87F56A8D1FF4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5" i="1" l="1"/>
  <c r="C60" i="2"/>
  <c r="B2" i="13"/>
  <c r="F8" i="13"/>
  <c r="G8" i="13"/>
  <c r="L196" i="1"/>
  <c r="L214" i="1"/>
  <c r="L232" i="1"/>
  <c r="E8" i="13"/>
  <c r="E33" i="13" s="1"/>
  <c r="D35" i="13" s="1"/>
  <c r="D39" i="13"/>
  <c r="F13" i="13"/>
  <c r="G13" i="13"/>
  <c r="E13" i="13" s="1"/>
  <c r="C13" i="13" s="1"/>
  <c r="L198" i="1"/>
  <c r="L216" i="1"/>
  <c r="L234" i="1"/>
  <c r="F16" i="13"/>
  <c r="G16" i="13"/>
  <c r="L201" i="1"/>
  <c r="L219" i="1"/>
  <c r="L237" i="1"/>
  <c r="C117" i="2" s="1"/>
  <c r="E16" i="13"/>
  <c r="C16" i="13" s="1"/>
  <c r="F5" i="13"/>
  <c r="G5" i="13"/>
  <c r="L189" i="1"/>
  <c r="L190" i="1"/>
  <c r="D5" i="13" s="1"/>
  <c r="L191" i="1"/>
  <c r="L192" i="1"/>
  <c r="L207" i="1"/>
  <c r="L208" i="1"/>
  <c r="L209" i="1"/>
  <c r="C103" i="2" s="1"/>
  <c r="L210" i="1"/>
  <c r="C104" i="2" s="1"/>
  <c r="L225" i="1"/>
  <c r="L226" i="1"/>
  <c r="L239" i="1" s="1"/>
  <c r="H650" i="1" s="1"/>
  <c r="L227" i="1"/>
  <c r="L228" i="1"/>
  <c r="F6" i="13"/>
  <c r="G6" i="13"/>
  <c r="L194" i="1"/>
  <c r="L212" i="1"/>
  <c r="L230" i="1"/>
  <c r="D6" i="13"/>
  <c r="C6" i="13" s="1"/>
  <c r="F7" i="13"/>
  <c r="G7" i="13"/>
  <c r="L195" i="1"/>
  <c r="D7" i="13" s="1"/>
  <c r="C7" i="13" s="1"/>
  <c r="L213" i="1"/>
  <c r="L231" i="1"/>
  <c r="F12" i="13"/>
  <c r="G12" i="13"/>
  <c r="L197" i="1"/>
  <c r="L215" i="1"/>
  <c r="L233" i="1"/>
  <c r="D12" i="13"/>
  <c r="C12" i="13" s="1"/>
  <c r="F14" i="13"/>
  <c r="G14" i="13"/>
  <c r="L199" i="1"/>
  <c r="C20" i="10" s="1"/>
  <c r="L217" i="1"/>
  <c r="L235" i="1"/>
  <c r="F15" i="13"/>
  <c r="G15" i="13"/>
  <c r="L200" i="1"/>
  <c r="L218" i="1"/>
  <c r="L236" i="1"/>
  <c r="D15" i="13"/>
  <c r="C15" i="13" s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/>
  <c r="C19" i="13" s="1"/>
  <c r="F29" i="13"/>
  <c r="G29" i="13"/>
  <c r="L350" i="1"/>
  <c r="D29" i="13" s="1"/>
  <c r="C29" i="13" s="1"/>
  <c r="L351" i="1"/>
  <c r="L352" i="1"/>
  <c r="I359" i="1"/>
  <c r="J282" i="1"/>
  <c r="F31" i="13" s="1"/>
  <c r="J301" i="1"/>
  <c r="J320" i="1"/>
  <c r="K282" i="1"/>
  <c r="K301" i="1"/>
  <c r="G31" i="13" s="1"/>
  <c r="G33" i="13" s="1"/>
  <c r="K320" i="1"/>
  <c r="L268" i="1"/>
  <c r="L269" i="1"/>
  <c r="L282" i="1" s="1"/>
  <c r="L270" i="1"/>
  <c r="L271" i="1"/>
  <c r="L273" i="1"/>
  <c r="L274" i="1"/>
  <c r="L275" i="1"/>
  <c r="L276" i="1"/>
  <c r="L277" i="1"/>
  <c r="L278" i="1"/>
  <c r="E115" i="2" s="1"/>
  <c r="L279" i="1"/>
  <c r="L280" i="1"/>
  <c r="E117" i="2" s="1"/>
  <c r="L287" i="1"/>
  <c r="L288" i="1"/>
  <c r="L301" i="1" s="1"/>
  <c r="L289" i="1"/>
  <c r="L290" i="1"/>
  <c r="L292" i="1"/>
  <c r="L293" i="1"/>
  <c r="L294" i="1"/>
  <c r="L295" i="1"/>
  <c r="C18" i="10" s="1"/>
  <c r="L296" i="1"/>
  <c r="C19" i="10" s="1"/>
  <c r="L297" i="1"/>
  <c r="L298" i="1"/>
  <c r="C21" i="10" s="1"/>
  <c r="L299" i="1"/>
  <c r="L306" i="1"/>
  <c r="L307" i="1"/>
  <c r="L320" i="1" s="1"/>
  <c r="L308" i="1"/>
  <c r="L309" i="1"/>
  <c r="L311" i="1"/>
  <c r="L312" i="1"/>
  <c r="L313" i="1"/>
  <c r="E112" i="2" s="1"/>
  <c r="L314" i="1"/>
  <c r="L315" i="1"/>
  <c r="L316" i="1"/>
  <c r="L317" i="1"/>
  <c r="L318" i="1"/>
  <c r="L325" i="1"/>
  <c r="L326" i="1"/>
  <c r="L327" i="1"/>
  <c r="L252" i="1"/>
  <c r="L253" i="1"/>
  <c r="C124" i="2" s="1"/>
  <c r="L333" i="1"/>
  <c r="L334" i="1"/>
  <c r="L247" i="1"/>
  <c r="C29" i="10" s="1"/>
  <c r="L328" i="1"/>
  <c r="C11" i="13"/>
  <c r="C10" i="13"/>
  <c r="C9" i="13"/>
  <c r="C8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L400" i="1" s="1"/>
  <c r="L387" i="1"/>
  <c r="L393" i="1" s="1"/>
  <c r="C131" i="2" s="1"/>
  <c r="L388" i="1"/>
  <c r="L389" i="1"/>
  <c r="L390" i="1"/>
  <c r="L391" i="1"/>
  <c r="L392" i="1"/>
  <c r="L395" i="1"/>
  <c r="L396" i="1"/>
  <c r="L397" i="1"/>
  <c r="L399" i="1" s="1"/>
  <c r="C132" i="2" s="1"/>
  <c r="L398" i="1"/>
  <c r="L258" i="1"/>
  <c r="J52" i="1"/>
  <c r="G48" i="2"/>
  <c r="G51" i="2"/>
  <c r="G54" i="2" s="1"/>
  <c r="G55" i="2" s="1"/>
  <c r="G53" i="2"/>
  <c r="F2" i="11"/>
  <c r="L603" i="1"/>
  <c r="H653" i="1"/>
  <c r="L602" i="1"/>
  <c r="G653" i="1" s="1"/>
  <c r="L601" i="1"/>
  <c r="F653" i="1"/>
  <c r="C40" i="10"/>
  <c r="F52" i="1"/>
  <c r="F104" i="1" s="1"/>
  <c r="F185" i="1" s="1"/>
  <c r="G617" i="1" s="1"/>
  <c r="J617" i="1" s="1"/>
  <c r="G52" i="1"/>
  <c r="H52" i="1"/>
  <c r="I52" i="1"/>
  <c r="F48" i="2" s="1"/>
  <c r="C35" i="10"/>
  <c r="F71" i="1"/>
  <c r="F86" i="1"/>
  <c r="C50" i="2" s="1"/>
  <c r="F103" i="1"/>
  <c r="G103" i="1"/>
  <c r="G104" i="1"/>
  <c r="H71" i="1"/>
  <c r="E49" i="2" s="1"/>
  <c r="E54" i="2" s="1"/>
  <c r="E55" i="2" s="1"/>
  <c r="H86" i="1"/>
  <c r="H103" i="1"/>
  <c r="I103" i="1"/>
  <c r="I104" i="1"/>
  <c r="J103" i="1"/>
  <c r="J104" i="1"/>
  <c r="C37" i="10"/>
  <c r="F113" i="1"/>
  <c r="F128" i="1"/>
  <c r="F132" i="1"/>
  <c r="C38" i="10" s="1"/>
  <c r="G113" i="1"/>
  <c r="G132" i="1" s="1"/>
  <c r="G128" i="1"/>
  <c r="H113" i="1"/>
  <c r="H132" i="1" s="1"/>
  <c r="H128" i="1"/>
  <c r="I113" i="1"/>
  <c r="I132" i="1" s="1"/>
  <c r="I128" i="1"/>
  <c r="J113" i="1"/>
  <c r="J128" i="1"/>
  <c r="J132" i="1"/>
  <c r="F139" i="1"/>
  <c r="F154" i="1"/>
  <c r="F161" i="1"/>
  <c r="G139" i="1"/>
  <c r="D77" i="2" s="1"/>
  <c r="D83" i="2" s="1"/>
  <c r="G154" i="1"/>
  <c r="H139" i="1"/>
  <c r="H154" i="1"/>
  <c r="H161" i="1"/>
  <c r="I139" i="1"/>
  <c r="I154" i="1"/>
  <c r="I161" i="1" s="1"/>
  <c r="C10" i="10"/>
  <c r="C15" i="10"/>
  <c r="C17" i="10"/>
  <c r="L242" i="1"/>
  <c r="L324" i="1"/>
  <c r="C23" i="10"/>
  <c r="L246" i="1"/>
  <c r="L260" i="1"/>
  <c r="C26" i="10" s="1"/>
  <c r="L261" i="1"/>
  <c r="L341" i="1"/>
  <c r="L342" i="1"/>
  <c r="L343" i="1" s="1"/>
  <c r="I655" i="1"/>
  <c r="I660" i="1"/>
  <c r="L203" i="1"/>
  <c r="F652" i="1"/>
  <c r="G652" i="1"/>
  <c r="I652" i="1" s="1"/>
  <c r="H652" i="1"/>
  <c r="I659" i="1"/>
  <c r="C5" i="10"/>
  <c r="C42" i="10"/>
  <c r="C32" i="10"/>
  <c r="L366" i="1"/>
  <c r="L367" i="1"/>
  <c r="L368" i="1"/>
  <c r="F122" i="2" s="1"/>
  <c r="F136" i="2" s="1"/>
  <c r="F137" i="2" s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L512" i="1"/>
  <c r="L514" i="1" s="1"/>
  <c r="L513" i="1"/>
  <c r="F541" i="1" s="1"/>
  <c r="K541" i="1" s="1"/>
  <c r="L516" i="1"/>
  <c r="G539" i="1" s="1"/>
  <c r="G542" i="1" s="1"/>
  <c r="L517" i="1"/>
  <c r="G540" i="1" s="1"/>
  <c r="L518" i="1"/>
  <c r="G541" i="1"/>
  <c r="L521" i="1"/>
  <c r="H539" i="1" s="1"/>
  <c r="L522" i="1"/>
  <c r="H540" i="1" s="1"/>
  <c r="L523" i="1"/>
  <c r="L524" i="1" s="1"/>
  <c r="H541" i="1"/>
  <c r="L526" i="1"/>
  <c r="I539" i="1" s="1"/>
  <c r="I542" i="1" s="1"/>
  <c r="L527" i="1"/>
  <c r="I540" i="1"/>
  <c r="L528" i="1"/>
  <c r="I541" i="1"/>
  <c r="L531" i="1"/>
  <c r="J539" i="1" s="1"/>
  <c r="J542" i="1" s="1"/>
  <c r="L532" i="1"/>
  <c r="L534" i="1" s="1"/>
  <c r="J540" i="1"/>
  <c r="L533" i="1"/>
  <c r="J541" i="1"/>
  <c r="E124" i="2"/>
  <c r="E123" i="2"/>
  <c r="K262" i="1"/>
  <c r="J262" i="1"/>
  <c r="I262" i="1"/>
  <c r="H262" i="1"/>
  <c r="G262" i="1"/>
  <c r="L262" i="1" s="1"/>
  <c r="F262" i="1"/>
  <c r="C123" i="2"/>
  <c r="A1" i="2"/>
  <c r="A2" i="2"/>
  <c r="C9" i="2"/>
  <c r="C19" i="2" s="1"/>
  <c r="D9" i="2"/>
  <c r="D19" i="2" s="1"/>
  <c r="E9" i="2"/>
  <c r="F9" i="2"/>
  <c r="F19" i="2" s="1"/>
  <c r="I431" i="1"/>
  <c r="I438" i="1" s="1"/>
  <c r="G632" i="1" s="1"/>
  <c r="C10" i="2"/>
  <c r="D10" i="2"/>
  <c r="E10" i="2"/>
  <c r="F10" i="2"/>
  <c r="I432" i="1"/>
  <c r="J10" i="1" s="1"/>
  <c r="G10" i="2" s="1"/>
  <c r="C11" i="2"/>
  <c r="C12" i="2"/>
  <c r="D12" i="2"/>
  <c r="E12" i="2"/>
  <c r="F12" i="2"/>
  <c r="I433" i="1"/>
  <c r="J12" i="1"/>
  <c r="G12" i="2"/>
  <c r="C13" i="2"/>
  <c r="D13" i="2"/>
  <c r="E13" i="2"/>
  <c r="E19" i="2" s="1"/>
  <c r="F13" i="2"/>
  <c r="I434" i="1"/>
  <c r="J13" i="1"/>
  <c r="G13" i="2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 s="1"/>
  <c r="G18" i="2" s="1"/>
  <c r="C22" i="2"/>
  <c r="D22" i="2"/>
  <c r="E22" i="2"/>
  <c r="F22" i="2"/>
  <c r="I440" i="1"/>
  <c r="I444" i="1" s="1"/>
  <c r="I451" i="1" s="1"/>
  <c r="H632" i="1" s="1"/>
  <c r="C23" i="2"/>
  <c r="D23" i="2"/>
  <c r="E23" i="2"/>
  <c r="E32" i="2" s="1"/>
  <c r="F23" i="2"/>
  <c r="I441" i="1"/>
  <c r="J24" i="1" s="1"/>
  <c r="G23" i="2" s="1"/>
  <c r="C24" i="2"/>
  <c r="D24" i="2"/>
  <c r="D32" i="2" s="1"/>
  <c r="E24" i="2"/>
  <c r="F24" i="2"/>
  <c r="I442" i="1"/>
  <c r="J25" i="1" s="1"/>
  <c r="G24" i="2" s="1"/>
  <c r="C25" i="2"/>
  <c r="D25" i="2"/>
  <c r="E25" i="2"/>
  <c r="F25" i="2"/>
  <c r="C26" i="2"/>
  <c r="F26" i="2"/>
  <c r="C27" i="2"/>
  <c r="C32" i="2" s="1"/>
  <c r="F27" i="2"/>
  <c r="F32" i="2" s="1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D34" i="2"/>
  <c r="D42" i="2" s="1"/>
  <c r="E34" i="2"/>
  <c r="F34" i="2"/>
  <c r="C35" i="2"/>
  <c r="D35" i="2"/>
  <c r="E35" i="2"/>
  <c r="F35" i="2"/>
  <c r="C36" i="2"/>
  <c r="D36" i="2"/>
  <c r="E36" i="2"/>
  <c r="E42" i="2" s="1"/>
  <c r="E43" i="2" s="1"/>
  <c r="F36" i="2"/>
  <c r="F42" i="2" s="1"/>
  <c r="F43" i="2" s="1"/>
  <c r="I446" i="1"/>
  <c r="J37" i="1"/>
  <c r="G36" i="2" s="1"/>
  <c r="C37" i="2"/>
  <c r="D37" i="2"/>
  <c r="E37" i="2"/>
  <c r="F37" i="2"/>
  <c r="I447" i="1"/>
  <c r="J38" i="1" s="1"/>
  <c r="G37" i="2" s="1"/>
  <c r="C38" i="2"/>
  <c r="C42" i="2" s="1"/>
  <c r="C43" i="2" s="1"/>
  <c r="D38" i="2"/>
  <c r="E38" i="2"/>
  <c r="F38" i="2"/>
  <c r="I448" i="1"/>
  <c r="J40" i="1"/>
  <c r="G39" i="2"/>
  <c r="C40" i="2"/>
  <c r="D40" i="2"/>
  <c r="E40" i="2"/>
  <c r="F40" i="2"/>
  <c r="I449" i="1"/>
  <c r="J41" i="1"/>
  <c r="G40" i="2"/>
  <c r="C41" i="2"/>
  <c r="D41" i="2"/>
  <c r="E41" i="2"/>
  <c r="F41" i="2"/>
  <c r="C48" i="2"/>
  <c r="D48" i="2"/>
  <c r="E48" i="2"/>
  <c r="C49" i="2"/>
  <c r="E50" i="2"/>
  <c r="C51" i="2"/>
  <c r="D51" i="2"/>
  <c r="D54" i="2" s="1"/>
  <c r="D55" i="2" s="1"/>
  <c r="E51" i="2"/>
  <c r="F51" i="2"/>
  <c r="F54" i="2" s="1"/>
  <c r="D52" i="2"/>
  <c r="C53" i="2"/>
  <c r="D53" i="2"/>
  <c r="E53" i="2"/>
  <c r="F53" i="2"/>
  <c r="C58" i="2"/>
  <c r="C59" i="2"/>
  <c r="C61" i="2"/>
  <c r="D61" i="2"/>
  <c r="E61" i="2"/>
  <c r="E62" i="2" s="1"/>
  <c r="F61" i="2"/>
  <c r="G61" i="2"/>
  <c r="G62" i="2" s="1"/>
  <c r="G73" i="2" s="1"/>
  <c r="C62" i="2"/>
  <c r="D62" i="2"/>
  <c r="F62" i="2"/>
  <c r="C64" i="2"/>
  <c r="F64" i="2"/>
  <c r="F70" i="2" s="1"/>
  <c r="F73" i="2" s="1"/>
  <c r="C65" i="2"/>
  <c r="F65" i="2"/>
  <c r="C66" i="2"/>
  <c r="C67" i="2"/>
  <c r="C68" i="2"/>
  <c r="E68" i="2"/>
  <c r="E70" i="2" s="1"/>
  <c r="F68" i="2"/>
  <c r="C69" i="2"/>
  <c r="D69" i="2"/>
  <c r="D70" i="2" s="1"/>
  <c r="D73" i="2" s="1"/>
  <c r="E69" i="2"/>
  <c r="F69" i="2"/>
  <c r="G69" i="2"/>
  <c r="C70" i="2"/>
  <c r="C73" i="2" s="1"/>
  <c r="G70" i="2"/>
  <c r="C71" i="2"/>
  <c r="D71" i="2"/>
  <c r="E71" i="2"/>
  <c r="C72" i="2"/>
  <c r="E72" i="2"/>
  <c r="C77" i="2"/>
  <c r="C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95" i="2" s="1"/>
  <c r="C86" i="2"/>
  <c r="F86" i="2"/>
  <c r="D88" i="2"/>
  <c r="D95" i="2" s="1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C101" i="2"/>
  <c r="E101" i="2"/>
  <c r="C102" i="2"/>
  <c r="E102" i="2"/>
  <c r="E103" i="2"/>
  <c r="E104" i="2"/>
  <c r="C105" i="2"/>
  <c r="E105" i="2"/>
  <c r="E106" i="2"/>
  <c r="D107" i="2"/>
  <c r="E107" i="2"/>
  <c r="F107" i="2"/>
  <c r="G107" i="2"/>
  <c r="C110" i="2"/>
  <c r="E110" i="2"/>
  <c r="E111" i="2"/>
  <c r="C112" i="2"/>
  <c r="C113" i="2"/>
  <c r="E113" i="2"/>
  <c r="C114" i="2"/>
  <c r="C116" i="2"/>
  <c r="F120" i="2"/>
  <c r="G120" i="2"/>
  <c r="C122" i="2"/>
  <c r="E122" i="2"/>
  <c r="D126" i="2"/>
  <c r="D136" i="2" s="1"/>
  <c r="E126" i="2"/>
  <c r="F126" i="2"/>
  <c r="K411" i="1"/>
  <c r="K419" i="1"/>
  <c r="K425" i="1"/>
  <c r="K426" i="1"/>
  <c r="G126" i="2" s="1"/>
  <c r="G136" i="2" s="1"/>
  <c r="L255" i="1"/>
  <c r="C127" i="2" s="1"/>
  <c r="L256" i="1"/>
  <c r="C128" i="2" s="1"/>
  <c r="L257" i="1"/>
  <c r="C129" i="2" s="1"/>
  <c r="E129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E149" i="2"/>
  <c r="F149" i="2"/>
  <c r="G149" i="2"/>
  <c r="B150" i="2"/>
  <c r="C150" i="2"/>
  <c r="G150" i="2" s="1"/>
  <c r="D150" i="2"/>
  <c r="E150" i="2"/>
  <c r="F150" i="2"/>
  <c r="B151" i="2"/>
  <c r="C151" i="2"/>
  <c r="D151" i="2"/>
  <c r="E151" i="2"/>
  <c r="F151" i="2"/>
  <c r="G151" i="2"/>
  <c r="B152" i="2"/>
  <c r="C152" i="2"/>
  <c r="G152" i="2" s="1"/>
  <c r="D152" i="2"/>
  <c r="E152" i="2"/>
  <c r="F152" i="2"/>
  <c r="F490" i="1"/>
  <c r="K490" i="1" s="1"/>
  <c r="G490" i="1"/>
  <c r="C153" i="2"/>
  <c r="H490" i="1"/>
  <c r="D153" i="2"/>
  <c r="I490" i="1"/>
  <c r="E153" i="2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G493" i="1"/>
  <c r="C156" i="2" s="1"/>
  <c r="H493" i="1"/>
  <c r="D156" i="2"/>
  <c r="I493" i="1"/>
  <c r="K493" i="1" s="1"/>
  <c r="J493" i="1"/>
  <c r="F156" i="2" s="1"/>
  <c r="F19" i="1"/>
  <c r="G19" i="1"/>
  <c r="H19" i="1"/>
  <c r="I19" i="1"/>
  <c r="F33" i="1"/>
  <c r="F44" i="1" s="1"/>
  <c r="H607" i="1" s="1"/>
  <c r="J607" i="1" s="1"/>
  <c r="G33" i="1"/>
  <c r="G44" i="1" s="1"/>
  <c r="H608" i="1" s="1"/>
  <c r="H33" i="1"/>
  <c r="I33" i="1"/>
  <c r="F43" i="1"/>
  <c r="G43" i="1"/>
  <c r="H43" i="1"/>
  <c r="H44" i="1" s="1"/>
  <c r="H609" i="1" s="1"/>
  <c r="I43" i="1"/>
  <c r="I44" i="1"/>
  <c r="H610" i="1" s="1"/>
  <c r="J610" i="1" s="1"/>
  <c r="F169" i="1"/>
  <c r="I169" i="1"/>
  <c r="I184" i="1" s="1"/>
  <c r="F175" i="1"/>
  <c r="G175" i="1"/>
  <c r="H175" i="1"/>
  <c r="I175" i="1"/>
  <c r="J175" i="1"/>
  <c r="J184" i="1" s="1"/>
  <c r="F180" i="1"/>
  <c r="G180" i="1"/>
  <c r="G184" i="1" s="1"/>
  <c r="H180" i="1"/>
  <c r="I180" i="1"/>
  <c r="F184" i="1"/>
  <c r="H184" i="1"/>
  <c r="F203" i="1"/>
  <c r="G203" i="1"/>
  <c r="H203" i="1"/>
  <c r="H249" i="1" s="1"/>
  <c r="H263" i="1" s="1"/>
  <c r="I203" i="1"/>
  <c r="J203" i="1"/>
  <c r="J249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L248" i="1" s="1"/>
  <c r="J248" i="1"/>
  <c r="K248" i="1"/>
  <c r="F249" i="1"/>
  <c r="F263" i="1" s="1"/>
  <c r="G249" i="1"/>
  <c r="G263" i="1" s="1"/>
  <c r="I249" i="1"/>
  <c r="I263" i="1" s="1"/>
  <c r="F282" i="1"/>
  <c r="F330" i="1" s="1"/>
  <c r="F344" i="1" s="1"/>
  <c r="G282" i="1"/>
  <c r="H282" i="1"/>
  <c r="I282" i="1"/>
  <c r="F301" i="1"/>
  <c r="G301" i="1"/>
  <c r="G330" i="1" s="1"/>
  <c r="G344" i="1" s="1"/>
  <c r="H301" i="1"/>
  <c r="I301" i="1"/>
  <c r="F320" i="1"/>
  <c r="G320" i="1"/>
  <c r="H320" i="1"/>
  <c r="H330" i="1" s="1"/>
  <c r="H344" i="1" s="1"/>
  <c r="I320" i="1"/>
  <c r="F329" i="1"/>
  <c r="L329" i="1" s="1"/>
  <c r="G329" i="1"/>
  <c r="H329" i="1"/>
  <c r="I329" i="1"/>
  <c r="J329" i="1"/>
  <c r="J330" i="1" s="1"/>
  <c r="J344" i="1" s="1"/>
  <c r="K329" i="1"/>
  <c r="I330" i="1"/>
  <c r="I344" i="1" s="1"/>
  <c r="F354" i="1"/>
  <c r="G354" i="1"/>
  <c r="H354" i="1"/>
  <c r="I354" i="1"/>
  <c r="G624" i="1" s="1"/>
  <c r="J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H400" i="1" s="1"/>
  <c r="H634" i="1" s="1"/>
  <c r="J634" i="1" s="1"/>
  <c r="I393" i="1"/>
  <c r="F399" i="1"/>
  <c r="G399" i="1"/>
  <c r="H399" i="1"/>
  <c r="I399" i="1"/>
  <c r="I400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G426" i="1"/>
  <c r="H426" i="1"/>
  <c r="I426" i="1"/>
  <c r="F438" i="1"/>
  <c r="G438" i="1"/>
  <c r="H438" i="1"/>
  <c r="F444" i="1"/>
  <c r="F451" i="1" s="1"/>
  <c r="H629" i="1" s="1"/>
  <c r="G444" i="1"/>
  <c r="G451" i="1" s="1"/>
  <c r="H630" i="1" s="1"/>
  <c r="J630" i="1" s="1"/>
  <c r="H444" i="1"/>
  <c r="F450" i="1"/>
  <c r="G450" i="1"/>
  <c r="H450" i="1"/>
  <c r="I450" i="1"/>
  <c r="H451" i="1"/>
  <c r="H631" i="1" s="1"/>
  <c r="J631" i="1" s="1"/>
  <c r="F460" i="1"/>
  <c r="F466" i="1" s="1"/>
  <c r="H612" i="1" s="1"/>
  <c r="G460" i="1"/>
  <c r="H460" i="1"/>
  <c r="I460" i="1"/>
  <c r="I466" i="1" s="1"/>
  <c r="H615" i="1" s="1"/>
  <c r="J615" i="1" s="1"/>
  <c r="J460" i="1"/>
  <c r="J466" i="1" s="1"/>
  <c r="H616" i="1" s="1"/>
  <c r="F464" i="1"/>
  <c r="G464" i="1"/>
  <c r="H464" i="1"/>
  <c r="H466" i="1" s="1"/>
  <c r="H614" i="1" s="1"/>
  <c r="J614" i="1" s="1"/>
  <c r="I464" i="1"/>
  <c r="J464" i="1"/>
  <c r="G466" i="1"/>
  <c r="H613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I535" i="1" s="1"/>
  <c r="J514" i="1"/>
  <c r="K514" i="1"/>
  <c r="F519" i="1"/>
  <c r="G519" i="1"/>
  <c r="H519" i="1"/>
  <c r="I519" i="1"/>
  <c r="J519" i="1"/>
  <c r="K519" i="1"/>
  <c r="K535" i="1" s="1"/>
  <c r="L519" i="1"/>
  <c r="F524" i="1"/>
  <c r="G524" i="1"/>
  <c r="H524" i="1"/>
  <c r="I524" i="1"/>
  <c r="J524" i="1"/>
  <c r="K524" i="1"/>
  <c r="F529" i="1"/>
  <c r="G529" i="1"/>
  <c r="H529" i="1"/>
  <c r="I529" i="1"/>
  <c r="J529" i="1"/>
  <c r="J535" i="1" s="1"/>
  <c r="K529" i="1"/>
  <c r="L529" i="1"/>
  <c r="F534" i="1"/>
  <c r="G534" i="1"/>
  <c r="H534" i="1"/>
  <c r="I534" i="1"/>
  <c r="J534" i="1"/>
  <c r="K534" i="1"/>
  <c r="H535" i="1"/>
  <c r="L547" i="1"/>
  <c r="L548" i="1"/>
  <c r="L549" i="1"/>
  <c r="F550" i="1"/>
  <c r="G550" i="1"/>
  <c r="H550" i="1"/>
  <c r="H561" i="1" s="1"/>
  <c r="I550" i="1"/>
  <c r="J550" i="1"/>
  <c r="J561" i="1" s="1"/>
  <c r="K550" i="1"/>
  <c r="K561" i="1" s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58" i="1"/>
  <c r="L560" i="1" s="1"/>
  <c r="L559" i="1"/>
  <c r="F560" i="1"/>
  <c r="G560" i="1"/>
  <c r="H560" i="1"/>
  <c r="I560" i="1"/>
  <c r="J560" i="1"/>
  <c r="K560" i="1"/>
  <c r="F561" i="1"/>
  <c r="G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J639" i="1" s="1"/>
  <c r="I588" i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L604" i="1"/>
  <c r="G607" i="1"/>
  <c r="G608" i="1"/>
  <c r="G609" i="1"/>
  <c r="G610" i="1"/>
  <c r="G612" i="1"/>
  <c r="J612" i="1" s="1"/>
  <c r="G613" i="1"/>
  <c r="J613" i="1" s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G630" i="1"/>
  <c r="G631" i="1"/>
  <c r="G633" i="1"/>
  <c r="J633" i="1" s="1"/>
  <c r="G634" i="1"/>
  <c r="H637" i="1"/>
  <c r="G639" i="1"/>
  <c r="G640" i="1"/>
  <c r="J640" i="1" s="1"/>
  <c r="H640" i="1"/>
  <c r="G641" i="1"/>
  <c r="J641" i="1" s="1"/>
  <c r="H641" i="1"/>
  <c r="G642" i="1"/>
  <c r="H642" i="1"/>
  <c r="J642" i="1"/>
  <c r="G643" i="1"/>
  <c r="H643" i="1"/>
  <c r="J643" i="1"/>
  <c r="G644" i="1"/>
  <c r="J644" i="1" s="1"/>
  <c r="H644" i="1"/>
  <c r="G645" i="1"/>
  <c r="J645" i="1" s="1"/>
  <c r="H645" i="1"/>
  <c r="L561" i="1" l="1"/>
  <c r="H638" i="1"/>
  <c r="J638" i="1" s="1"/>
  <c r="J263" i="1"/>
  <c r="G42" i="2"/>
  <c r="D43" i="2"/>
  <c r="L535" i="1"/>
  <c r="J185" i="1"/>
  <c r="E120" i="2"/>
  <c r="E137" i="2" s="1"/>
  <c r="L249" i="1"/>
  <c r="L263" i="1" s="1"/>
  <c r="G622" i="1" s="1"/>
  <c r="J622" i="1" s="1"/>
  <c r="G137" i="2"/>
  <c r="J632" i="1"/>
  <c r="K539" i="1"/>
  <c r="F55" i="2"/>
  <c r="F96" i="2" s="1"/>
  <c r="G96" i="2"/>
  <c r="E73" i="2"/>
  <c r="I185" i="1"/>
  <c r="G620" i="1" s="1"/>
  <c r="J620" i="1" s="1"/>
  <c r="C136" i="2"/>
  <c r="C107" i="2"/>
  <c r="D96" i="2"/>
  <c r="G627" i="1"/>
  <c r="J627" i="1" s="1"/>
  <c r="H636" i="1"/>
  <c r="L330" i="1"/>
  <c r="L344" i="1" s="1"/>
  <c r="G623" i="1" s="1"/>
  <c r="J623" i="1" s="1"/>
  <c r="D31" i="13"/>
  <c r="C31" i="13" s="1"/>
  <c r="C54" i="2"/>
  <c r="C55" i="2" s="1"/>
  <c r="C96" i="2" s="1"/>
  <c r="H542" i="1"/>
  <c r="E96" i="2"/>
  <c r="I653" i="1"/>
  <c r="J609" i="1"/>
  <c r="G185" i="1"/>
  <c r="G618" i="1" s="1"/>
  <c r="J618" i="1" s="1"/>
  <c r="C5" i="13"/>
  <c r="K330" i="1"/>
  <c r="K344" i="1" s="1"/>
  <c r="E114" i="2"/>
  <c r="L221" i="1"/>
  <c r="G650" i="1" s="1"/>
  <c r="G161" i="1"/>
  <c r="C39" i="10" s="1"/>
  <c r="J608" i="1"/>
  <c r="E156" i="2"/>
  <c r="G156" i="2" s="1"/>
  <c r="E135" i="2"/>
  <c r="E136" i="2" s="1"/>
  <c r="J23" i="1"/>
  <c r="J9" i="1"/>
  <c r="F650" i="1"/>
  <c r="C130" i="2"/>
  <c r="C133" i="2" s="1"/>
  <c r="C16" i="10"/>
  <c r="C134" i="2"/>
  <c r="C106" i="2"/>
  <c r="C25" i="10"/>
  <c r="H104" i="1"/>
  <c r="H185" i="1" s="1"/>
  <c r="G619" i="1" s="1"/>
  <c r="J619" i="1" s="1"/>
  <c r="D119" i="2"/>
  <c r="D120" i="2" s="1"/>
  <c r="D137" i="2" s="1"/>
  <c r="H651" i="1"/>
  <c r="H654" i="1" s="1"/>
  <c r="C24" i="10"/>
  <c r="C13" i="10"/>
  <c r="F22" i="13"/>
  <c r="C22" i="13" s="1"/>
  <c r="G635" i="1"/>
  <c r="J635" i="1" s="1"/>
  <c r="B153" i="2"/>
  <c r="G153" i="2" s="1"/>
  <c r="F540" i="1"/>
  <c r="G651" i="1"/>
  <c r="C12" i="10"/>
  <c r="J43" i="1"/>
  <c r="C111" i="2"/>
  <c r="F651" i="1"/>
  <c r="C11" i="10"/>
  <c r="L354" i="1"/>
  <c r="E116" i="2"/>
  <c r="L374" i="1"/>
  <c r="G626" i="1" s="1"/>
  <c r="J626" i="1" s="1"/>
  <c r="H25" i="13"/>
  <c r="D14" i="13"/>
  <c r="C14" i="13" s="1"/>
  <c r="C115" i="2"/>
  <c r="H662" i="1" l="1"/>
  <c r="C6" i="10" s="1"/>
  <c r="H657" i="1"/>
  <c r="I650" i="1"/>
  <c r="F654" i="1"/>
  <c r="J19" i="1"/>
  <c r="G611" i="1" s="1"/>
  <c r="G9" i="2"/>
  <c r="G19" i="2" s="1"/>
  <c r="C27" i="10"/>
  <c r="G625" i="1"/>
  <c r="J625" i="1" s="1"/>
  <c r="C120" i="2"/>
  <c r="C137" i="2" s="1"/>
  <c r="C36" i="10"/>
  <c r="G22" i="2"/>
  <c r="G32" i="2" s="1"/>
  <c r="G43" i="2" s="1"/>
  <c r="J33" i="1"/>
  <c r="J44" i="1" s="1"/>
  <c r="H611" i="1" s="1"/>
  <c r="G616" i="1"/>
  <c r="J616" i="1" s="1"/>
  <c r="G636" i="1"/>
  <c r="J636" i="1" s="1"/>
  <c r="G621" i="1"/>
  <c r="J621" i="1" s="1"/>
  <c r="G654" i="1"/>
  <c r="F33" i="13"/>
  <c r="K540" i="1"/>
  <c r="K542" i="1" s="1"/>
  <c r="F542" i="1"/>
  <c r="D33" i="13"/>
  <c r="D36" i="13" s="1"/>
  <c r="I651" i="1"/>
  <c r="H33" i="13"/>
  <c r="C25" i="13"/>
  <c r="G662" i="1" l="1"/>
  <c r="G657" i="1"/>
  <c r="J611" i="1"/>
  <c r="H646" i="1"/>
  <c r="F662" i="1"/>
  <c r="C4" i="10" s="1"/>
  <c r="F657" i="1"/>
  <c r="I654" i="1"/>
  <c r="C28" i="10"/>
  <c r="D36" i="10"/>
  <c r="C41" i="10"/>
  <c r="D40" i="10" l="1"/>
  <c r="D37" i="10"/>
  <c r="D38" i="10"/>
  <c r="D35" i="10"/>
  <c r="D39" i="10"/>
  <c r="D15" i="10"/>
  <c r="C30" i="10"/>
  <c r="D10" i="10"/>
  <c r="D22" i="10"/>
  <c r="D26" i="10"/>
  <c r="D21" i="10"/>
  <c r="D20" i="10"/>
  <c r="D17" i="10"/>
  <c r="D19" i="10"/>
  <c r="D18" i="10"/>
  <c r="D23" i="10"/>
  <c r="D24" i="10"/>
  <c r="D11" i="10"/>
  <c r="D16" i="10"/>
  <c r="D12" i="10"/>
  <c r="D13" i="10"/>
  <c r="D25" i="10"/>
  <c r="I662" i="1"/>
  <c r="C7" i="10" s="1"/>
  <c r="I657" i="1"/>
  <c r="D27" i="10"/>
  <c r="D28" i="10" l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E5BF4E9E-6BFF-402F-A7D7-21B8EAD086E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328D7FD-F370-497D-85D5-F1AE4675998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DFB57DE3-D444-49CA-B1AE-7D6965E578C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79B3BA6-BE99-401F-AADF-B5BF6DEB6A3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3BEB67D-25D9-451D-BF56-E54972C28E88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459E5BB5-A65D-400D-8EF0-FC1F89C90331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D89D4B37-5F5E-4193-870A-F751A211A852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1F30DA1-DCA8-49DD-AEA9-5A0000CCE7F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04941EB6-138C-4DCF-99ED-E34DD3879B9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C71CBFE-CA91-47A6-BD74-03C8CCB24BB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FE6AB47-35D6-4863-8541-3289F5285F2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B7652F8-6682-4713-8796-91FE0C590DDD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<sst xmlns="http://schemas.openxmlformats.org/spreadsheetml/2006/main" count="3865" uniqueCount="902">
  <si>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</si>
  <si>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</si>
  <si>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</si>
  <si>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</si>
  <si>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</si>
  <si>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</si>
  <si>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</si>
  <si>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</si>
  <si>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</si>
  <si>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</si>
  <si>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</si>
  <si>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</si>
  <si>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</si>
  <si>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</si>
  <si>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</si>
  <si>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</si>
  <si>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</si>
  <si>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</si>
  <si>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</si>
  <si>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</si>
  <si>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</si>
  <si>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</si>
  <si>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</si>
  <si>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</si>
  <si>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</si>
  <si>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</si>
  <si>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</si>
  <si>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</si>
  <si>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</si>
  <si>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</si>
  <si>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</si>
  <si>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</si>
  <si>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</si>
  <si>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</si>
  <si>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</si>
  <si>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</si>
  <si>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</si>
  <si>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</si>
  <si>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</si>
  <si>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</si>
  <si>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</si>
  <si>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</si>
  <si>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</si>
  <si>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</si>
  <si>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</si>
  <si>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</si>
  <si>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</si>
  <si>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</si>
  <si>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</si>
  <si>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</si>
  <si>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</si>
  <si>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</si>
  <si>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</si>
  <si>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</si>
  <si>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</si>
  <si>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</si>
  <si>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</si>
  <si>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</si>
  <si>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</si>
  <si>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</si>
  <si>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</si>
  <si>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</si>
  <si>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</si>
  <si>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</si>
  <si>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</si>
  <si>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</si>
  <si>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</si>
  <si>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</si>
  <si>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</si>
  <si>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</si>
  <si>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</si>
  <si>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</si>
  <si>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</si>
  <si>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</si>
  <si>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</si>
  <si>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</si>
  <si>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</si>
  <si>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</si>
  <si>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</si>
  <si>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</si>
  <si>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</si>
  <si>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</si>
  <si>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</si>
  <si>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</si>
  <si>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</si>
  <si>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</si>
  <si>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</si>
  <si>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</si>
  <si>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</si>
  <si>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</si>
  <si>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</si>
  <si>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</si>
  <si>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</si>
  <si>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</si>
  <si>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</si>
  <si>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</si>
  <si>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</si>
  <si>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</si>
  <si>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</si>
  <si>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</si>
  <si>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</si>
  <si>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</si>
  <si>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</si>
  <si>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</si>
  <si>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</si>
  <si>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</si>
  <si>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</si>
  <si>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</si>
  <si>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</si>
  <si>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</si>
  <si>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</si>
  <si>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</si>
  <si>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</si>
  <si>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</si>
  <si>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</si>
  <si>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</si>
  <si>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</si>
  <si>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</si>
  <si>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</si>
  <si>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</si>
  <si>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</si>
  <si>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</si>
  <si>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</si>
  <si>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</si>
  <si>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</si>
  <si>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</si>
  <si>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</si>
  <si>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</si>
  <si>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</si>
  <si>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</si>
  <si>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</si>
  <si>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</si>
  <si>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</si>
  <si>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</si>
  <si>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</si>
  <si>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</si>
  <si>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</si>
  <si>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</si>
  <si>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</si>
  <si>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</si>
  <si>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</si>
  <si>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</si>
  <si>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</si>
  <si>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</si>
  <si>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</si>
  <si>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</si>
  <si>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</si>
  <si>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</si>
  <si>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</si>
  <si>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</si>
  <si>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</si>
  <si>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</si>
  <si>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</si>
  <si>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</si>
  <si>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</si>
  <si>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</si>
  <si>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</si>
  <si>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</si>
  <si>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</si>
  <si>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</si>
  <si>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</si>
  <si>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</si>
  <si>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</si>
  <si>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</si>
  <si>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</si>
  <si>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</si>
  <si>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</si>
  <si>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</si>
  <si>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</si>
  <si>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</si>
  <si>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</si>
  <si>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</si>
  <si>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</si>
  <si>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</si>
  <si>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</si>
  <si>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</si>
  <si>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</si>
  <si>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</si>
  <si>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</si>
  <si>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</si>
  <si>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</si>
  <si>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</si>
  <si>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</si>
  <si>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</si>
  <si>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</si>
  <si>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</si>
  <si>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</si>
  <si>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</si>
  <si>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</si>
  <si>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</si>
  <si>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</si>
  <si>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</si>
  <si>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</si>
  <si>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</si>
  <si>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</si>
  <si>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</si>
  <si>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</si>
  <si>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</si>
  <si>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</si>
  <si>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</si>
  <si>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</si>
  <si>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</si>
  <si>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</si>
  <si>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</si>
  <si>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</si>
  <si>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</si>
  <si>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</si>
  <si>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</si>
  <si>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</si>
  <si>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</si>
  <si>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</si>
  <si>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</si>
  <si>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</si>
  <si>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</si>
  <si>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</si>
  <si>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</si>
  <si>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</si>
  <si>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</si>
  <si>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</si>
  <si>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</si>
  <si>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</si>
  <si>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</si>
  <si>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</si>
  <si>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</si>
  <si>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</si>
  <si>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</si>
  <si>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</si>
  <si>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</si>
  <si>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</si>
  <si>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</si>
  <si>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</si>
  <si>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</si>
  <si>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</si>
  <si>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</si>
  <si>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</si>
  <si>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</si>
  <si>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</si>
  <si>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</si>
  <si>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</si>
  <si>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</si>
  <si>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</si>
  <si>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</si>
  <si>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</si>
  <si>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</si>
  <si>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</si>
  <si>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</si>
  <si>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</si>
  <si>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</si>
  <si>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</si>
  <si>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</si>
  <si>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</si>
  <si>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</si>
  <si>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</si>
  <si>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</si>
  <si>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</si>
  <si>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</si>
  <si>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</si>
  <si>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</si>
  <si>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</si>
  <si>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</si>
  <si>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</si>
  <si>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</si>
  <si>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</si>
  <si>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</si>
  <si>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</si>
  <si>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</si>
  <si>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</si>
  <si>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</si>
  <si>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</si>
  <si>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</si>
  <si>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</si>
  <si>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</si>
  <si>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</si>
  <si>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</si>
  <si>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</si>
  <si>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</si>
  <si>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</si>
  <si>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</si>
  <si>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</si>
  <si>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</si>
  <si>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</si>
  <si>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</si>
  <si>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</si>
  <si>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</si>
  <si>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</si>
  <si>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</si>
  <si>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</si>
  <si>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</si>
  <si>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</si>
  <si>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</si>
  <si>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</si>
  <si>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</si>
  <si>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</si>
  <si>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</si>
  <si>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</si>
  <si>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</si>
  <si>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</si>
  <si>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</si>
  <si>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</si>
  <si>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</si>
  <si>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</si>
  <si>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</si>
  <si>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</si>
  <si>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</si>
  <si>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</si>
  <si>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</si>
  <si>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</si>
  <si>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</si>
  <si>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</si>
  <si>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</si>
  <si>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</si>
  <si>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</si>
  <si>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</si>
  <si>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</si>
  <si>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</si>
  <si>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</si>
  <si>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</si>
  <si>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</si>
  <si>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</si>
  <si>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</si>
  <si>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</si>
  <si>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</si>
  <si>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</si>
  <si>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</si>
  <si>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</si>
  <si>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</si>
  <si>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</si>
  <si>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</si>
  <si>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</si>
  <si>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</si>
  <si>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</si>
  <si>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</si>
  <si>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</si>
  <si>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</si>
  <si>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</si>
  <si>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</si>
  <si>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</si>
  <si>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</si>
  <si>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</si>
  <si>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</si>
  <si>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</si>
  <si>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</si>
  <si>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</si>
  <si>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</si>
  <si>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</si>
  <si>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</si>
  <si>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</si>
  <si>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</si>
  <si>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</si>
  <si>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</si>
  <si>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</si>
  <si>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</si>
  <si>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</si>
  <si>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</si>
  <si>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</si>
  <si>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</si>
  <si>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</si>
  <si>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</si>
  <si>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</si>
  <si>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</si>
  <si>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</si>
  <si>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</si>
  <si>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</si>
  <si>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</si>
  <si>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</si>
  <si>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</si>
  <si>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</si>
  <si>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</si>
  <si>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</si>
  <si>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</si>
  <si>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</si>
  <si>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</si>
  <si>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</si>
  <si>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</si>
  <si>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</si>
  <si>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</si>
  <si>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</si>
  <si>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</si>
  <si>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</si>
  <si>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</si>
  <si>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</si>
  <si>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</si>
  <si>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</si>
  <si>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</si>
  <si>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</si>
  <si>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</si>
  <si>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</si>
  <si>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</si>
  <si>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</si>
  <si>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</si>
  <si>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</si>
  <si>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</si>
  <si>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</si>
  <si>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</si>
  <si>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</si>
  <si>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</si>
  <si>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</si>
  <si>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</si>
  <si>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</si>
  <si>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</si>
  <si>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</si>
  <si>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</si>
  <si>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</si>
  <si>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</si>
  <si>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</si>
  <si>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</si>
  <si>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</si>
  <si>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</si>
  <si>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</si>
  <si>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</si>
  <si>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</si>
  <si>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</si>
  <si>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</si>
  <si>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</si>
  <si>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</si>
  <si>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</si>
  <si>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</si>
  <si>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</si>
  <si>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</si>
  <si>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</si>
  <si>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</si>
  <si>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</si>
  <si>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</si>
  <si>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</si>
  <si>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</si>
  <si>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</si>
  <si>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</si>
  <si>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</si>
  <si>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</si>
  <si>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</si>
  <si>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</si>
  <si>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</si>
  <si>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</si>
  <si>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</si>
  <si>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</si>
  <si>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</si>
  <si>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</si>
  <si>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</si>
  <si>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</si>
  <si>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</si>
  <si>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</si>
  <si>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</si>
  <si>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</si>
  <si>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</si>
  <si>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</si>
  <si>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</si>
  <si>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</si>
  <si>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</si>
  <si>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</si>
  <si>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</si>
  <si>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</si>
  <si>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</si>
  <si>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</si>
  <si>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</si>
  <si>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</si>
  <si>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</si>
  <si>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</si>
  <si>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</si>
  <si>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</si>
  <si>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</si>
  <si>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</si>
  <si>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</si>
  <si>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</si>
  <si>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</si>
  <si>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</si>
  <si>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</si>
  <si>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</si>
  <si>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</si>
  <si>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</si>
  <si>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</si>
  <si>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</si>
  <si>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</si>
  <si>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</si>
  <si>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</si>
  <si>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</si>
  <si>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</si>
  <si>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</si>
  <si>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</si>
  <si>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</si>
  <si>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</si>
  <si>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</si>
  <si>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</si>
  <si>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</si>
  <si>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</si>
  <si>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</si>
  <si>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</si>
  <si>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</si>
  <si>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</si>
  <si>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</si>
  <si>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</si>
  <si>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</si>
  <si>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</si>
  <si>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</si>
  <si>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</si>
  <si>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</si>
  <si>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</si>
  <si>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</si>
  <si>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</si>
  <si>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</si>
  <si>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</si>
  <si>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</si>
  <si>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</si>
  <si>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</si>
  <si>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</si>
  <si>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</si>
  <si>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</si>
  <si>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</si>
  <si>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</si>
  <si>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</si>
  <si>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</si>
  <si>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</si>
  <si>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</si>
  <si>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</si>
  <si>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</si>
  <si>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</si>
  <si>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</si>
  <si>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</si>
  <si>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</si>
  <si>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</si>
  <si>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</si>
  <si>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</si>
  <si>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</si>
  <si>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</si>
  <si>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</si>
  <si>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</si>
  <si>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</si>
  <si>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</si>
  <si>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</si>
  <si>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</si>
  <si>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</si>
  <si>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</si>
  <si>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</si>
  <si>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</si>
  <si>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</si>
  <si>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</si>
  <si>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</si>
  <si>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</si>
  <si>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</si>
  <si>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</si>
  <si>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</si>
  <si>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</si>
  <si>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</si>
  <si>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</si>
  <si>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</si>
  <si>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</si>
  <si>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</si>
  <si>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</si>
  <si>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</si>
  <si>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</si>
  <si>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</si>
  <si>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</si>
  <si>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</si>
  <si>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</si>
  <si>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</si>
  <si>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</si>
  <si>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</si>
  <si>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</si>
  <si>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</si>
  <si>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</si>
  <si>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</si>
  <si>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</si>
  <si>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</si>
  <si>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</si>
  <si>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</si>
  <si>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</si>
  <si>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</si>
  <si>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</si>
  <si>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</si>
  <si>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</si>
  <si>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</si>
  <si>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</si>
  <si>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</si>
  <si>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</si>
  <si>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</si>
  <si>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</si>
  <si>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</si>
  <si>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</si>
  <si>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</si>
  <si>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</si>
  <si>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</si>
  <si>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</si>
  <si>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</si>
  <si>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</si>
  <si>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</si>
  <si>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</si>
  <si>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</si>
  <si>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</si>
  <si>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</si>
  <si>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</si>
  <si>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</si>
  <si>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</si>
  <si>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</si>
  <si>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</si>
  <si>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</si>
  <si>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</si>
  <si>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</si>
  <si>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</si>
  <si>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</si>
  <si>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</si>
  <si>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</si>
  <si>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</si>
  <si>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</si>
  <si>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</si>
  <si>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</si>
  <si>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</si>
  <si>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</si>
  <si>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</si>
  <si>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</si>
  <si>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</si>
  <si>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</si>
  <si>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</si>
  <si>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</si>
  <si>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</si>
  <si>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</si>
  <si>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</si>
  <si>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</si>
  <si>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</si>
  <si>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</si>
  <si>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</si>
  <si>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</si>
  <si>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</si>
  <si>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</si>
  <si>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</si>
  <si>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</si>
  <si>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</si>
  <si>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</si>
  <si>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</si>
  <si>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</si>
  <si>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</si>
  <si>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</si>
  <si>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</si>
  <si>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</si>
  <si>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</si>
  <si>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</si>
  <si>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</si>
  <si>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</si>
  <si>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</si>
  <si>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</si>
  <si>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</si>
  <si>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</si>
  <si>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</si>
  <si>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</si>
  <si>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</si>
  <si>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</si>
  <si>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</si>
  <si>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</si>
  <si>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</si>
  <si>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</si>
  <si>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</si>
  <si>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</si>
  <si>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</si>
  <si>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</si>
  <si>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</si>
  <si>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</si>
  <si>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</si>
  <si>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</si>
  <si>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</si>
  <si>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</si>
  <si>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</si>
  <si>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</si>
  <si>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</si>
  <si>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</si>
  <si>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</si>
  <si>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</si>
  <si>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</si>
  <si>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</si>
  <si>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</si>
  <si>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</si>
  <si>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</si>
  <si>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</si>
  <si>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</si>
  <si>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</si>
  <si>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</si>
  <si>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</si>
  <si>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</si>
  <si>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</si>
  <si>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</si>
  <si>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</si>
  <si>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</si>
  <si>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</si>
  <si>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</si>
  <si>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</si>
  <si>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</si>
  <si>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</si>
  <si>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</si>
  <si>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</si>
  <si>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</si>
  <si>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</si>
  <si>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</si>
  <si>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</si>
  <si>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</si>
  <si>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</si>
  <si>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</si>
  <si>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</si>
  <si>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</si>
  <si>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</si>
  <si>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</si>
  <si>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</si>
  <si>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</si>
  <si>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</si>
  <si>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</si>
  <si>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</si>
  <si>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</si>
  <si>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</si>
  <si>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</si>
  <si>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</si>
  <si>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</si>
  <si>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</si>
  <si>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</si>
  <si>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</si>
  <si>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</si>
  <si>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</si>
  <si>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</si>
  <si>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</si>
  <si>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</si>
  <si>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</si>
  <si>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</si>
  <si>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</si>
  <si>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</si>
  <si>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</si>
  <si>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</si>
  <si>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</si>
  <si>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</si>
  <si>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</si>
  <si>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</si>
  <si>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</si>
  <si>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</si>
  <si>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</si>
  <si>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</si>
  <si>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</si>
  <si>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</si>
  <si>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</si>
  <si>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</si>
  <si>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</si>
  <si>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</si>
  <si>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</si>
  <si>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</si>
  <si>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</si>
  <si>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</si>
  <si>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</si>
  <si>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</si>
  <si>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</si>
  <si>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</si>
  <si>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</si>
  <si>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</si>
  <si>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</si>
  <si>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</si>
  <si>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</si>
  <si>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</si>
  <si>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</si>
  <si>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</si>
  <si>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</si>
  <si>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</si>
  <si>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</si>
  <si>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</si>
  <si>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</si>
  <si>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</si>
  <si>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</si>
  <si>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</si>
  <si>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</si>
  <si>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</si>
  <si>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</si>
  <si>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</si>
  <si>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</si>
  <si>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</si>
  <si>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</si>
  <si>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</si>
  <si>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</si>
  <si>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</si>
  <si>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</si>
  <si>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</si>
  <si>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</si>
  <si>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</si>
  <si>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</si>
  <si>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</si>
  <si>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</si>
  <si>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</si>
  <si>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</si>
  <si>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</si>
  <si>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</si>
  <si>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</si>
  <si>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</si>
  <si>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</si>
  <si>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</si>
  <si>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</si>
  <si>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</si>
  <si>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</si>
  <si>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</si>
  <si>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</si>
  <si>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</si>
  <si>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</si>
  <si>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</si>
  <si>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</si>
  <si>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</si>
  <si>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</si>
  <si>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</si>
  <si>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</si>
  <si>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</si>
  <si>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</si>
  <si>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</si>
  <si>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</si>
  <si>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</si>
  <si>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</si>
  <si>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</si>
  <si>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</si>
  <si>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</si>
  <si>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</si>
  <si>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</si>
  <si>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</si>
  <si>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</si>
  <si>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</si>
  <si>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</si>
  <si>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</si>
  <si>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</si>
  <si>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</si>
  <si>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</si>
  <si>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</si>
  <si>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</si>
  <si>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</si>
  <si>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</si>
  <si>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</si>
  <si>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</si>
  <si>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</si>
  <si>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</si>
  <si>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</si>
  <si>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</si>
  <si>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</si>
  <si>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</si>
  <si>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</si>
  <si>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</si>
  <si>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</si>
  <si>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</si>
  <si>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</si>
  <si>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</si>
  <si>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</si>
  <si>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</si>
  <si>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</si>
  <si>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</si>
  <si>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</si>
  <si>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</si>
  <si>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</si>
  <si>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</si>
  <si>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</si>
  <si>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</si>
  <si>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</si>
  <si>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</si>
  <si>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</si>
  <si>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</si>
  <si>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</si>
  <si>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</si>
  <si>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</si>
  <si>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</si>
  <si>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</si>
  <si>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</si>
  <si>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</si>
  <si>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</si>
  <si>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</si>
  <si>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</si>
  <si>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</si>
  <si>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</si>
  <si>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</si>
  <si>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</si>
  <si>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</si>
  <si>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</si>
  <si>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</si>
  <si>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</si>
  <si>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</si>
  <si>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</si>
  <si>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</si>
  <si>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</si>
  <si>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</si>
  <si>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</si>
  <si>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</si>
  <si>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</si>
  <si>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</si>
  <si>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</si>
  <si>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</si>
  <si>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</si>
  <si>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</si>
  <si>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</si>
  <si>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</si>
  <si>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</si>
  <si>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</si>
  <si>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</si>
  <si>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</si>
  <si>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</si>
  <si>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</si>
  <si>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</si>
  <si>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</si>
  <si>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</si>
  <si>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</si>
  <si>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</si>
  <si>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</si>
  <si>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</si>
  <si>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07/99</t>
  </si>
  <si>
    <t>07/09</t>
  </si>
  <si>
    <t>06/05</t>
  </si>
  <si>
    <t>07/25</t>
  </si>
  <si>
    <t>06/08</t>
  </si>
  <si>
    <t>06/18</t>
  </si>
  <si>
    <t>Windham SD</t>
  </si>
  <si>
    <t>Summer Camp program supported by parent paid tuitions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</si>
</sst>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96C5-4109-4565-B126-571875BE5BF0}">
  <sheetPr transitionEvaluation="1" transitionEntry="1" codeName="Sheet1">
    <tabColor indexed="56"/>
  </sheetPr>
  <dimension ref="A1:AQ666"/>
  <sheetViews>
    <sheetView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5" sqref="F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575</v>
      </c>
      <c r="C2" s="21">
        <v>575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-700464.83</v>
      </c>
      <c r="G9" s="18"/>
      <c r="H9" s="18"/>
      <c r="I9" s="18">
        <v>1720783.1</v>
      </c>
      <c r="J9" s="67">
        <f>SUM(I431)</f>
        <v>163583.26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803609.51</v>
      </c>
      <c r="G12" s="18">
        <v>-13882.64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48593.51</v>
      </c>
      <c r="G13" s="18">
        <v>7180.25</v>
      </c>
      <c r="H13" s="18">
        <v>509076.14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7179.69</v>
      </c>
      <c r="G14" s="18">
        <v>10038.25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10815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169732.88000000006</v>
      </c>
      <c r="G19" s="41">
        <f>SUM(G9:G18)</f>
        <v>3335.8600000000006</v>
      </c>
      <c r="H19" s="41">
        <f>SUM(H9:H18)</f>
        <v>509076.14</v>
      </c>
      <c r="I19" s="41">
        <f>SUM(I9:I18)</f>
        <v>1720783.1</v>
      </c>
      <c r="J19" s="41">
        <f>SUM(J9:J18)</f>
        <v>163583.26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509076.14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32470</v>
      </c>
      <c r="G25" s="18">
        <v>11110.75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16871.240000000002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32470</v>
      </c>
      <c r="G33" s="41">
        <f>SUM(G23:G32)</f>
        <v>27981.99</v>
      </c>
      <c r="H33" s="41">
        <f>SUM(H23:H32)</f>
        <v>509076.14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-24646.13</v>
      </c>
      <c r="H41" s="18"/>
      <c r="I41" s="18">
        <v>1720783.1</v>
      </c>
      <c r="J41" s="13">
        <f>SUM(I449)</f>
        <v>163583.26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137262.88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137262.88</v>
      </c>
      <c r="G43" s="41">
        <f>SUM(G35:G42)</f>
        <v>-24646.13</v>
      </c>
      <c r="H43" s="41">
        <f>SUM(H35:H42)</f>
        <v>0</v>
      </c>
      <c r="I43" s="41">
        <f>SUM(I35:I42)</f>
        <v>1720783.1</v>
      </c>
      <c r="J43" s="41">
        <f>SUM(J35:J42)</f>
        <v>163583.26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169732.88</v>
      </c>
      <c r="G44" s="41">
        <f>G43+G33</f>
        <v>3335.8600000000006</v>
      </c>
      <c r="H44" s="41">
        <f>H43+H33</f>
        <v>509076.14</v>
      </c>
      <c r="I44" s="41">
        <f>I43+I33</f>
        <v>1720783.1</v>
      </c>
      <c r="J44" s="41">
        <f>J43+J33</f>
        <v>163583.26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28352989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>
        <v>343.9</v>
      </c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28352989</v>
      </c>
      <c r="G52" s="41">
        <f>SUM(G49:G51)</f>
        <v>0</v>
      </c>
      <c r="H52" s="41">
        <f>SUM(H49:H51)</f>
        <v>0</v>
      </c>
      <c r="I52" s="41">
        <f>SUM(I49:I51)</f>
        <v>343.9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5100</v>
      </c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v>63292.93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5100</v>
      </c>
      <c r="G71" s="45" t="s">
        <v>312</v>
      </c>
      <c r="H71" s="41">
        <f>SUM(H55:H70)</f>
        <v>63292.93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/>
      <c r="G88" s="18"/>
      <c r="H88" s="18"/>
      <c r="I88" s="18">
        <v>7885.17</v>
      </c>
      <c r="J88" s="18">
        <v>317.37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572719.68999999994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100</v>
      </c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258358.85</v>
      </c>
      <c r="G102" s="18">
        <v>10000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258458.85</v>
      </c>
      <c r="G103" s="41">
        <f>SUM(G88:G102)</f>
        <v>582719.68999999994</v>
      </c>
      <c r="H103" s="41">
        <f>SUM(H88:H102)</f>
        <v>0</v>
      </c>
      <c r="I103" s="41">
        <f>SUM(I88:I102)</f>
        <v>7885.17</v>
      </c>
      <c r="J103" s="41">
        <f>SUM(J88:J102)</f>
        <v>317.37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28616547.850000001</v>
      </c>
      <c r="G104" s="41">
        <f>G52+G103</f>
        <v>582719.68999999994</v>
      </c>
      <c r="H104" s="41">
        <f>H52+H71+H86+H103</f>
        <v>63292.93</v>
      </c>
      <c r="I104" s="41">
        <f>I52+I103</f>
        <v>8229.07</v>
      </c>
      <c r="J104" s="41">
        <f>J52+J103</f>
        <v>317.37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1729881.76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4732511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663702.24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7126095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1233801.8799999999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684308.52</v>
      </c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243225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673428.26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674.02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2834763.66</v>
      </c>
      <c r="G128" s="41">
        <f>SUM(G115:G127)</f>
        <v>674.02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9960858.6600000001</v>
      </c>
      <c r="G132" s="41">
        <f>G113+SUM(G128:G129)</f>
        <v>674.02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57121.32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84239.57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90594.55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647757.86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199538.39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199538.39</v>
      </c>
      <c r="G154" s="41">
        <f>SUM(G142:G153)</f>
        <v>90594.55</v>
      </c>
      <c r="H154" s="41">
        <f>SUM(H142:H153)</f>
        <v>789118.75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199538.39</v>
      </c>
      <c r="G161" s="41">
        <f>G139+G154+SUM(G155:G160)</f>
        <v>90594.55</v>
      </c>
      <c r="H161" s="41">
        <f>H139+H154+SUM(H155:H160)</f>
        <v>789118.75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100000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100000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100000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38776944.900000006</v>
      </c>
      <c r="G185" s="47">
        <f>G104+G132+G161+G184</f>
        <v>673988.26</v>
      </c>
      <c r="H185" s="47">
        <f>H104+H132+H161+H184</f>
        <v>852411.68</v>
      </c>
      <c r="I185" s="47">
        <f>I104+I132+I161+I184</f>
        <v>8229.07</v>
      </c>
      <c r="J185" s="47">
        <f>J104+J132+J184</f>
        <v>100317.37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7103335.8899999997</v>
      </c>
      <c r="G189" s="18">
        <v>2897192.34</v>
      </c>
      <c r="H189" s="18">
        <v>30362.22</v>
      </c>
      <c r="I189" s="18">
        <v>414188.04</v>
      </c>
      <c r="J189" s="18">
        <v>161964.23000000001</v>
      </c>
      <c r="K189" s="18"/>
      <c r="L189" s="19">
        <f>SUM(F189:K189)</f>
        <v>10607042.720000001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2239408.63</v>
      </c>
      <c r="G190" s="18">
        <v>611924.14</v>
      </c>
      <c r="H190" s="18">
        <v>670999.5</v>
      </c>
      <c r="I190" s="18">
        <v>57521.75</v>
      </c>
      <c r="J190" s="18">
        <v>37084.160000000003</v>
      </c>
      <c r="K190" s="18">
        <v>21281.119999999999</v>
      </c>
      <c r="L190" s="19">
        <f>SUM(F190:K190)</f>
        <v>3638219.3000000003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109687.59</v>
      </c>
      <c r="G192" s="18">
        <v>16025.36</v>
      </c>
      <c r="H192" s="18">
        <v>8085</v>
      </c>
      <c r="I192" s="18">
        <v>13145.23</v>
      </c>
      <c r="J192" s="18"/>
      <c r="K192" s="18"/>
      <c r="L192" s="19">
        <f>SUM(F192:K192)</f>
        <v>146943.18000000002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1203864.28</v>
      </c>
      <c r="G194" s="18">
        <v>463990.32</v>
      </c>
      <c r="H194" s="18">
        <v>274933.67</v>
      </c>
      <c r="I194" s="18">
        <v>47437.91</v>
      </c>
      <c r="J194" s="18">
        <v>24705.58</v>
      </c>
      <c r="K194" s="18">
        <v>8596.6</v>
      </c>
      <c r="L194" s="19">
        <f t="shared" ref="L194:L200" si="0">SUM(F194:K194)</f>
        <v>2023528.36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229864.6</v>
      </c>
      <c r="G195" s="18">
        <v>160980.67000000001</v>
      </c>
      <c r="H195" s="18">
        <v>67573.740000000005</v>
      </c>
      <c r="I195" s="18">
        <v>73008.44</v>
      </c>
      <c r="J195" s="18">
        <v>241244.09</v>
      </c>
      <c r="K195" s="18">
        <v>21323.96</v>
      </c>
      <c r="L195" s="19">
        <f t="shared" si="0"/>
        <v>793995.49999999988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11843.29</v>
      </c>
      <c r="G196" s="18">
        <v>906.01</v>
      </c>
      <c r="H196" s="18">
        <v>588514.78</v>
      </c>
      <c r="I196" s="18">
        <v>4375.6099999999997</v>
      </c>
      <c r="J196" s="18"/>
      <c r="K196" s="18">
        <v>20070.25</v>
      </c>
      <c r="L196" s="19">
        <f t="shared" si="0"/>
        <v>625709.94000000006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709804.57</v>
      </c>
      <c r="G197" s="18">
        <v>326499.99</v>
      </c>
      <c r="H197" s="18">
        <v>11605.06</v>
      </c>
      <c r="I197" s="18">
        <v>8607.92</v>
      </c>
      <c r="J197" s="18">
        <v>40.14</v>
      </c>
      <c r="K197" s="18">
        <v>16631</v>
      </c>
      <c r="L197" s="19">
        <f t="shared" si="0"/>
        <v>1073188.68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711972.42</v>
      </c>
      <c r="G199" s="18">
        <v>293825.98</v>
      </c>
      <c r="H199" s="18">
        <v>692738.54</v>
      </c>
      <c r="I199" s="18">
        <v>420224.8</v>
      </c>
      <c r="J199" s="18">
        <v>9203.1</v>
      </c>
      <c r="K199" s="18"/>
      <c r="L199" s="19">
        <f t="shared" si="0"/>
        <v>2127964.84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6601.62</v>
      </c>
      <c r="G200" s="18">
        <v>1773.56</v>
      </c>
      <c r="H200" s="18">
        <v>1454433.42</v>
      </c>
      <c r="I200" s="18"/>
      <c r="J200" s="18"/>
      <c r="K200" s="18"/>
      <c r="L200" s="19">
        <f t="shared" si="0"/>
        <v>1462808.5999999999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12326382.889999997</v>
      </c>
      <c r="G203" s="41">
        <f t="shared" si="1"/>
        <v>4773118.3699999982</v>
      </c>
      <c r="H203" s="41">
        <f t="shared" si="1"/>
        <v>3799245.9299999997</v>
      </c>
      <c r="I203" s="41">
        <f t="shared" si="1"/>
        <v>1038509.7</v>
      </c>
      <c r="J203" s="41">
        <f t="shared" si="1"/>
        <v>474241.30000000005</v>
      </c>
      <c r="K203" s="41">
        <f t="shared" si="1"/>
        <v>87902.93</v>
      </c>
      <c r="L203" s="41">
        <f t="shared" si="1"/>
        <v>22499401.120000001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1739677.19+112</f>
        <v>1739789.19</v>
      </c>
      <c r="G225" s="18">
        <v>618250.18999999994</v>
      </c>
      <c r="H225" s="18">
        <v>3205687.17</v>
      </c>
      <c r="I225" s="18">
        <v>408540.42</v>
      </c>
      <c r="J225" s="18">
        <v>8036.62</v>
      </c>
      <c r="K225" s="18">
        <v>5102</v>
      </c>
      <c r="L225" s="19">
        <f>SUM(F225:K225)</f>
        <v>5985405.5899999999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517330.8</v>
      </c>
      <c r="G226" s="18">
        <v>174195.97</v>
      </c>
      <c r="H226" s="18">
        <v>958218.79</v>
      </c>
      <c r="I226" s="18">
        <v>15613.95</v>
      </c>
      <c r="J226" s="18">
        <v>5510.86</v>
      </c>
      <c r="K226" s="18">
        <v>3697.09</v>
      </c>
      <c r="L226" s="19">
        <f>SUM(F226:K226)</f>
        <v>1674567.4600000002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191739.5</v>
      </c>
      <c r="G228" s="18">
        <v>31812.9</v>
      </c>
      <c r="H228" s="18">
        <v>28395</v>
      </c>
      <c r="I228" s="18">
        <v>52009.42</v>
      </c>
      <c r="J228" s="18">
        <v>69461.13</v>
      </c>
      <c r="K228" s="18">
        <v>50468.45</v>
      </c>
      <c r="L228" s="19">
        <f>SUM(F228:K228)</f>
        <v>423886.4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264928.05</v>
      </c>
      <c r="G230" s="18">
        <v>130804.96</v>
      </c>
      <c r="H230" s="18">
        <v>47728.53</v>
      </c>
      <c r="I230" s="18">
        <v>9020.6200000000008</v>
      </c>
      <c r="J230" s="18">
        <v>26808.15</v>
      </c>
      <c r="K230" s="18">
        <v>25.9</v>
      </c>
      <c r="L230" s="19">
        <f t="shared" ref="L230:L236" si="4">SUM(F230:K230)</f>
        <v>479316.21000000008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285165.87</v>
      </c>
      <c r="G231" s="18">
        <v>172666.68</v>
      </c>
      <c r="H231" s="18">
        <v>96591.14</v>
      </c>
      <c r="I231" s="18">
        <v>282091.02</v>
      </c>
      <c r="J231" s="18">
        <v>250250.71</v>
      </c>
      <c r="K231" s="18">
        <v>9972.5400000000009</v>
      </c>
      <c r="L231" s="19">
        <f t="shared" si="4"/>
        <v>1096737.96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2057.4899999999998</v>
      </c>
      <c r="G232" s="18">
        <v>157.4</v>
      </c>
      <c r="H232" s="18">
        <v>102240.64</v>
      </c>
      <c r="I232" s="18">
        <v>760.16</v>
      </c>
      <c r="J232" s="18"/>
      <c r="K232" s="18">
        <v>3486.73</v>
      </c>
      <c r="L232" s="19">
        <f t="shared" si="4"/>
        <v>108702.42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248904.07</v>
      </c>
      <c r="G233" s="18">
        <v>116938.61</v>
      </c>
      <c r="H233" s="18">
        <v>6248.8</v>
      </c>
      <c r="I233" s="18">
        <v>3877.6</v>
      </c>
      <c r="J233" s="18"/>
      <c r="K233" s="18">
        <v>1906.39</v>
      </c>
      <c r="L233" s="19">
        <f t="shared" si="4"/>
        <v>377875.47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189493.15</v>
      </c>
      <c r="G235" s="18">
        <v>143771.96</v>
      </c>
      <c r="H235" s="18">
        <v>193648.55</v>
      </c>
      <c r="I235" s="18">
        <v>294691.06</v>
      </c>
      <c r="J235" s="18">
        <v>21271.7</v>
      </c>
      <c r="K235" s="18">
        <v>125</v>
      </c>
      <c r="L235" s="19">
        <f t="shared" si="4"/>
        <v>843001.41999999993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1146.8800000000001</v>
      </c>
      <c r="G236" s="18">
        <v>87.74</v>
      </c>
      <c r="H236" s="18">
        <v>285512.02</v>
      </c>
      <c r="I236" s="18"/>
      <c r="J236" s="18"/>
      <c r="K236" s="18"/>
      <c r="L236" s="19">
        <f t="shared" si="4"/>
        <v>286746.64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3440554.9999999995</v>
      </c>
      <c r="G239" s="41">
        <f t="shared" si="5"/>
        <v>1388686.41</v>
      </c>
      <c r="H239" s="41">
        <f t="shared" si="5"/>
        <v>4924270.6399999987</v>
      </c>
      <c r="I239" s="41">
        <f t="shared" si="5"/>
        <v>1066604.25</v>
      </c>
      <c r="J239" s="41">
        <f t="shared" si="5"/>
        <v>381339.17</v>
      </c>
      <c r="K239" s="41">
        <f t="shared" si="5"/>
        <v>74784.099999999991</v>
      </c>
      <c r="L239" s="41">
        <f t="shared" si="5"/>
        <v>11276239.570000002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328126.71000000002</v>
      </c>
      <c r="I247" s="18"/>
      <c r="J247" s="18"/>
      <c r="K247" s="18"/>
      <c r="L247" s="19">
        <f t="shared" si="6"/>
        <v>328126.71000000002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328126.71000000002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328126.71000000002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15766937.889999997</v>
      </c>
      <c r="G249" s="41">
        <f t="shared" si="8"/>
        <v>6161804.7799999984</v>
      </c>
      <c r="H249" s="41">
        <f t="shared" si="8"/>
        <v>9051643.2799999993</v>
      </c>
      <c r="I249" s="41">
        <f t="shared" si="8"/>
        <v>2105113.9500000002</v>
      </c>
      <c r="J249" s="41">
        <f t="shared" si="8"/>
        <v>855580.47</v>
      </c>
      <c r="K249" s="41">
        <f t="shared" si="8"/>
        <v>162687.02999999997</v>
      </c>
      <c r="L249" s="41">
        <f t="shared" si="8"/>
        <v>34103767.400000006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3680620</v>
      </c>
      <c r="L252" s="19">
        <f>SUM(F252:K252)</f>
        <v>3680620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1506104.9</v>
      </c>
      <c r="L253" s="19">
        <f>SUM(F253:K253)</f>
        <v>1506104.9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100000</v>
      </c>
      <c r="L258" s="19">
        <f t="shared" si="9"/>
        <v>100000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5286724.9000000004</v>
      </c>
      <c r="L262" s="41">
        <f t="shared" si="9"/>
        <v>5286724.9000000004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15766937.889999997</v>
      </c>
      <c r="G263" s="42">
        <f t="shared" si="11"/>
        <v>6161804.7799999984</v>
      </c>
      <c r="H263" s="42">
        <f t="shared" si="11"/>
        <v>9051643.2799999993</v>
      </c>
      <c r="I263" s="42">
        <f t="shared" si="11"/>
        <v>2105113.9500000002</v>
      </c>
      <c r="J263" s="42">
        <f t="shared" si="11"/>
        <v>855580.47</v>
      </c>
      <c r="K263" s="42">
        <f t="shared" si="11"/>
        <v>5449411.9300000006</v>
      </c>
      <c r="L263" s="42">
        <f t="shared" si="11"/>
        <v>39390492.300000004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97329.91</v>
      </c>
      <c r="G268" s="18">
        <v>24489.57</v>
      </c>
      <c r="H268" s="18"/>
      <c r="I268" s="18">
        <v>3435.79</v>
      </c>
      <c r="J268" s="18"/>
      <c r="K268" s="18"/>
      <c r="L268" s="19">
        <f>SUM(F268:K268)</f>
        <v>125255.27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316694.83</v>
      </c>
      <c r="G269" s="18">
        <v>140777.67000000001</v>
      </c>
      <c r="H269" s="18">
        <v>95885.92</v>
      </c>
      <c r="I269" s="18">
        <v>23101.24</v>
      </c>
      <c r="J269" s="18">
        <v>1069.95</v>
      </c>
      <c r="K269" s="18"/>
      <c r="L269" s="19">
        <f>SUM(F269:K269)</f>
        <v>577529.61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54750</v>
      </c>
      <c r="G271" s="18">
        <v>7143.34</v>
      </c>
      <c r="H271" s="18"/>
      <c r="I271" s="18">
        <v>8587.86</v>
      </c>
      <c r="J271" s="18"/>
      <c r="K271" s="18">
        <v>-7188.27</v>
      </c>
      <c r="L271" s="19">
        <f>SUM(F271:K271)</f>
        <v>63292.929999999993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37020</v>
      </c>
      <c r="G274" s="18">
        <v>5235.83</v>
      </c>
      <c r="H274" s="18">
        <v>36523.35</v>
      </c>
      <c r="I274" s="18">
        <v>7554.69</v>
      </c>
      <c r="J274" s="18"/>
      <c r="K274" s="18"/>
      <c r="L274" s="19">
        <f t="shared" si="12"/>
        <v>86333.87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505794.74</v>
      </c>
      <c r="G282" s="42">
        <f t="shared" si="13"/>
        <v>177646.41</v>
      </c>
      <c r="H282" s="42">
        <f t="shared" si="13"/>
        <v>132409.26999999999</v>
      </c>
      <c r="I282" s="42">
        <f t="shared" si="13"/>
        <v>42679.58</v>
      </c>
      <c r="J282" s="42">
        <f t="shared" si="13"/>
        <v>1069.95</v>
      </c>
      <c r="K282" s="42">
        <f t="shared" si="13"/>
        <v>-7188.27</v>
      </c>
      <c r="L282" s="41">
        <f t="shared" si="13"/>
        <v>852411.68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505794.74</v>
      </c>
      <c r="G330" s="41">
        <f t="shared" si="20"/>
        <v>177646.41</v>
      </c>
      <c r="H330" s="41">
        <f t="shared" si="20"/>
        <v>132409.26999999999</v>
      </c>
      <c r="I330" s="41">
        <f t="shared" si="20"/>
        <v>42679.58</v>
      </c>
      <c r="J330" s="41">
        <f t="shared" si="20"/>
        <v>1069.95</v>
      </c>
      <c r="K330" s="41">
        <f t="shared" si="20"/>
        <v>-7188.27</v>
      </c>
      <c r="L330" s="41">
        <f t="shared" si="20"/>
        <v>852411.68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505794.74</v>
      </c>
      <c r="G344" s="41">
        <f>G330</f>
        <v>177646.41</v>
      </c>
      <c r="H344" s="41">
        <f>H330</f>
        <v>132409.26999999999</v>
      </c>
      <c r="I344" s="41">
        <f>I330</f>
        <v>42679.58</v>
      </c>
      <c r="J344" s="41">
        <f>J330</f>
        <v>1069.95</v>
      </c>
      <c r="K344" s="47">
        <f>K330+K343</f>
        <v>-7188.27</v>
      </c>
      <c r="L344" s="41">
        <f>L330+L343</f>
        <v>852411.68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10680.25</v>
      </c>
      <c r="G350" s="18">
        <v>817.04</v>
      </c>
      <c r="H350" s="18">
        <v>579051.67000000004</v>
      </c>
      <c r="I350" s="18">
        <v>3290.27</v>
      </c>
      <c r="J350" s="18"/>
      <c r="K350" s="18"/>
      <c r="L350" s="13">
        <f>SUM(F350:K350)</f>
        <v>593839.2300000001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1884.75</v>
      </c>
      <c r="G352" s="18">
        <v>144.18</v>
      </c>
      <c r="H352" s="18">
        <v>102185.59</v>
      </c>
      <c r="I352" s="18">
        <v>580.64</v>
      </c>
      <c r="J352" s="18"/>
      <c r="K352" s="18"/>
      <c r="L352" s="19">
        <f>SUM(F352:K352)</f>
        <v>104795.15999999999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12565</v>
      </c>
      <c r="G354" s="47">
        <f t="shared" si="22"/>
        <v>961.22</v>
      </c>
      <c r="H354" s="47">
        <f t="shared" si="22"/>
        <v>681237.26</v>
      </c>
      <c r="I354" s="47">
        <f t="shared" si="22"/>
        <v>3870.91</v>
      </c>
      <c r="J354" s="47">
        <f t="shared" si="22"/>
        <v>0</v>
      </c>
      <c r="K354" s="47">
        <f t="shared" si="22"/>
        <v>0</v>
      </c>
      <c r="L354" s="47">
        <f t="shared" si="22"/>
        <v>698634.39000000013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3290.27</v>
      </c>
      <c r="G360" s="63"/>
      <c r="H360" s="63">
        <v>580.64</v>
      </c>
      <c r="I360" s="56">
        <f>SUM(F360:H360)</f>
        <v>3870.91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3290.27</v>
      </c>
      <c r="G361" s="47">
        <f>SUM(G359:G360)</f>
        <v>0</v>
      </c>
      <c r="H361" s="47">
        <f>SUM(H359:H360)</f>
        <v>580.64</v>
      </c>
      <c r="I361" s="47">
        <f>SUM(I359:I360)</f>
        <v>3870.91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>
        <v>12182.73</v>
      </c>
      <c r="I367" s="18"/>
      <c r="J367" s="18"/>
      <c r="K367" s="18"/>
      <c r="L367" s="13">
        <f t="shared" ref="L367:L373" si="23">SUM(F367:K367)</f>
        <v>12182.73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41937.550000000003</v>
      </c>
      <c r="I368" s="18"/>
      <c r="J368" s="18"/>
      <c r="K368" s="18"/>
      <c r="L368" s="13">
        <f t="shared" si="23"/>
        <v>41937.550000000003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972332.82</v>
      </c>
      <c r="I370" s="18"/>
      <c r="J370" s="18"/>
      <c r="K370" s="18"/>
      <c r="L370" s="13">
        <f t="shared" si="23"/>
        <v>972332.82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>
        <v>1697641.32</v>
      </c>
      <c r="K371" s="18"/>
      <c r="L371" s="13">
        <f t="shared" si="23"/>
        <v>1697641.32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1026453.1</v>
      </c>
      <c r="I374" s="41">
        <f t="shared" si="24"/>
        <v>0</v>
      </c>
      <c r="J374" s="47">
        <f t="shared" si="24"/>
        <v>1697641.32</v>
      </c>
      <c r="K374" s="47">
        <f t="shared" si="24"/>
        <v>0</v>
      </c>
      <c r="L374" s="47">
        <f t="shared" si="24"/>
        <v>2724094.42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137.69999999999999</v>
      </c>
      <c r="I384" s="18"/>
      <c r="J384" s="24" t="s">
        <v>312</v>
      </c>
      <c r="K384" s="24" t="s">
        <v>312</v>
      </c>
      <c r="L384" s="56">
        <f t="shared" si="25"/>
        <v>137.69999999999999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137.69999999999999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137.69999999999999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100000</v>
      </c>
      <c r="H388" s="18">
        <v>179.67</v>
      </c>
      <c r="I388" s="18"/>
      <c r="J388" s="24" t="s">
        <v>312</v>
      </c>
      <c r="K388" s="24" t="s">
        <v>312</v>
      </c>
      <c r="L388" s="56">
        <f t="shared" si="26"/>
        <v>100179.67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100000</v>
      </c>
      <c r="H393" s="47">
        <f>SUM(H387:H392)</f>
        <v>179.67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100179.67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100000</v>
      </c>
      <c r="H400" s="47">
        <f>H385+H393+H399</f>
        <v>317.37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100317.37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v>24280</v>
      </c>
      <c r="I410" s="18"/>
      <c r="J410" s="18"/>
      <c r="K410" s="18"/>
      <c r="L410" s="56">
        <f t="shared" si="27"/>
        <v>24280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24280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24280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24280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24280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28770.28</v>
      </c>
      <c r="G431" s="18">
        <v>134812.98000000001</v>
      </c>
      <c r="H431" s="18"/>
      <c r="I431" s="56">
        <f t="shared" ref="I431:I437" si="33">SUM(F431:H431)</f>
        <v>163583.26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28770.28</v>
      </c>
      <c r="G438" s="13">
        <f>SUM(G431:G437)</f>
        <v>134812.98000000001</v>
      </c>
      <c r="H438" s="13">
        <f>SUM(H431:H437)</f>
        <v>0</v>
      </c>
      <c r="I438" s="13">
        <f>SUM(I431:I437)</f>
        <v>163583.26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28770.28</v>
      </c>
      <c r="G449" s="18">
        <v>134812.98000000001</v>
      </c>
      <c r="H449" s="18"/>
      <c r="I449" s="56">
        <f>SUM(F449:H449)</f>
        <v>163583.26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28770.28</v>
      </c>
      <c r="G450" s="83">
        <f>SUM(G446:G449)</f>
        <v>134812.98000000001</v>
      </c>
      <c r="H450" s="83">
        <f>SUM(H446:H449)</f>
        <v>0</v>
      </c>
      <c r="I450" s="83">
        <f>SUM(I446:I449)</f>
        <v>163583.26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28770.28</v>
      </c>
      <c r="G451" s="42">
        <f>G444+G450</f>
        <v>134812.98000000001</v>
      </c>
      <c r="H451" s="42">
        <f>H444+H450</f>
        <v>0</v>
      </c>
      <c r="I451" s="42">
        <f>I444+I450</f>
        <v>163583.26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750810.28</v>
      </c>
      <c r="G455" s="18"/>
      <c r="H455" s="18"/>
      <c r="I455" s="18">
        <v>4436648.45</v>
      </c>
      <c r="J455" s="18">
        <v>87545.89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38776944.899999999</v>
      </c>
      <c r="G458" s="18">
        <v>673988.26</v>
      </c>
      <c r="H458" s="18">
        <v>852411.68</v>
      </c>
      <c r="I458" s="18">
        <v>8229.07</v>
      </c>
      <c r="J458" s="18">
        <v>100317.37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38776944.899999999</v>
      </c>
      <c r="G460" s="53">
        <f>SUM(G458:G459)</f>
        <v>673988.26</v>
      </c>
      <c r="H460" s="53">
        <f>SUM(H458:H459)</f>
        <v>852411.68</v>
      </c>
      <c r="I460" s="53">
        <f>SUM(I458:I459)</f>
        <v>8229.07</v>
      </c>
      <c r="J460" s="53">
        <f>SUM(J458:J459)</f>
        <v>100317.37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39390492.299999997</v>
      </c>
      <c r="G462" s="18">
        <v>698634.39</v>
      </c>
      <c r="H462" s="18">
        <v>852411.68</v>
      </c>
      <c r="I462" s="18">
        <v>2724094.42</v>
      </c>
      <c r="J462" s="18">
        <v>24280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39390492.299999997</v>
      </c>
      <c r="G464" s="53">
        <f>SUM(G462:G463)</f>
        <v>698634.39</v>
      </c>
      <c r="H464" s="53">
        <f>SUM(H462:H463)</f>
        <v>852411.68</v>
      </c>
      <c r="I464" s="53">
        <f>SUM(I462:I463)</f>
        <v>2724094.42</v>
      </c>
      <c r="J464" s="53">
        <f>SUM(J462:J463)</f>
        <v>24280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137262.88000000268</v>
      </c>
      <c r="G466" s="53">
        <f>(G455+G460)- G464</f>
        <v>-24646.130000000005</v>
      </c>
      <c r="H466" s="53">
        <f>(H455+H460)- H464</f>
        <v>0</v>
      </c>
      <c r="I466" s="53">
        <f>(I455+I460)- I464</f>
        <v>1720783.1000000006</v>
      </c>
      <c r="J466" s="53">
        <f>(J455+J460)- J464</f>
        <v>163583.26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20</v>
      </c>
      <c r="H480" s="154">
        <v>10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1" t="s">
        <v>894</v>
      </c>
      <c r="G481" s="271" t="s">
        <v>896</v>
      </c>
      <c r="H481" s="271" t="s">
        <v>898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271" t="s">
        <v>895</v>
      </c>
      <c r="G482" s="271" t="s">
        <v>897</v>
      </c>
      <c r="H482" s="271" t="s">
        <v>899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5992000</v>
      </c>
      <c r="G483" s="18">
        <v>42753296</v>
      </c>
      <c r="H483" s="18">
        <v>4000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4.6500000000000004</v>
      </c>
      <c r="G484" s="18">
        <v>3.92</v>
      </c>
      <c r="H484" s="18">
        <v>3.69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730000</v>
      </c>
      <c r="G485" s="18">
        <v>35015000</v>
      </c>
      <c r="H485" s="18">
        <v>3735620</v>
      </c>
      <c r="I485" s="18"/>
      <c r="J485" s="18"/>
      <c r="K485" s="53">
        <f>SUM(F485:J485)</f>
        <v>39480620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730000</v>
      </c>
      <c r="G487" s="18">
        <v>2580000</v>
      </c>
      <c r="H487" s="18">
        <v>370620</v>
      </c>
      <c r="I487" s="18"/>
      <c r="J487" s="18"/>
      <c r="K487" s="53">
        <f t="shared" si="34"/>
        <v>3680620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>
        <v>32435000</v>
      </c>
      <c r="H488" s="205">
        <v>3365000</v>
      </c>
      <c r="I488" s="205"/>
      <c r="J488" s="205"/>
      <c r="K488" s="206">
        <f t="shared" si="34"/>
        <v>35800000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>
        <v>9279218.3800000008</v>
      </c>
      <c r="H489" s="18">
        <v>787050</v>
      </c>
      <c r="I489" s="18"/>
      <c r="J489" s="18"/>
      <c r="K489" s="53">
        <f t="shared" si="34"/>
        <v>10066268.380000001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41714218.380000003</v>
      </c>
      <c r="H490" s="42">
        <f>SUM(H488:H489)</f>
        <v>4152050</v>
      </c>
      <c r="I490" s="42">
        <f>SUM(I488:I489)</f>
        <v>0</v>
      </c>
      <c r="J490" s="42">
        <f>SUM(J488:J489)</f>
        <v>0</v>
      </c>
      <c r="K490" s="42">
        <f t="shared" si="34"/>
        <v>45866268.380000003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>
        <v>2580000</v>
      </c>
      <c r="H491" s="205">
        <v>375000</v>
      </c>
      <c r="I491" s="205"/>
      <c r="J491" s="205"/>
      <c r="K491" s="206">
        <f t="shared" si="34"/>
        <v>2955000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>
        <v>1214688</v>
      </c>
      <c r="H492" s="18">
        <v>162600</v>
      </c>
      <c r="I492" s="18"/>
      <c r="J492" s="18"/>
      <c r="K492" s="53">
        <f t="shared" si="34"/>
        <v>1377288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3794688</v>
      </c>
      <c r="H493" s="42">
        <f>SUM(H491:H492)</f>
        <v>537600</v>
      </c>
      <c r="I493" s="42">
        <f>SUM(I491:I492)</f>
        <v>0</v>
      </c>
      <c r="J493" s="42">
        <f>SUM(J491:J492)</f>
        <v>0</v>
      </c>
      <c r="K493" s="42">
        <f t="shared" si="34"/>
        <v>4332288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2489535.46</v>
      </c>
      <c r="G511" s="18">
        <v>720565.29</v>
      </c>
      <c r="H511" s="18">
        <v>766885.42</v>
      </c>
      <c r="I511" s="18">
        <v>80622.990000000005</v>
      </c>
      <c r="J511" s="18">
        <v>38154.11</v>
      </c>
      <c r="K511" s="18">
        <v>21281.119999999999</v>
      </c>
      <c r="L511" s="88">
        <f>SUM(F511:K511)</f>
        <v>4117044.39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443555.8</v>
      </c>
      <c r="G513" s="18">
        <v>158258.49</v>
      </c>
      <c r="H513" s="18">
        <v>958218.79</v>
      </c>
      <c r="I513" s="18">
        <v>15613.95</v>
      </c>
      <c r="J513" s="18">
        <v>5510.86</v>
      </c>
      <c r="K513" s="18">
        <v>3697.09</v>
      </c>
      <c r="L513" s="88">
        <f>SUM(F513:K513)</f>
        <v>1584854.9800000002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2933091.26</v>
      </c>
      <c r="G514" s="108">
        <f t="shared" ref="G514:L514" si="35">SUM(G511:G513)</f>
        <v>878823.78</v>
      </c>
      <c r="H514" s="108">
        <f t="shared" si="35"/>
        <v>1725104.21</v>
      </c>
      <c r="I514" s="108">
        <f t="shared" si="35"/>
        <v>96236.94</v>
      </c>
      <c r="J514" s="108">
        <f t="shared" si="35"/>
        <v>43664.97</v>
      </c>
      <c r="K514" s="108">
        <f t="shared" si="35"/>
        <v>24978.21</v>
      </c>
      <c r="L514" s="89">
        <f t="shared" si="35"/>
        <v>5701899.3700000001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766090.67</v>
      </c>
      <c r="G516" s="18">
        <v>95761.33</v>
      </c>
      <c r="H516" s="18">
        <v>274733.67</v>
      </c>
      <c r="I516" s="18">
        <v>15041.12</v>
      </c>
      <c r="J516" s="18">
        <v>25373.21</v>
      </c>
      <c r="K516" s="18">
        <v>149.1</v>
      </c>
      <c r="L516" s="88">
        <f>SUM(F516:K516)</f>
        <v>1177149.1000000001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39056.449999999997</v>
      </c>
      <c r="G518" s="18">
        <v>4882.0600000000004</v>
      </c>
      <c r="H518" s="18">
        <v>47728.53</v>
      </c>
      <c r="I518" s="18">
        <v>1579.89</v>
      </c>
      <c r="J518" s="18">
        <v>26808.15</v>
      </c>
      <c r="K518" s="18">
        <v>25.9</v>
      </c>
      <c r="L518" s="88">
        <f>SUM(F518:K518)</f>
        <v>120080.97999999998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805147.12</v>
      </c>
      <c r="G519" s="89">
        <f t="shared" ref="G519:L519" si="36">SUM(G516:G518)</f>
        <v>100643.39</v>
      </c>
      <c r="H519" s="89">
        <f t="shared" si="36"/>
        <v>322462.19999999995</v>
      </c>
      <c r="I519" s="89">
        <f t="shared" si="36"/>
        <v>16621.010000000002</v>
      </c>
      <c r="J519" s="89">
        <f t="shared" si="36"/>
        <v>52181.36</v>
      </c>
      <c r="K519" s="89">
        <f t="shared" si="36"/>
        <v>175</v>
      </c>
      <c r="L519" s="89">
        <f t="shared" si="36"/>
        <v>1297230.08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66568</v>
      </c>
      <c r="G521" s="18">
        <v>32136.52</v>
      </c>
      <c r="H521" s="18"/>
      <c r="I521" s="18"/>
      <c r="J521" s="18"/>
      <c r="K521" s="18"/>
      <c r="L521" s="88">
        <f>SUM(F521:K521)</f>
        <v>98704.52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73775</v>
      </c>
      <c r="G523" s="18">
        <v>15937.48</v>
      </c>
      <c r="H523" s="18"/>
      <c r="I523" s="18"/>
      <c r="J523" s="18"/>
      <c r="K523" s="18"/>
      <c r="L523" s="88">
        <f>SUM(F523:K523)</f>
        <v>89712.48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140343</v>
      </c>
      <c r="G524" s="89">
        <f t="shared" ref="G524:L524" si="37">SUM(G521:G523)</f>
        <v>48074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188417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465016.66</v>
      </c>
      <c r="I531" s="18"/>
      <c r="J531" s="18"/>
      <c r="K531" s="18"/>
      <c r="L531" s="88">
        <f>SUM(F531:K531)</f>
        <v>465016.66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80785.740000000005</v>
      </c>
      <c r="I533" s="18"/>
      <c r="J533" s="18"/>
      <c r="K533" s="18"/>
      <c r="L533" s="88">
        <f>SUM(F533:K533)</f>
        <v>80785.740000000005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545802.4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545802.4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3878581.38</v>
      </c>
      <c r="G535" s="89">
        <f t="shared" ref="G535:L535" si="40">G514+G519+G524+G529+G534</f>
        <v>1027541.17</v>
      </c>
      <c r="H535" s="89">
        <f t="shared" si="40"/>
        <v>2593368.81</v>
      </c>
      <c r="I535" s="89">
        <f t="shared" si="40"/>
        <v>112857.95000000001</v>
      </c>
      <c r="J535" s="89">
        <f t="shared" si="40"/>
        <v>95846.33</v>
      </c>
      <c r="K535" s="89">
        <f t="shared" si="40"/>
        <v>25153.21</v>
      </c>
      <c r="L535" s="89">
        <f t="shared" si="40"/>
        <v>7733348.8500000006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4117044.39</v>
      </c>
      <c r="G539" s="87">
        <f>L516</f>
        <v>1177149.1000000001</v>
      </c>
      <c r="H539" s="87">
        <f>L521</f>
        <v>98704.52</v>
      </c>
      <c r="I539" s="87">
        <f>L526</f>
        <v>0</v>
      </c>
      <c r="J539" s="87">
        <f>L531</f>
        <v>465016.66</v>
      </c>
      <c r="K539" s="87">
        <f>SUM(F539:J539)</f>
        <v>5857914.6699999999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1584854.9800000002</v>
      </c>
      <c r="G541" s="87">
        <f>L518</f>
        <v>120080.97999999998</v>
      </c>
      <c r="H541" s="87">
        <f>L523</f>
        <v>89712.48</v>
      </c>
      <c r="I541" s="87">
        <f>L528</f>
        <v>0</v>
      </c>
      <c r="J541" s="87">
        <f>L533</f>
        <v>80785.740000000005</v>
      </c>
      <c r="K541" s="87">
        <f>SUM(F541:J541)</f>
        <v>1875434.1800000002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5701899.3700000001</v>
      </c>
      <c r="G542" s="89">
        <f t="shared" si="41"/>
        <v>1297230.08</v>
      </c>
      <c r="H542" s="89">
        <f t="shared" si="41"/>
        <v>188417</v>
      </c>
      <c r="I542" s="89">
        <f t="shared" si="41"/>
        <v>0</v>
      </c>
      <c r="J542" s="89">
        <f t="shared" si="41"/>
        <v>545802.4</v>
      </c>
      <c r="K542" s="89">
        <f t="shared" si="41"/>
        <v>7733348.8499999996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77749.22</v>
      </c>
      <c r="G552" s="18">
        <v>20071.84</v>
      </c>
      <c r="H552" s="18">
        <v>411.09</v>
      </c>
      <c r="I552" s="18">
        <v>584.75</v>
      </c>
      <c r="J552" s="18"/>
      <c r="K552" s="18"/>
      <c r="L552" s="88">
        <f>SUM(F552:K552)</f>
        <v>98816.9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64310</v>
      </c>
      <c r="G554" s="18">
        <v>30665.39</v>
      </c>
      <c r="H554" s="18">
        <v>71.42</v>
      </c>
      <c r="I554" s="18">
        <v>101.58</v>
      </c>
      <c r="J554" s="18"/>
      <c r="K554" s="18"/>
      <c r="L554" s="88">
        <f>SUM(F554:K554)</f>
        <v>95148.39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142059.22</v>
      </c>
      <c r="G555" s="89">
        <f t="shared" si="43"/>
        <v>50737.229999999996</v>
      </c>
      <c r="H555" s="89">
        <f t="shared" si="43"/>
        <v>482.51</v>
      </c>
      <c r="I555" s="89">
        <f t="shared" si="43"/>
        <v>686.33</v>
      </c>
      <c r="J555" s="89">
        <f t="shared" si="43"/>
        <v>0</v>
      </c>
      <c r="K555" s="89">
        <f t="shared" si="43"/>
        <v>0</v>
      </c>
      <c r="L555" s="89">
        <f t="shared" si="43"/>
        <v>193965.28999999998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142059.22</v>
      </c>
      <c r="G561" s="89">
        <f t="shared" ref="G561:L561" si="45">G550+G555+G560</f>
        <v>50737.229999999996</v>
      </c>
      <c r="H561" s="89">
        <f t="shared" si="45"/>
        <v>482.51</v>
      </c>
      <c r="I561" s="89">
        <f t="shared" si="45"/>
        <v>686.33</v>
      </c>
      <c r="J561" s="89">
        <f t="shared" si="45"/>
        <v>0</v>
      </c>
      <c r="K561" s="89">
        <f t="shared" si="45"/>
        <v>0</v>
      </c>
      <c r="L561" s="89">
        <f t="shared" si="45"/>
        <v>193965.28999999998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3203790.17</v>
      </c>
      <c r="I565" s="87">
        <f>SUM(F565:H565)</f>
        <v>3203790.17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592</v>
      </c>
      <c r="I568" s="87">
        <f t="shared" si="46"/>
        <v>592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263320.88</v>
      </c>
      <c r="I569" s="87">
        <f t="shared" si="46"/>
        <v>263320.88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550972.31999999995</v>
      </c>
      <c r="G572" s="18"/>
      <c r="H572" s="18">
        <v>228182.72</v>
      </c>
      <c r="I572" s="87">
        <f t="shared" si="46"/>
        <v>779155.03999999992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41239.230000000003</v>
      </c>
      <c r="G573" s="18"/>
      <c r="H573" s="18">
        <v>451871.16</v>
      </c>
      <c r="I573" s="87">
        <f t="shared" si="46"/>
        <v>493110.38999999996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918726.26</v>
      </c>
      <c r="I581" s="18"/>
      <c r="J581" s="18">
        <v>158166.26</v>
      </c>
      <c r="K581" s="104">
        <f t="shared" ref="K581:K587" si="47">SUM(H581:J581)</f>
        <v>1076892.52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465016.66</v>
      </c>
      <c r="I582" s="18"/>
      <c r="J582" s="18">
        <v>80785.77</v>
      </c>
      <c r="K582" s="104">
        <f t="shared" si="47"/>
        <v>545802.42999999993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75265.679999999993</v>
      </c>
      <c r="I584" s="18"/>
      <c r="J584" s="18">
        <v>47794.61</v>
      </c>
      <c r="K584" s="104">
        <f t="shared" si="47"/>
        <v>123060.29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3800</v>
      </c>
      <c r="I585" s="18"/>
      <c r="J585" s="18"/>
      <c r="K585" s="104">
        <f t="shared" si="47"/>
        <v>3800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1462808.5999999999</v>
      </c>
      <c r="I588" s="108">
        <f>SUM(I581:I587)</f>
        <v>0</v>
      </c>
      <c r="J588" s="108">
        <f>SUM(J581:J587)</f>
        <v>286746.64</v>
      </c>
      <c r="K588" s="108">
        <f>SUM(K581:K587)</f>
        <v>1749555.24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475311.25</v>
      </c>
      <c r="I594" s="18"/>
      <c r="J594" s="18">
        <v>381339.17</v>
      </c>
      <c r="K594" s="104">
        <f>SUM(H594:J594)</f>
        <v>856650.41999999993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475311.25</v>
      </c>
      <c r="I595" s="108">
        <f>SUM(I592:I594)</f>
        <v>0</v>
      </c>
      <c r="J595" s="108">
        <f>SUM(J592:J594)</f>
        <v>381339.17</v>
      </c>
      <c r="K595" s="108">
        <f>SUM(K592:K594)</f>
        <v>856650.41999999993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54750</v>
      </c>
      <c r="G601" s="18">
        <v>7143.34</v>
      </c>
      <c r="H601" s="18"/>
      <c r="I601" s="18">
        <v>8587.86</v>
      </c>
      <c r="J601" s="18"/>
      <c r="K601" s="18">
        <v>-7188.27</v>
      </c>
      <c r="L601" s="88">
        <f>SUM(F601:K601)</f>
        <v>63292.929999999993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54750</v>
      </c>
      <c r="G604" s="108">
        <f t="shared" si="48"/>
        <v>7143.34</v>
      </c>
      <c r="H604" s="108">
        <f t="shared" si="48"/>
        <v>0</v>
      </c>
      <c r="I604" s="108">
        <f t="shared" si="48"/>
        <v>8587.86</v>
      </c>
      <c r="J604" s="108">
        <f t="shared" si="48"/>
        <v>0</v>
      </c>
      <c r="K604" s="108">
        <f t="shared" si="48"/>
        <v>-7188.27</v>
      </c>
      <c r="L604" s="89">
        <f t="shared" si="48"/>
        <v>63292.929999999993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169732.88000000006</v>
      </c>
      <c r="H607" s="109">
        <f>SUM(F44)</f>
        <v>169732.88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3335.8600000000006</v>
      </c>
      <c r="H608" s="109">
        <f>SUM(G44)</f>
        <v>3335.8600000000006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509076.14</v>
      </c>
      <c r="H609" s="109">
        <f>SUM(H44)</f>
        <v>509076.14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1720783.1</v>
      </c>
      <c r="H610" s="109">
        <f>SUM(I44)</f>
        <v>1720783.1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163583.26</v>
      </c>
      <c r="H611" s="109">
        <f>SUM(J44)</f>
        <v>163583.26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137262.88</v>
      </c>
      <c r="H612" s="109">
        <f>F466</f>
        <v>137262.88000000268</v>
      </c>
      <c r="I612" s="121" t="s">
        <v>106</v>
      </c>
      <c r="J612" s="109">
        <f t="shared" ref="J612:J645" si="49">G612-H612</f>
        <v>-2.6775524020195007E-9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-24646.13</v>
      </c>
      <c r="H613" s="109">
        <f>G466</f>
        <v>-24646.130000000005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1720783.1</v>
      </c>
      <c r="H615" s="109">
        <f>I466</f>
        <v>1720783.1000000006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163583.26</v>
      </c>
      <c r="H616" s="109">
        <f>J466</f>
        <v>163583.26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38776944.900000006</v>
      </c>
      <c r="H617" s="104">
        <f>SUM(F458)</f>
        <v>38776944.899999999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673988.26</v>
      </c>
      <c r="H618" s="104">
        <f>SUM(G458)</f>
        <v>673988.26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852411.68</v>
      </c>
      <c r="H619" s="104">
        <f>SUM(H458)</f>
        <v>852411.68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8229.07</v>
      </c>
      <c r="H620" s="104">
        <f>SUM(I458)</f>
        <v>8229.07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100317.37</v>
      </c>
      <c r="H621" s="104">
        <f>SUM(J458)</f>
        <v>100317.37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39390492.300000004</v>
      </c>
      <c r="H622" s="104">
        <f>SUM(F462)</f>
        <v>39390492.299999997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852411.68</v>
      </c>
      <c r="H623" s="104">
        <f>SUM(H462)</f>
        <v>852411.68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3870.91</v>
      </c>
      <c r="H624" s="104">
        <f>I361</f>
        <v>3870.91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698634.39000000013</v>
      </c>
      <c r="H625" s="104">
        <f>SUM(G462)</f>
        <v>698634.39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2724094.42</v>
      </c>
      <c r="H626" s="104">
        <f>SUM(I462)</f>
        <v>2724094.42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100317.37</v>
      </c>
      <c r="H627" s="164">
        <f>SUM(J458)</f>
        <v>100317.37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24280</v>
      </c>
      <c r="H628" s="164">
        <f>SUM(J462)</f>
        <v>24280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28770.28</v>
      </c>
      <c r="H629" s="104">
        <f>SUM(F451)</f>
        <v>28770.28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134812.98000000001</v>
      </c>
      <c r="H630" s="104">
        <f>SUM(G451)</f>
        <v>134812.98000000001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163583.26</v>
      </c>
      <c r="H632" s="104">
        <f>SUM(I451)</f>
        <v>163583.26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317.37</v>
      </c>
      <c r="H634" s="104">
        <f>H400</f>
        <v>317.37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100000</v>
      </c>
      <c r="H635" s="104">
        <f>G400</f>
        <v>100000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100317.37</v>
      </c>
      <c r="H636" s="104">
        <f>L400</f>
        <v>100317.37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1749555.24</v>
      </c>
      <c r="H637" s="104">
        <f>L200+L218+L236</f>
        <v>1749555.2399999998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856650.41999999993</v>
      </c>
      <c r="H638" s="104">
        <f>(J249+J330)-(J247+J328)</f>
        <v>856650.41999999993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1462808.5999999999</v>
      </c>
      <c r="H639" s="104">
        <f>H588</f>
        <v>1462808.5999999999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286746.64</v>
      </c>
      <c r="H641" s="104">
        <f>J588</f>
        <v>286746.64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100000</v>
      </c>
      <c r="H645" s="104">
        <f>K258+K339</f>
        <v>100000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23945652.030000001</v>
      </c>
      <c r="G650" s="19">
        <f>(L221+L301+L351)</f>
        <v>0</v>
      </c>
      <c r="H650" s="19">
        <f>(L239+L320+L352)</f>
        <v>11381034.730000002</v>
      </c>
      <c r="I650" s="19">
        <f>SUM(F650:H650)</f>
        <v>35326686.760000005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495311.73524887412</v>
      </c>
      <c r="G651" s="19">
        <f>(L351/IF(SUM(L350:L352)=0,1,SUM(L350:L352))*(SUM(G89:G102)))</f>
        <v>0</v>
      </c>
      <c r="H651" s="19">
        <f>(L352/IF(SUM(L350:L352)=0,1,SUM(L350:L352))*(SUM(G89:G102)))</f>
        <v>87407.954751125799</v>
      </c>
      <c r="I651" s="19">
        <f>SUM(F651:H651)</f>
        <v>582719.68999999994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1462808.5999999999</v>
      </c>
      <c r="G652" s="19">
        <f>(L218+L298)-(J218+J298)</f>
        <v>0</v>
      </c>
      <c r="H652" s="19">
        <f>(L236+L317)-(J236+J317)</f>
        <v>286746.64</v>
      </c>
      <c r="I652" s="19">
        <f>SUM(F652:H652)</f>
        <v>1749555.2399999998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1130815.7299999997</v>
      </c>
      <c r="G653" s="200">
        <f>SUM(G565:G577)+SUM(I592:I594)+L602</f>
        <v>0</v>
      </c>
      <c r="H653" s="200">
        <f>SUM(H565:H577)+SUM(J592:J594)+L603</f>
        <v>4529096.1000000006</v>
      </c>
      <c r="I653" s="19">
        <f>SUM(F653:H653)</f>
        <v>5659911.8300000001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20856715.964751128</v>
      </c>
      <c r="G654" s="19">
        <f>G650-SUM(G651:G653)</f>
        <v>0</v>
      </c>
      <c r="H654" s="19">
        <f>H650-SUM(H651:H653)</f>
        <v>6477784.0352488756</v>
      </c>
      <c r="I654" s="19">
        <f>I650-SUM(I651:I653)</f>
        <v>27334500.000000007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1798.98</v>
      </c>
      <c r="G655" s="249"/>
      <c r="H655" s="249">
        <v>318.54000000000002</v>
      </c>
      <c r="I655" s="19">
        <f>SUM(F655:H655)</f>
        <v>2117.52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11593.63</v>
      </c>
      <c r="G657" s="19" t="e">
        <f>ROUND(G654/G655,2)</f>
        <v>#DIV/0!</v>
      </c>
      <c r="H657" s="19">
        <f>ROUND(H654/H655,2)</f>
        <v>20335.86</v>
      </c>
      <c r="I657" s="19">
        <f>ROUND(I654/I655,2)</f>
        <v>12908.73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11593.63</v>
      </c>
      <c r="G662" s="19" t="e">
        <f>ROUND((G654+G659)/(G655+G660),2)</f>
        <v>#DIV/0!</v>
      </c>
      <c r="H662" s="19">
        <f>ROUND((H654+H659)/(H655+H660),2)</f>
        <v>20335.86</v>
      </c>
      <c r="I662" s="19">
        <f>ROUND((I654+I659)/(I655+I660),2)</f>
        <v>12908.73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37D3-46E9-43B2-BF42-55645B993737}">
  <sheetPr>
    <tabColor indexed="20"/>
  </sheetPr>
  <dimension ref="A1:C52"/>
  <sheetViews>
    <sheetView workbookViewId="0">
      <selection activeCell="B10" sqref="B10: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Windham SD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8940454.9900000002</v>
      </c>
      <c r="C9" s="230">
        <f>'DOE25'!G189+'DOE25'!G207+'DOE25'!G225+'DOE25'!G268+'DOE25'!G287+'DOE25'!G306</f>
        <v>3539932.0999999996</v>
      </c>
    </row>
    <row r="10" spans="1:3" x14ac:dyDescent="0.2">
      <c r="A10" t="s">
        <v>813</v>
      </c>
      <c r="B10" s="241">
        <v>7996812</v>
      </c>
      <c r="C10" s="241">
        <v>3216303.23</v>
      </c>
    </row>
    <row r="11" spans="1:3" x14ac:dyDescent="0.2">
      <c r="A11" t="s">
        <v>814</v>
      </c>
      <c r="B11" s="241">
        <v>504687</v>
      </c>
      <c r="C11" s="241">
        <v>169449.16</v>
      </c>
    </row>
    <row r="12" spans="1:3" x14ac:dyDescent="0.2">
      <c r="A12" t="s">
        <v>815</v>
      </c>
      <c r="B12" s="241">
        <v>438955.99</v>
      </c>
      <c r="C12" s="241">
        <v>154179.71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8940454.9900000002</v>
      </c>
      <c r="C13" s="232">
        <f>SUM(C10:C12)</f>
        <v>3539932.1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3073434.26</v>
      </c>
      <c r="C18" s="230">
        <f>'DOE25'!G190+'DOE25'!G208+'DOE25'!G226+'DOE25'!G269+'DOE25'!G288+'DOE25'!G307</f>
        <v>926897.78</v>
      </c>
    </row>
    <row r="19" spans="1:3" x14ac:dyDescent="0.2">
      <c r="A19" t="s">
        <v>813</v>
      </c>
      <c r="B19" s="241">
        <v>1098459.5</v>
      </c>
      <c r="C19" s="241">
        <v>460590.55</v>
      </c>
    </row>
    <row r="20" spans="1:3" x14ac:dyDescent="0.2">
      <c r="A20" t="s">
        <v>814</v>
      </c>
      <c r="B20" s="241">
        <v>1314036.72</v>
      </c>
      <c r="C20" s="241">
        <v>256048.86</v>
      </c>
    </row>
    <row r="21" spans="1:3" x14ac:dyDescent="0.2">
      <c r="A21" t="s">
        <v>815</v>
      </c>
      <c r="B21" s="241">
        <v>660938.04</v>
      </c>
      <c r="C21" s="241">
        <v>210258.37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3073434.26</v>
      </c>
      <c r="C22" s="232">
        <f>SUM(C19:C21)</f>
        <v>926897.77999999991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356177.08999999997</v>
      </c>
      <c r="C36" s="236">
        <f>'DOE25'!G192+'DOE25'!G210+'DOE25'!G228+'DOE25'!G271+'DOE25'!G290+'DOE25'!G309</f>
        <v>54981.600000000006</v>
      </c>
    </row>
    <row r="37" spans="1:3" x14ac:dyDescent="0.2">
      <c r="A37" t="s">
        <v>813</v>
      </c>
      <c r="B37" s="241">
        <v>356177.09</v>
      </c>
      <c r="C37" s="241">
        <v>54981.599999999999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356177.09</v>
      </c>
      <c r="C40" s="232">
        <f>SUM(C37:C39)</f>
        <v>54981.599999999999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6683-9957-4D71-9F9F-5E3F9896E109}">
  <sheetPr>
    <tabColor indexed="11"/>
  </sheetPr>
  <dimension ref="A1:I51"/>
  <sheetViews>
    <sheetView tabSelected="1"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Windham SD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22476064.650000002</v>
      </c>
      <c r="D5" s="20">
        <f>SUM('DOE25'!L189:L192)+SUM('DOE25'!L207:L210)+SUM('DOE25'!L225:L228)-F5-G5</f>
        <v>22113458.990000002</v>
      </c>
      <c r="E5" s="244"/>
      <c r="F5" s="256">
        <f>SUM('DOE25'!J189:J192)+SUM('DOE25'!J207:J210)+SUM('DOE25'!J225:J228)</f>
        <v>282057</v>
      </c>
      <c r="G5" s="53">
        <f>SUM('DOE25'!K189:K192)+SUM('DOE25'!K207:K210)+SUM('DOE25'!K225:K228)</f>
        <v>80548.659999999989</v>
      </c>
      <c r="H5" s="260"/>
    </row>
    <row r="6" spans="1:9" x14ac:dyDescent="0.2">
      <c r="A6" s="32">
        <v>2100</v>
      </c>
      <c r="B6" t="s">
        <v>835</v>
      </c>
      <c r="C6" s="246">
        <f t="shared" si="0"/>
        <v>2502844.5700000003</v>
      </c>
      <c r="D6" s="20">
        <f>'DOE25'!L194+'DOE25'!L212+'DOE25'!L230-F6-G6</f>
        <v>2442708.3400000003</v>
      </c>
      <c r="E6" s="244"/>
      <c r="F6" s="256">
        <f>'DOE25'!J194+'DOE25'!J212+'DOE25'!J230</f>
        <v>51513.73</v>
      </c>
      <c r="G6" s="53">
        <f>'DOE25'!K194+'DOE25'!K212+'DOE25'!K230</f>
        <v>8622.5</v>
      </c>
      <c r="H6" s="260"/>
    </row>
    <row r="7" spans="1:9" x14ac:dyDescent="0.2">
      <c r="A7" s="32">
        <v>2200</v>
      </c>
      <c r="B7" t="s">
        <v>868</v>
      </c>
      <c r="C7" s="246">
        <f t="shared" si="0"/>
        <v>1890733.46</v>
      </c>
      <c r="D7" s="20">
        <f>'DOE25'!L195+'DOE25'!L213+'DOE25'!L231-F7-G7</f>
        <v>1367942.16</v>
      </c>
      <c r="E7" s="244"/>
      <c r="F7" s="256">
        <f>'DOE25'!J195+'DOE25'!J213+'DOE25'!J231</f>
        <v>491494.8</v>
      </c>
      <c r="G7" s="53">
        <f>'DOE25'!K195+'DOE25'!K213+'DOE25'!K231</f>
        <v>31296.5</v>
      </c>
      <c r="H7" s="260"/>
    </row>
    <row r="8" spans="1:9" x14ac:dyDescent="0.2">
      <c r="A8" s="32">
        <v>2300</v>
      </c>
      <c r="B8" t="s">
        <v>836</v>
      </c>
      <c r="C8" s="246">
        <f t="shared" si="0"/>
        <v>452159.13000000012</v>
      </c>
      <c r="D8" s="244"/>
      <c r="E8" s="20">
        <f>'DOE25'!L196+'DOE25'!L214+'DOE25'!L232-F8-G8-D9-D11</f>
        <v>428602.15000000014</v>
      </c>
      <c r="F8" s="256">
        <f>'DOE25'!J196+'DOE25'!J214+'DOE25'!J232</f>
        <v>0</v>
      </c>
      <c r="G8" s="53">
        <f>'DOE25'!K196+'DOE25'!K214+'DOE25'!K232</f>
        <v>23556.98</v>
      </c>
      <c r="H8" s="260"/>
    </row>
    <row r="9" spans="1:9" x14ac:dyDescent="0.2">
      <c r="A9" s="32">
        <v>2310</v>
      </c>
      <c r="B9" t="s">
        <v>852</v>
      </c>
      <c r="C9" s="246">
        <f t="shared" si="0"/>
        <v>99136.95</v>
      </c>
      <c r="D9" s="245">
        <v>99136.95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14000</v>
      </c>
      <c r="D10" s="244"/>
      <c r="E10" s="245">
        <v>14000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183116.28</v>
      </c>
      <c r="D11" s="245">
        <v>183116.28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1451064.15</v>
      </c>
      <c r="D12" s="20">
        <f>'DOE25'!L197+'DOE25'!L215+'DOE25'!L233-F12-G12</f>
        <v>1432486.62</v>
      </c>
      <c r="E12" s="244"/>
      <c r="F12" s="256">
        <f>'DOE25'!J197+'DOE25'!J215+'DOE25'!J233</f>
        <v>40.14</v>
      </c>
      <c r="G12" s="53">
        <f>'DOE25'!K197+'DOE25'!K215+'DOE25'!K233</f>
        <v>18537.39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2970966.26</v>
      </c>
      <c r="D14" s="20">
        <f>'DOE25'!L199+'DOE25'!L217+'DOE25'!L235-F14-G14</f>
        <v>2940366.46</v>
      </c>
      <c r="E14" s="244"/>
      <c r="F14" s="256">
        <f>'DOE25'!J199+'DOE25'!J217+'DOE25'!J235</f>
        <v>30474.800000000003</v>
      </c>
      <c r="G14" s="53">
        <f>'DOE25'!K199+'DOE25'!K217+'DOE25'!K235</f>
        <v>125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1749555.2399999998</v>
      </c>
      <c r="D15" s="20">
        <f>'DOE25'!L200+'DOE25'!L218+'DOE25'!L236-F15-G15</f>
        <v>1749555.2399999998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328126.71000000002</v>
      </c>
      <c r="D22" s="244"/>
      <c r="E22" s="244"/>
      <c r="F22" s="256">
        <f>'DOE25'!L247+'DOE25'!L328</f>
        <v>328126.71000000002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5186724.9000000004</v>
      </c>
      <c r="D25" s="244"/>
      <c r="E25" s="244"/>
      <c r="F25" s="259"/>
      <c r="G25" s="257"/>
      <c r="H25" s="258">
        <f>'DOE25'!L252+'DOE25'!L253+'DOE25'!L333+'DOE25'!L334</f>
        <v>5186724.9000000004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698634.39000000013</v>
      </c>
      <c r="D29" s="20">
        <f>'DOE25'!L350+'DOE25'!L351+'DOE25'!L352-'DOE25'!I359-F29-G29</f>
        <v>698634.39000000013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852411.68</v>
      </c>
      <c r="D31" s="20">
        <f>'DOE25'!L282+'DOE25'!L301+'DOE25'!L320+'DOE25'!L325+'DOE25'!L326+'DOE25'!L327-F31-G31</f>
        <v>858530.00000000012</v>
      </c>
      <c r="E31" s="244"/>
      <c r="F31" s="256">
        <f>'DOE25'!J282+'DOE25'!J301+'DOE25'!J320+'DOE25'!J325+'DOE25'!J326+'DOE25'!J327</f>
        <v>1069.95</v>
      </c>
      <c r="G31" s="53">
        <f>'DOE25'!K282+'DOE25'!K301+'DOE25'!K320+'DOE25'!K325+'DOE25'!K326+'DOE25'!K327</f>
        <v>-7188.27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33885935.430000007</v>
      </c>
      <c r="E33" s="247">
        <f>SUM(E5:E31)</f>
        <v>442602.15000000014</v>
      </c>
      <c r="F33" s="247">
        <f>SUM(F5:F31)</f>
        <v>1184777.1300000001</v>
      </c>
      <c r="G33" s="247">
        <f>SUM(G5:G31)</f>
        <v>155498.75999999998</v>
      </c>
      <c r="H33" s="247">
        <f>SUM(H5:H31)</f>
        <v>5186724.9000000004</v>
      </c>
    </row>
    <row r="35" spans="2:8" ht="12" thickBot="1" x14ac:dyDescent="0.25">
      <c r="B35" s="254" t="s">
        <v>881</v>
      </c>
      <c r="D35" s="255">
        <f>E33</f>
        <v>442602.15000000014</v>
      </c>
      <c r="E35" s="250"/>
    </row>
    <row r="36" spans="2:8" ht="12" thickTop="1" x14ac:dyDescent="0.2">
      <c r="B36" t="s">
        <v>849</v>
      </c>
      <c r="D36" s="20">
        <f>D33</f>
        <v>33885935.430000007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8AD8-E4ED-4E08-8936-8A17C01A6203}">
  <sheetPr transitionEvaluation="1" codeName="Sheet2">
    <tabColor indexed="10"/>
  </sheetPr>
  <dimension ref="A1:I156"/>
  <sheetViews>
    <sheetView zoomScale="75" workbookViewId="0">
      <pane ySplit="2" topLeftCell="A16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Windham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-700464.83</v>
      </c>
      <c r="D9" s="95">
        <f>'DOE25'!G9</f>
        <v>0</v>
      </c>
      <c r="E9" s="95">
        <f>'DOE25'!H9</f>
        <v>0</v>
      </c>
      <c r="F9" s="95">
        <f>'DOE25'!I9</f>
        <v>1720783.1</v>
      </c>
      <c r="G9" s="95">
        <f>'DOE25'!J9</f>
        <v>163583.26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803609.51</v>
      </c>
      <c r="D12" s="95">
        <f>'DOE25'!G12</f>
        <v>-13882.64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48593.51</v>
      </c>
      <c r="D13" s="95">
        <f>'DOE25'!G13</f>
        <v>7180.25</v>
      </c>
      <c r="E13" s="95">
        <f>'DOE25'!H13</f>
        <v>509076.14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7179.69</v>
      </c>
      <c r="D14" s="95">
        <f>'DOE25'!G14</f>
        <v>10038.25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10815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169732.88000000006</v>
      </c>
      <c r="D19" s="41">
        <f>SUM(D9:D18)</f>
        <v>3335.8600000000006</v>
      </c>
      <c r="E19" s="41">
        <f>SUM(E9:E18)</f>
        <v>509076.14</v>
      </c>
      <c r="F19" s="41">
        <f>SUM(F9:F18)</f>
        <v>1720783.1</v>
      </c>
      <c r="G19" s="41">
        <f>SUM(G9:G18)</f>
        <v>163583.26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509076.14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32470</v>
      </c>
      <c r="D24" s="95">
        <f>'DOE25'!G25</f>
        <v>11110.75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16871.240000000002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32470</v>
      </c>
      <c r="D32" s="41">
        <f>SUM(D22:D31)</f>
        <v>27981.99</v>
      </c>
      <c r="E32" s="41">
        <f>SUM(E22:E31)</f>
        <v>509076.14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-24646.13</v>
      </c>
      <c r="E40" s="95">
        <f>'DOE25'!H41</f>
        <v>0</v>
      </c>
      <c r="F40" s="95">
        <f>'DOE25'!I41</f>
        <v>1720783.1</v>
      </c>
      <c r="G40" s="95">
        <f>'DOE25'!J41</f>
        <v>163583.26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137262.88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137262.88</v>
      </c>
      <c r="D42" s="41">
        <f>SUM(D34:D41)</f>
        <v>-24646.13</v>
      </c>
      <c r="E42" s="41">
        <f>SUM(E34:E41)</f>
        <v>0</v>
      </c>
      <c r="F42" s="41">
        <f>SUM(F34:F41)</f>
        <v>1720783.1</v>
      </c>
      <c r="G42" s="41">
        <f>SUM(G34:G41)</f>
        <v>163583.26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169732.88</v>
      </c>
      <c r="D43" s="41">
        <f>D42+D32</f>
        <v>3335.8600000000006</v>
      </c>
      <c r="E43" s="41">
        <f>E42+E32</f>
        <v>509076.14</v>
      </c>
      <c r="F43" s="41">
        <f>F42+F32</f>
        <v>1720783.1</v>
      </c>
      <c r="G43" s="41">
        <f>G42+G32</f>
        <v>163583.26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28352989</v>
      </c>
      <c r="D48" s="95">
        <f>'DOE25'!G52</f>
        <v>0</v>
      </c>
      <c r="E48" s="95">
        <f>'DOE25'!H52</f>
        <v>0</v>
      </c>
      <c r="F48" s="95">
        <f>'DOE25'!I52</f>
        <v>343.9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5100</v>
      </c>
      <c r="D49" s="24" t="s">
        <v>312</v>
      </c>
      <c r="E49" s="95">
        <f>'DOE25'!H71</f>
        <v>63292.93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7885.17</v>
      </c>
      <c r="G51" s="95">
        <f>'DOE25'!J88</f>
        <v>317.37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572719.68999999994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258458.85</v>
      </c>
      <c r="D53" s="95">
        <f>SUM('DOE25'!G90:G102)</f>
        <v>10000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263558.84999999998</v>
      </c>
      <c r="D54" s="130">
        <f>SUM(D49:D53)</f>
        <v>582719.68999999994</v>
      </c>
      <c r="E54" s="130">
        <f>SUM(E49:E53)</f>
        <v>63292.93</v>
      </c>
      <c r="F54" s="130">
        <f>SUM(F49:F53)</f>
        <v>7885.17</v>
      </c>
      <c r="G54" s="130">
        <f>SUM(G49:G53)</f>
        <v>317.37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28616547.850000001</v>
      </c>
      <c r="D55" s="22">
        <f>D48+D54</f>
        <v>582719.68999999994</v>
      </c>
      <c r="E55" s="22">
        <f>E48+E54</f>
        <v>63292.93</v>
      </c>
      <c r="F55" s="22">
        <f>F48+F54</f>
        <v>8229.07</v>
      </c>
      <c r="G55" s="22">
        <f>G48+G54</f>
        <v>317.37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1729881.76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4732511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663702.24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7126095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1233801.8799999999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684308.52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243225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673428.26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674.02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2834763.66</v>
      </c>
      <c r="D70" s="130">
        <f>SUM(D64:D69)</f>
        <v>674.02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9960858.6600000001</v>
      </c>
      <c r="D73" s="130">
        <f>SUM(D71:D72)+D70+D62</f>
        <v>674.02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199538.39</v>
      </c>
      <c r="D80" s="95">
        <f>SUM('DOE25'!G145:G153)</f>
        <v>90594.55</v>
      </c>
      <c r="E80" s="95">
        <f>SUM('DOE25'!H145:H153)</f>
        <v>789118.75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199538.39</v>
      </c>
      <c r="D83" s="131">
        <f>SUM(D77:D82)</f>
        <v>90594.55</v>
      </c>
      <c r="E83" s="131">
        <f>SUM(E77:E82)</f>
        <v>789118.75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100000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100000</v>
      </c>
    </row>
    <row r="96" spans="1:7" ht="12.75" thickTop="1" thickBot="1" x14ac:dyDescent="0.25">
      <c r="A96" s="33" t="s">
        <v>797</v>
      </c>
      <c r="C96" s="86">
        <f>C55+C73+C83+C95</f>
        <v>38776944.900000006</v>
      </c>
      <c r="D96" s="86">
        <f>D55+D73+D83+D95</f>
        <v>673988.26</v>
      </c>
      <c r="E96" s="86">
        <f>E55+E73+E83+E95</f>
        <v>852411.68</v>
      </c>
      <c r="F96" s="86">
        <f>F55+F73+F83+F95</f>
        <v>8229.07</v>
      </c>
      <c r="G96" s="86">
        <f>G55+G73+G95</f>
        <v>100317.37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16592448.310000001</v>
      </c>
      <c r="D101" s="24" t="s">
        <v>312</v>
      </c>
      <c r="E101" s="95">
        <f>('DOE25'!L268)+('DOE25'!L287)+('DOE25'!L306)</f>
        <v>125255.27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5312786.7600000007</v>
      </c>
      <c r="D102" s="24" t="s">
        <v>312</v>
      </c>
      <c r="E102" s="95">
        <f>('DOE25'!L269)+('DOE25'!L288)+('DOE25'!L307)</f>
        <v>577529.61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570829.58000000007</v>
      </c>
      <c r="D104" s="24" t="s">
        <v>312</v>
      </c>
      <c r="E104" s="95">
        <f>+('DOE25'!L271)+('DOE25'!L290)+('DOE25'!L309)</f>
        <v>63292.929999999993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22476064.649999999</v>
      </c>
      <c r="D107" s="86">
        <f>SUM(D101:D106)</f>
        <v>0</v>
      </c>
      <c r="E107" s="86">
        <f>SUM(E101:E106)</f>
        <v>766077.81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2502844.5700000003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1890733.46</v>
      </c>
      <c r="D111" s="24" t="s">
        <v>312</v>
      </c>
      <c r="E111" s="95">
        <f>+('DOE25'!L274)+('DOE25'!L293)+('DOE25'!L312)</f>
        <v>86333.87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734412.3600000001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1451064.15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2970966.26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1749555.2399999998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698634.39000000013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11299576.040000001</v>
      </c>
      <c r="D120" s="86">
        <f>SUM(D110:D119)</f>
        <v>698634.39000000013</v>
      </c>
      <c r="E120" s="86">
        <f>SUM(E110:E119)</f>
        <v>86333.87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328126.71000000002</v>
      </c>
      <c r="D122" s="24" t="s">
        <v>312</v>
      </c>
      <c r="E122" s="129">
        <f>'DOE25'!L328</f>
        <v>0</v>
      </c>
      <c r="F122" s="129">
        <f>SUM('DOE25'!L366:'DOE25'!L372)</f>
        <v>2724094.42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3680620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1506104.9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137.69999999999999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100179.67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-317.36999999999534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5614851.6099999994</v>
      </c>
      <c r="D136" s="141">
        <f>SUM(D122:D135)</f>
        <v>0</v>
      </c>
      <c r="E136" s="141">
        <f>SUM(E122:E135)</f>
        <v>0</v>
      </c>
      <c r="F136" s="141">
        <f>SUM(F122:F135)</f>
        <v>2724094.42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39390492.299999997</v>
      </c>
      <c r="D137" s="86">
        <f>(D107+D120+D136)</f>
        <v>698634.39000000013</v>
      </c>
      <c r="E137" s="86">
        <f>(E107+E120+E136)</f>
        <v>852411.68</v>
      </c>
      <c r="F137" s="86">
        <f>(F107+F120+F136)</f>
        <v>2724094.42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20</v>
      </c>
      <c r="D143" s="153">
        <f>'DOE25'!H480</f>
        <v>10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07/99</v>
      </c>
      <c r="C144" s="152" t="str">
        <f>'DOE25'!G481</f>
        <v>06/05</v>
      </c>
      <c r="D144" s="152" t="str">
        <f>'DOE25'!H481</f>
        <v>06/08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07/09</v>
      </c>
      <c r="C145" s="152" t="str">
        <f>'DOE25'!G482</f>
        <v>07/25</v>
      </c>
      <c r="D145" s="152" t="str">
        <f>'DOE25'!H482</f>
        <v>06/18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5992000</v>
      </c>
      <c r="C146" s="137">
        <f>'DOE25'!G483</f>
        <v>42753296</v>
      </c>
      <c r="D146" s="137">
        <f>'DOE25'!H483</f>
        <v>4000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4.6500000000000004</v>
      </c>
      <c r="C147" s="137">
        <f>'DOE25'!G484</f>
        <v>3.92</v>
      </c>
      <c r="D147" s="137">
        <f>'DOE25'!H484</f>
        <v>3.69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730000</v>
      </c>
      <c r="C148" s="137">
        <f>'DOE25'!G485</f>
        <v>35015000</v>
      </c>
      <c r="D148" s="137">
        <f>'DOE25'!H485</f>
        <v>3735620</v>
      </c>
      <c r="E148" s="137">
        <f>'DOE25'!I485</f>
        <v>0</v>
      </c>
      <c r="F148" s="137">
        <f>'DOE25'!J485</f>
        <v>0</v>
      </c>
      <c r="G148" s="138">
        <f>SUM(B148:F148)</f>
        <v>39480620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730000</v>
      </c>
      <c r="C150" s="137">
        <f>'DOE25'!G487</f>
        <v>2580000</v>
      </c>
      <c r="D150" s="137">
        <f>'DOE25'!H487</f>
        <v>370620</v>
      </c>
      <c r="E150" s="137">
        <f>'DOE25'!I487</f>
        <v>0</v>
      </c>
      <c r="F150" s="137">
        <f>'DOE25'!J487</f>
        <v>0</v>
      </c>
      <c r="G150" s="138">
        <f t="shared" si="0"/>
        <v>3680620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32435000</v>
      </c>
      <c r="D151" s="137">
        <f>'DOE25'!H488</f>
        <v>3365000</v>
      </c>
      <c r="E151" s="137">
        <f>'DOE25'!I488</f>
        <v>0</v>
      </c>
      <c r="F151" s="137">
        <f>'DOE25'!J488</f>
        <v>0</v>
      </c>
      <c r="G151" s="138">
        <f t="shared" si="0"/>
        <v>35800000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9279218.3800000008</v>
      </c>
      <c r="D152" s="137">
        <f>'DOE25'!H489</f>
        <v>787050</v>
      </c>
      <c r="E152" s="137">
        <f>'DOE25'!I489</f>
        <v>0</v>
      </c>
      <c r="F152" s="137">
        <f>'DOE25'!J489</f>
        <v>0</v>
      </c>
      <c r="G152" s="138">
        <f t="shared" si="0"/>
        <v>10066268.380000001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41714218.380000003</v>
      </c>
      <c r="D153" s="137">
        <f>'DOE25'!H490</f>
        <v>4152050</v>
      </c>
      <c r="E153" s="137">
        <f>'DOE25'!I490</f>
        <v>0</v>
      </c>
      <c r="F153" s="137">
        <f>'DOE25'!J490</f>
        <v>0</v>
      </c>
      <c r="G153" s="138">
        <f t="shared" si="0"/>
        <v>45866268.380000003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2580000</v>
      </c>
      <c r="D154" s="137">
        <f>'DOE25'!H491</f>
        <v>375000</v>
      </c>
      <c r="E154" s="137">
        <f>'DOE25'!I491</f>
        <v>0</v>
      </c>
      <c r="F154" s="137">
        <f>'DOE25'!J491</f>
        <v>0</v>
      </c>
      <c r="G154" s="138">
        <f t="shared" si="0"/>
        <v>2955000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1214688</v>
      </c>
      <c r="D155" s="137">
        <f>'DOE25'!H492</f>
        <v>162600</v>
      </c>
      <c r="E155" s="137">
        <f>'DOE25'!I492</f>
        <v>0</v>
      </c>
      <c r="F155" s="137">
        <f>'DOE25'!J492</f>
        <v>0</v>
      </c>
      <c r="G155" s="138">
        <f t="shared" si="0"/>
        <v>1377288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3794688</v>
      </c>
      <c r="D156" s="137">
        <f>'DOE25'!H493</f>
        <v>537600</v>
      </c>
      <c r="E156" s="137">
        <f>'DOE25'!I493</f>
        <v>0</v>
      </c>
      <c r="F156" s="137">
        <f>'DOE25'!J493</f>
        <v>0</v>
      </c>
      <c r="G156" s="138">
        <f t="shared" si="0"/>
        <v>4332288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2075D-5DC7-4763-8F30-F431CADA4C7D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Windham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11594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20336</v>
      </c>
    </row>
    <row r="7" spans="1:4" x14ac:dyDescent="0.2">
      <c r="B7" t="s">
        <v>736</v>
      </c>
      <c r="C7" s="179">
        <f>IF('DOE25'!I655+'DOE25'!I660=0,0,ROUND('DOE25'!I662,0))</f>
        <v>12909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16717704</v>
      </c>
      <c r="D10" s="182">
        <f>ROUND((C10/$C$28)*100,1)</f>
        <v>46.1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5890316</v>
      </c>
      <c r="D11" s="182">
        <f>ROUND((C11/$C$28)*100,1)</f>
        <v>16.2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634123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2502845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1977067</v>
      </c>
      <c r="D16" s="182">
        <f t="shared" si="0"/>
        <v>5.5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734412</v>
      </c>
      <c r="D17" s="182">
        <f t="shared" si="0"/>
        <v>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1451064</v>
      </c>
      <c r="D18" s="182">
        <f t="shared" si="0"/>
        <v>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2970966</v>
      </c>
      <c r="D20" s="182">
        <f t="shared" si="0"/>
        <v>8.1999999999999993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1749555</v>
      </c>
      <c r="D21" s="182">
        <f t="shared" si="0"/>
        <v>4.8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1506105</v>
      </c>
      <c r="D25" s="182">
        <f t="shared" si="0"/>
        <v>4.2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115914.31000000006</v>
      </c>
      <c r="D27" s="182">
        <f t="shared" si="0"/>
        <v>0.3</v>
      </c>
    </row>
    <row r="28" spans="1:4" x14ac:dyDescent="0.2">
      <c r="B28" s="187" t="s">
        <v>754</v>
      </c>
      <c r="C28" s="180">
        <f>SUM(C10:C27)</f>
        <v>36250071.310000002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3052221</v>
      </c>
    </row>
    <row r="30" spans="1:4" x14ac:dyDescent="0.2">
      <c r="B30" s="187" t="s">
        <v>760</v>
      </c>
      <c r="C30" s="180">
        <f>SUM(C28:C29)</f>
        <v>39302292.310000002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3680620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28353333</v>
      </c>
      <c r="D35" s="182">
        <f t="shared" ref="D35:D40" si="1">ROUND((C35/$C$41)*100,1)</f>
        <v>71.400000000000006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335054.22000000253</v>
      </c>
      <c r="D36" s="182">
        <f t="shared" si="1"/>
        <v>0.8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6462393</v>
      </c>
      <c r="D37" s="182">
        <f t="shared" si="1"/>
        <v>16.3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3499140</v>
      </c>
      <c r="D38" s="182">
        <f t="shared" si="1"/>
        <v>8.8000000000000007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1079252</v>
      </c>
      <c r="D39" s="182">
        <f t="shared" si="1"/>
        <v>2.7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39729172.219999999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9121-2867-4B99-939B-392A6E47503F}">
  <sheetPr>
    <tabColor indexed="17"/>
  </sheetPr>
  <dimension ref="A1:IV90"/>
  <sheetViews>
    <sheetView workbookViewId="0">
      <pane ySplit="3" topLeftCell="A4" activePane="bottomLeft" state="frozen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Windham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>
        <v>2</v>
      </c>
      <c r="B4" s="220">
        <v>17</v>
      </c>
      <c r="C4" s="281" t="s">
        <v>901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2010-12-15T20:03:12Z</cp:lastPrinted>
  <dcterms:created xsi:type="dcterms:W3CDTF">1997-12-04T19:04:30Z</dcterms:created>
  <dcterms:modified xsi:type="dcterms:W3CDTF">2025-01-09T20:16:24Z</dcterms:modified>
</cp:coreProperties>
</file>