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8E7DF6BD-EDA3-45EB-A6A3-F225E2DB3B32}" xr6:coauthVersionLast="47" xr6:coauthVersionMax="47" xr10:uidLastSave="{00000000-0000-0000-0000-000000000000}"/>
  <workbookProtection workbookPassword="B70A" lockStructure="1"/>
  <bookViews>
    <workbookView xWindow="-120" yWindow="-120" windowWidth="29040" windowHeight="15990" tabRatio="637" xr2:uid="{CB79DF57-1F21-41B2-B6FA-B15BA5FEDB4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1" i="1" l="1"/>
  <c r="C11" i="12"/>
  <c r="C10" i="12"/>
  <c r="C20" i="12"/>
  <c r="C19" i="12"/>
  <c r="C12" i="12"/>
  <c r="B19" i="12"/>
  <c r="B10" i="12"/>
  <c r="B20" i="12"/>
  <c r="C21" i="12"/>
  <c r="G228" i="1"/>
  <c r="C36" i="12" s="1"/>
  <c r="G225" i="1"/>
  <c r="C9" i="12" s="1"/>
  <c r="A13" i="12" s="1"/>
  <c r="J594" i="1"/>
  <c r="I307" i="1"/>
  <c r="G307" i="1"/>
  <c r="G306" i="1"/>
  <c r="L306" i="1" s="1"/>
  <c r="K313" i="1"/>
  <c r="L313" i="1" s="1"/>
  <c r="E112" i="2" s="1"/>
  <c r="K307" i="1"/>
  <c r="L307" i="1" s="1"/>
  <c r="H307" i="1"/>
  <c r="J306" i="1"/>
  <c r="H147" i="1"/>
  <c r="H151" i="1"/>
  <c r="H146" i="1"/>
  <c r="E80" i="2" s="1"/>
  <c r="F492" i="1"/>
  <c r="K492" i="1" s="1"/>
  <c r="G233" i="1"/>
  <c r="G231" i="1"/>
  <c r="B39" i="12"/>
  <c r="B21" i="12"/>
  <c r="B12" i="12"/>
  <c r="B11" i="12"/>
  <c r="H513" i="1"/>
  <c r="F513" i="1"/>
  <c r="F523" i="1"/>
  <c r="F9" i="1"/>
  <c r="F19" i="1" s="1"/>
  <c r="G607" i="1" s="1"/>
  <c r="K228" i="1"/>
  <c r="J235" i="1"/>
  <c r="F14" i="13" s="1"/>
  <c r="J231" i="1"/>
  <c r="I231" i="1"/>
  <c r="I230" i="1"/>
  <c r="I228" i="1"/>
  <c r="H235" i="1"/>
  <c r="H232" i="1"/>
  <c r="H231" i="1"/>
  <c r="H230" i="1"/>
  <c r="H226" i="1"/>
  <c r="F235" i="1"/>
  <c r="F231" i="1"/>
  <c r="F230" i="1"/>
  <c r="L230" i="1" s="1"/>
  <c r="F228" i="1"/>
  <c r="G89" i="1"/>
  <c r="F94" i="1"/>
  <c r="F102" i="1"/>
  <c r="F93" i="1"/>
  <c r="I389" i="1"/>
  <c r="I388" i="1"/>
  <c r="H359" i="1"/>
  <c r="I352" i="1"/>
  <c r="H352" i="1"/>
  <c r="H354" i="1" s="1"/>
  <c r="F352" i="1"/>
  <c r="F354" i="1" s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G5" i="13"/>
  <c r="L189" i="1"/>
  <c r="L190" i="1"/>
  <c r="L191" i="1"/>
  <c r="L192" i="1"/>
  <c r="L207" i="1"/>
  <c r="L208" i="1"/>
  <c r="L209" i="1"/>
  <c r="L210" i="1"/>
  <c r="L226" i="1"/>
  <c r="C11" i="10" s="1"/>
  <c r="L227" i="1"/>
  <c r="C12" i="10" s="1"/>
  <c r="L228" i="1"/>
  <c r="C104" i="2" s="1"/>
  <c r="F6" i="13"/>
  <c r="G6" i="13"/>
  <c r="L194" i="1"/>
  <c r="D6" i="13" s="1"/>
  <c r="C6" i="13" s="1"/>
  <c r="L212" i="1"/>
  <c r="F7" i="13"/>
  <c r="G7" i="13"/>
  <c r="L195" i="1"/>
  <c r="D7" i="13" s="1"/>
  <c r="C7" i="13" s="1"/>
  <c r="L213" i="1"/>
  <c r="L221" i="1" s="1"/>
  <c r="G650" i="1" s="1"/>
  <c r="L231" i="1"/>
  <c r="F12" i="13"/>
  <c r="G12" i="13"/>
  <c r="L197" i="1"/>
  <c r="D12" i="13" s="1"/>
  <c r="C12" i="13" s="1"/>
  <c r="L215" i="1"/>
  <c r="L233" i="1"/>
  <c r="G14" i="13"/>
  <c r="L199" i="1"/>
  <c r="D14" i="13" s="1"/>
  <c r="C14" i="13" s="1"/>
  <c r="L217" i="1"/>
  <c r="C20" i="10" s="1"/>
  <c r="L235" i="1"/>
  <c r="F15" i="13"/>
  <c r="G15" i="13"/>
  <c r="L200" i="1"/>
  <c r="D15" i="13" s="1"/>
  <c r="C15" i="13" s="1"/>
  <c r="L218" i="1"/>
  <c r="L236" i="1"/>
  <c r="F17" i="13"/>
  <c r="G17" i="13"/>
  <c r="L243" i="1"/>
  <c r="C24" i="10" s="1"/>
  <c r="D17" i="13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G651" i="1" s="1"/>
  <c r="L352" i="1"/>
  <c r="H651" i="1" s="1"/>
  <c r="I359" i="1"/>
  <c r="J282" i="1"/>
  <c r="J301" i="1"/>
  <c r="J320" i="1"/>
  <c r="F31" i="13"/>
  <c r="K282" i="1"/>
  <c r="K301" i="1"/>
  <c r="L268" i="1"/>
  <c r="E101" i="2" s="1"/>
  <c r="L269" i="1"/>
  <c r="L282" i="1" s="1"/>
  <c r="L270" i="1"/>
  <c r="L271" i="1"/>
  <c r="L273" i="1"/>
  <c r="L274" i="1"/>
  <c r="L275" i="1"/>
  <c r="L276" i="1"/>
  <c r="L277" i="1"/>
  <c r="L278" i="1"/>
  <c r="L279" i="1"/>
  <c r="L280" i="1"/>
  <c r="E117" i="2" s="1"/>
  <c r="L287" i="1"/>
  <c r="L288" i="1"/>
  <c r="L289" i="1"/>
  <c r="L290" i="1"/>
  <c r="L292" i="1"/>
  <c r="L293" i="1"/>
  <c r="L294" i="1"/>
  <c r="L295" i="1"/>
  <c r="L296" i="1"/>
  <c r="L297" i="1"/>
  <c r="L298" i="1"/>
  <c r="E116" i="2" s="1"/>
  <c r="L299" i="1"/>
  <c r="L301" i="1"/>
  <c r="L308" i="1"/>
  <c r="L309" i="1"/>
  <c r="L311" i="1"/>
  <c r="L312" i="1"/>
  <c r="L314" i="1"/>
  <c r="L315" i="1"/>
  <c r="L316" i="1"/>
  <c r="L317" i="1"/>
  <c r="H652" i="1" s="1"/>
  <c r="L318" i="1"/>
  <c r="L325" i="1"/>
  <c r="L326" i="1"/>
  <c r="L327" i="1"/>
  <c r="L252" i="1"/>
  <c r="L253" i="1"/>
  <c r="H25" i="13" s="1"/>
  <c r="L333" i="1"/>
  <c r="C32" i="10" s="1"/>
  <c r="L334" i="1"/>
  <c r="E124" i="2" s="1"/>
  <c r="L247" i="1"/>
  <c r="L328" i="1"/>
  <c r="F22" i="13"/>
  <c r="C22" i="13"/>
  <c r="C11" i="13"/>
  <c r="C10" i="13"/>
  <c r="C9" i="13"/>
  <c r="L353" i="1"/>
  <c r="B4" i="12"/>
  <c r="B36" i="12"/>
  <c r="B40" i="12"/>
  <c r="A40" i="12" s="1"/>
  <c r="C40" i="12"/>
  <c r="B27" i="12"/>
  <c r="A31" i="12" s="1"/>
  <c r="C27" i="12"/>
  <c r="B31" i="12"/>
  <c r="C31" i="12"/>
  <c r="B9" i="12"/>
  <c r="B13" i="12"/>
  <c r="C13" i="12"/>
  <c r="B18" i="12"/>
  <c r="B22" i="12"/>
  <c r="C18" i="12"/>
  <c r="C22" i="12"/>
  <c r="A22" i="12"/>
  <c r="B1" i="12"/>
  <c r="L379" i="1"/>
  <c r="L380" i="1"/>
  <c r="L381" i="1"/>
  <c r="L385" i="1" s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/>
  <c r="G51" i="2"/>
  <c r="G53" i="2"/>
  <c r="G54" i="2" s="1"/>
  <c r="G55" i="2" s="1"/>
  <c r="F2" i="11"/>
  <c r="L603" i="1"/>
  <c r="H653" i="1"/>
  <c r="L602" i="1"/>
  <c r="L604" i="1" s="1"/>
  <c r="G653" i="1"/>
  <c r="L601" i="1"/>
  <c r="F653" i="1" s="1"/>
  <c r="I653" i="1" s="1"/>
  <c r="C40" i="10"/>
  <c r="F52" i="1"/>
  <c r="C35" i="10" s="1"/>
  <c r="G52" i="1"/>
  <c r="G104" i="1" s="1"/>
  <c r="H52" i="1"/>
  <c r="I52" i="1"/>
  <c r="F48" i="2" s="1"/>
  <c r="F55" i="2" s="1"/>
  <c r="F71" i="1"/>
  <c r="C49" i="2" s="1"/>
  <c r="F86" i="1"/>
  <c r="C50" i="2" s="1"/>
  <c r="F103" i="1"/>
  <c r="F104" i="1"/>
  <c r="G103" i="1"/>
  <c r="H71" i="1"/>
  <c r="H86" i="1"/>
  <c r="H103" i="1"/>
  <c r="H104" i="1" s="1"/>
  <c r="I103" i="1"/>
  <c r="J103" i="1"/>
  <c r="J104" i="1"/>
  <c r="J185" i="1" s="1"/>
  <c r="C37" i="10"/>
  <c r="F113" i="1"/>
  <c r="F128" i="1"/>
  <c r="F132" i="1"/>
  <c r="G113" i="1"/>
  <c r="G128" i="1"/>
  <c r="G132" i="1" s="1"/>
  <c r="C38" i="10" s="1"/>
  <c r="H113" i="1"/>
  <c r="H132" i="1" s="1"/>
  <c r="H128" i="1"/>
  <c r="I113" i="1"/>
  <c r="I128" i="1"/>
  <c r="I132" i="1"/>
  <c r="J113" i="1"/>
  <c r="J128" i="1"/>
  <c r="J132" i="1"/>
  <c r="F139" i="1"/>
  <c r="F154" i="1"/>
  <c r="F161" i="1"/>
  <c r="C39" i="10" s="1"/>
  <c r="G139" i="1"/>
  <c r="G154" i="1"/>
  <c r="G161" i="1"/>
  <c r="H139" i="1"/>
  <c r="H161" i="1" s="1"/>
  <c r="H154" i="1"/>
  <c r="I139" i="1"/>
  <c r="I154" i="1"/>
  <c r="I161" i="1"/>
  <c r="C18" i="10"/>
  <c r="C21" i="10"/>
  <c r="L242" i="1"/>
  <c r="L324" i="1"/>
  <c r="C23" i="10"/>
  <c r="L246" i="1"/>
  <c r="L260" i="1"/>
  <c r="C134" i="2" s="1"/>
  <c r="L261" i="1"/>
  <c r="L341" i="1"/>
  <c r="L342" i="1"/>
  <c r="E135" i="2" s="1"/>
  <c r="C26" i="10"/>
  <c r="I655" i="1"/>
  <c r="I660" i="1"/>
  <c r="F652" i="1"/>
  <c r="I659" i="1"/>
  <c r="C5" i="10"/>
  <c r="C4" i="10"/>
  <c r="C42" i="10"/>
  <c r="L366" i="1"/>
  <c r="L367" i="1"/>
  <c r="L368" i="1"/>
  <c r="F122" i="2" s="1"/>
  <c r="F136" i="2" s="1"/>
  <c r="L369" i="1"/>
  <c r="L370" i="1"/>
  <c r="L371" i="1"/>
  <c r="L372" i="1"/>
  <c r="C29" i="10"/>
  <c r="B2" i="10"/>
  <c r="L336" i="1"/>
  <c r="L337" i="1"/>
  <c r="L338" i="1"/>
  <c r="L339" i="1"/>
  <c r="K343" i="1"/>
  <c r="L511" i="1"/>
  <c r="F539" i="1"/>
  <c r="L512" i="1"/>
  <c r="F540" i="1"/>
  <c r="L513" i="1"/>
  <c r="F541" i="1" s="1"/>
  <c r="L516" i="1"/>
  <c r="G539" i="1"/>
  <c r="G542" i="1" s="1"/>
  <c r="L517" i="1"/>
  <c r="L519" i="1" s="1"/>
  <c r="G540" i="1"/>
  <c r="L518" i="1"/>
  <c r="G541" i="1" s="1"/>
  <c r="L521" i="1"/>
  <c r="H539" i="1"/>
  <c r="L522" i="1"/>
  <c r="H540" i="1" s="1"/>
  <c r="L523" i="1"/>
  <c r="L524" i="1" s="1"/>
  <c r="L526" i="1"/>
  <c r="I539" i="1"/>
  <c r="L527" i="1"/>
  <c r="I540" i="1" s="1"/>
  <c r="L528" i="1"/>
  <c r="I541" i="1"/>
  <c r="L531" i="1"/>
  <c r="J539" i="1" s="1"/>
  <c r="L532" i="1"/>
  <c r="L534" i="1" s="1"/>
  <c r="L533" i="1"/>
  <c r="J541" i="1"/>
  <c r="K262" i="1"/>
  <c r="J262" i="1"/>
  <c r="I262" i="1"/>
  <c r="H262" i="1"/>
  <c r="G262" i="1"/>
  <c r="F262" i="1"/>
  <c r="L262" i="1" s="1"/>
  <c r="C124" i="2"/>
  <c r="C123" i="2"/>
  <c r="A1" i="2"/>
  <c r="A2" i="2"/>
  <c r="D9" i="2"/>
  <c r="E9" i="2"/>
  <c r="E19" i="2" s="1"/>
  <c r="F9" i="2"/>
  <c r="F19" i="2" s="1"/>
  <c r="I431" i="1"/>
  <c r="J9" i="1"/>
  <c r="J19" i="1" s="1"/>
  <c r="G611" i="1" s="1"/>
  <c r="G9" i="2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I438" i="1" s="1"/>
  <c r="G632" i="1" s="1"/>
  <c r="J12" i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D19" i="2"/>
  <c r="C22" i="2"/>
  <c r="D22" i="2"/>
  <c r="E22" i="2"/>
  <c r="F22" i="2"/>
  <c r="I440" i="1"/>
  <c r="J23" i="1"/>
  <c r="G22" i="2"/>
  <c r="G32" i="2" s="1"/>
  <c r="C23" i="2"/>
  <c r="C32" i="2" s="1"/>
  <c r="D23" i="2"/>
  <c r="D32" i="2" s="1"/>
  <c r="E23" i="2"/>
  <c r="F23" i="2"/>
  <c r="I441" i="1"/>
  <c r="J24" i="1"/>
  <c r="G23" i="2" s="1"/>
  <c r="C24" i="2"/>
  <c r="D24" i="2"/>
  <c r="E24" i="2"/>
  <c r="E32" i="2" s="1"/>
  <c r="F24" i="2"/>
  <c r="I442" i="1"/>
  <c r="I444" i="1" s="1"/>
  <c r="J25" i="1"/>
  <c r="J33" i="1" s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F32" i="2" s="1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C43" i="2" s="1"/>
  <c r="D34" i="2"/>
  <c r="D42" i="2" s="1"/>
  <c r="D43" i="2" s="1"/>
  <c r="E34" i="2"/>
  <c r="E42" i="2" s="1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 s="1"/>
  <c r="G37" i="2" s="1"/>
  <c r="C38" i="2"/>
  <c r="D38" i="2"/>
  <c r="E38" i="2"/>
  <c r="F38" i="2"/>
  <c r="I448" i="1"/>
  <c r="I450" i="1" s="1"/>
  <c r="J40" i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C48" i="2"/>
  <c r="D48" i="2"/>
  <c r="D55" i="2" s="1"/>
  <c r="E48" i="2"/>
  <c r="E49" i="2"/>
  <c r="E50" i="2"/>
  <c r="C51" i="2"/>
  <c r="D51" i="2"/>
  <c r="E51" i="2"/>
  <c r="E54" i="2" s="1"/>
  <c r="E55" i="2" s="1"/>
  <c r="F51" i="2"/>
  <c r="F54" i="2" s="1"/>
  <c r="D52" i="2"/>
  <c r="D54" i="2" s="1"/>
  <c r="C53" i="2"/>
  <c r="D53" i="2"/>
  <c r="E53" i="2"/>
  <c r="F53" i="2"/>
  <c r="C58" i="2"/>
  <c r="C62" i="2" s="1"/>
  <c r="C59" i="2"/>
  <c r="C61" i="2"/>
  <c r="D61" i="2"/>
  <c r="E61" i="2"/>
  <c r="F61" i="2"/>
  <c r="G61" i="2"/>
  <c r="D62" i="2"/>
  <c r="E62" i="2"/>
  <c r="F62" i="2"/>
  <c r="G62" i="2"/>
  <c r="C64" i="2"/>
  <c r="C70" i="2" s="1"/>
  <c r="F64" i="2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F70" i="2" s="1"/>
  <c r="F73" i="2" s="1"/>
  <c r="G69" i="2"/>
  <c r="G70" i="2"/>
  <c r="G73" i="2" s="1"/>
  <c r="C71" i="2"/>
  <c r="D71" i="2"/>
  <c r="E71" i="2"/>
  <c r="C72" i="2"/>
  <c r="E72" i="2"/>
  <c r="C77" i="2"/>
  <c r="D77" i="2"/>
  <c r="F77" i="2"/>
  <c r="C79" i="2"/>
  <c r="E79" i="2"/>
  <c r="F79" i="2"/>
  <c r="C80" i="2"/>
  <c r="C83" i="2" s="1"/>
  <c r="D80" i="2"/>
  <c r="F80" i="2"/>
  <c r="C81" i="2"/>
  <c r="D81" i="2"/>
  <c r="E81" i="2"/>
  <c r="F81" i="2"/>
  <c r="C82" i="2"/>
  <c r="D83" i="2"/>
  <c r="F83" i="2"/>
  <c r="C85" i="2"/>
  <c r="F85" i="2"/>
  <c r="F95" i="2" s="1"/>
  <c r="C86" i="2"/>
  <c r="F86" i="2"/>
  <c r="D88" i="2"/>
  <c r="E88" i="2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C102" i="2"/>
  <c r="C103" i="2"/>
  <c r="E103" i="2"/>
  <c r="E104" i="2"/>
  <c r="C105" i="2"/>
  <c r="E105" i="2"/>
  <c r="E106" i="2"/>
  <c r="D107" i="2"/>
  <c r="F107" i="2"/>
  <c r="G107" i="2"/>
  <c r="E110" i="2"/>
  <c r="E111" i="2"/>
  <c r="E120" i="2" s="1"/>
  <c r="C112" i="2"/>
  <c r="C113" i="2"/>
  <c r="E113" i="2"/>
  <c r="E114" i="2"/>
  <c r="E115" i="2"/>
  <c r="C116" i="2"/>
  <c r="C117" i="2"/>
  <c r="F120" i="2"/>
  <c r="G120" i="2"/>
  <c r="C122" i="2"/>
  <c r="E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 s="1"/>
  <c r="L257" i="1"/>
  <c r="C129" i="2"/>
  <c r="E129" i="2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F490" i="1"/>
  <c r="B153" i="2"/>
  <c r="G153" i="2" s="1"/>
  <c r="G490" i="1"/>
  <c r="C153" i="2"/>
  <c r="H490" i="1"/>
  <c r="D153" i="2" s="1"/>
  <c r="I490" i="1"/>
  <c r="E153" i="2"/>
  <c r="J490" i="1"/>
  <c r="F153" i="2"/>
  <c r="B154" i="2"/>
  <c r="C154" i="2"/>
  <c r="D154" i="2"/>
  <c r="E154" i="2"/>
  <c r="F154" i="2"/>
  <c r="G154" i="2"/>
  <c r="C155" i="2"/>
  <c r="D155" i="2"/>
  <c r="E155" i="2"/>
  <c r="F155" i="2"/>
  <c r="G493" i="1"/>
  <c r="C156" i="2"/>
  <c r="H493" i="1"/>
  <c r="D156" i="2"/>
  <c r="I493" i="1"/>
  <c r="E156" i="2"/>
  <c r="J493" i="1"/>
  <c r="F156" i="2"/>
  <c r="G19" i="1"/>
  <c r="H19" i="1"/>
  <c r="I19" i="1"/>
  <c r="F33" i="1"/>
  <c r="G33" i="1"/>
  <c r="H33" i="1"/>
  <c r="I33" i="1"/>
  <c r="F43" i="1"/>
  <c r="F44" i="1" s="1"/>
  <c r="H607" i="1" s="1"/>
  <c r="G43" i="1"/>
  <c r="G44" i="1" s="1"/>
  <c r="H608" i="1" s="1"/>
  <c r="H43" i="1"/>
  <c r="I43" i="1"/>
  <c r="H44" i="1"/>
  <c r="I44" i="1"/>
  <c r="H610" i="1" s="1"/>
  <c r="J610" i="1" s="1"/>
  <c r="F169" i="1"/>
  <c r="F184" i="1" s="1"/>
  <c r="I169" i="1"/>
  <c r="F175" i="1"/>
  <c r="G175" i="1"/>
  <c r="G184" i="1" s="1"/>
  <c r="H175" i="1"/>
  <c r="I175" i="1"/>
  <c r="J175" i="1"/>
  <c r="F180" i="1"/>
  <c r="G180" i="1"/>
  <c r="H180" i="1"/>
  <c r="I180" i="1"/>
  <c r="H184" i="1"/>
  <c r="I184" i="1"/>
  <c r="J184" i="1"/>
  <c r="F203" i="1"/>
  <c r="G203" i="1"/>
  <c r="H203" i="1"/>
  <c r="I203" i="1"/>
  <c r="J203" i="1"/>
  <c r="K203" i="1"/>
  <c r="F221" i="1"/>
  <c r="G221" i="1"/>
  <c r="H221" i="1"/>
  <c r="I221" i="1"/>
  <c r="J221" i="1"/>
  <c r="K221" i="1"/>
  <c r="H239" i="1"/>
  <c r="I239" i="1"/>
  <c r="K239" i="1"/>
  <c r="F248" i="1"/>
  <c r="L248" i="1" s="1"/>
  <c r="G248" i="1"/>
  <c r="H248" i="1"/>
  <c r="I248" i="1"/>
  <c r="J248" i="1"/>
  <c r="K248" i="1"/>
  <c r="H249" i="1"/>
  <c r="H263" i="1" s="1"/>
  <c r="I249" i="1"/>
  <c r="I263" i="1" s="1"/>
  <c r="K249" i="1"/>
  <c r="K263" i="1" s="1"/>
  <c r="F282" i="1"/>
  <c r="F330" i="1" s="1"/>
  <c r="F344" i="1" s="1"/>
  <c r="G282" i="1"/>
  <c r="G330" i="1" s="1"/>
  <c r="G344" i="1" s="1"/>
  <c r="H282" i="1"/>
  <c r="H330" i="1" s="1"/>
  <c r="H344" i="1" s="1"/>
  <c r="I282" i="1"/>
  <c r="F301" i="1"/>
  <c r="G301" i="1"/>
  <c r="H301" i="1"/>
  <c r="I301" i="1"/>
  <c r="I330" i="1" s="1"/>
  <c r="I344" i="1" s="1"/>
  <c r="F320" i="1"/>
  <c r="G320" i="1"/>
  <c r="H320" i="1"/>
  <c r="I320" i="1"/>
  <c r="F329" i="1"/>
  <c r="L329" i="1" s="1"/>
  <c r="G329" i="1"/>
  <c r="H329" i="1"/>
  <c r="I329" i="1"/>
  <c r="J329" i="1"/>
  <c r="K329" i="1"/>
  <c r="J330" i="1"/>
  <c r="J344" i="1" s="1"/>
  <c r="G354" i="1"/>
  <c r="I354" i="1"/>
  <c r="G624" i="1" s="1"/>
  <c r="J624" i="1" s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J635" i="1" s="1"/>
  <c r="H393" i="1"/>
  <c r="I393" i="1"/>
  <c r="I400" i="1" s="1"/>
  <c r="F399" i="1"/>
  <c r="G399" i="1"/>
  <c r="H399" i="1"/>
  <c r="H400" i="1" s="1"/>
  <c r="H634" i="1" s="1"/>
  <c r="J634" i="1" s="1"/>
  <c r="I399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G426" i="1" s="1"/>
  <c r="H425" i="1"/>
  <c r="I425" i="1"/>
  <c r="J425" i="1"/>
  <c r="H426" i="1"/>
  <c r="J426" i="1"/>
  <c r="F438" i="1"/>
  <c r="G629" i="1" s="1"/>
  <c r="J629" i="1" s="1"/>
  <c r="G438" i="1"/>
  <c r="G630" i="1" s="1"/>
  <c r="H438" i="1"/>
  <c r="F444" i="1"/>
  <c r="G444" i="1"/>
  <c r="H444" i="1"/>
  <c r="H451" i="1" s="1"/>
  <c r="H631" i="1" s="1"/>
  <c r="J631" i="1" s="1"/>
  <c r="F450" i="1"/>
  <c r="G450" i="1"/>
  <c r="H450" i="1"/>
  <c r="F451" i="1"/>
  <c r="G451" i="1"/>
  <c r="H630" i="1" s="1"/>
  <c r="F460" i="1"/>
  <c r="F466" i="1" s="1"/>
  <c r="H612" i="1" s="1"/>
  <c r="G460" i="1"/>
  <c r="G466" i="1" s="1"/>
  <c r="H613" i="1" s="1"/>
  <c r="H460" i="1"/>
  <c r="H466" i="1" s="1"/>
  <c r="H614" i="1" s="1"/>
  <c r="J614" i="1" s="1"/>
  <c r="I460" i="1"/>
  <c r="I466" i="1" s="1"/>
  <c r="H615" i="1" s="1"/>
  <c r="J615" i="1" s="1"/>
  <c r="J460" i="1"/>
  <c r="J466" i="1" s="1"/>
  <c r="H616" i="1" s="1"/>
  <c r="F464" i="1"/>
  <c r="G464" i="1"/>
  <c r="H464" i="1"/>
  <c r="I464" i="1"/>
  <c r="J464" i="1"/>
  <c r="K485" i="1"/>
  <c r="K486" i="1"/>
  <c r="K487" i="1"/>
  <c r="K488" i="1"/>
  <c r="K489" i="1"/>
  <c r="K490" i="1"/>
  <c r="K491" i="1"/>
  <c r="F507" i="1"/>
  <c r="G507" i="1"/>
  <c r="H507" i="1"/>
  <c r="I507" i="1"/>
  <c r="F514" i="1"/>
  <c r="F535" i="1" s="1"/>
  <c r="G514" i="1"/>
  <c r="H514" i="1"/>
  <c r="H535" i="1" s="1"/>
  <c r="I514" i="1"/>
  <c r="I535" i="1" s="1"/>
  <c r="J514" i="1"/>
  <c r="J535" i="1" s="1"/>
  <c r="K514" i="1"/>
  <c r="K535" i="1" s="1"/>
  <c r="L514" i="1"/>
  <c r="F519" i="1"/>
  <c r="G519" i="1"/>
  <c r="H519" i="1"/>
  <c r="I519" i="1"/>
  <c r="J519" i="1"/>
  <c r="K519" i="1"/>
  <c r="F524" i="1"/>
  <c r="G524" i="1"/>
  <c r="G535" i="1" s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48" i="1"/>
  <c r="L549" i="1"/>
  <c r="F550" i="1"/>
  <c r="G550" i="1"/>
  <c r="G561" i="1" s="1"/>
  <c r="H550" i="1"/>
  <c r="I550" i="1"/>
  <c r="J550" i="1"/>
  <c r="K550" i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F561" i="1" s="1"/>
  <c r="G560" i="1"/>
  <c r="H560" i="1"/>
  <c r="I560" i="1"/>
  <c r="J560" i="1"/>
  <c r="K560" i="1"/>
  <c r="H561" i="1"/>
  <c r="I561" i="1"/>
  <c r="J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J639" i="1" s="1"/>
  <c r="I588" i="1"/>
  <c r="H640" i="1" s="1"/>
  <c r="J588" i="1"/>
  <c r="H641" i="1" s="1"/>
  <c r="J641" i="1" s="1"/>
  <c r="K592" i="1"/>
  <c r="K593" i="1"/>
  <c r="K594" i="1"/>
  <c r="K595" i="1" s="1"/>
  <c r="G638" i="1" s="1"/>
  <c r="H595" i="1"/>
  <c r="I595" i="1"/>
  <c r="J595" i="1"/>
  <c r="F604" i="1"/>
  <c r="G604" i="1"/>
  <c r="H604" i="1"/>
  <c r="I604" i="1"/>
  <c r="J604" i="1"/>
  <c r="K604" i="1"/>
  <c r="G608" i="1"/>
  <c r="G609" i="1"/>
  <c r="H609" i="1"/>
  <c r="J609" i="1"/>
  <c r="G610" i="1"/>
  <c r="G614" i="1"/>
  <c r="G615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G631" i="1"/>
  <c r="G633" i="1"/>
  <c r="G634" i="1"/>
  <c r="G635" i="1"/>
  <c r="H637" i="1"/>
  <c r="G639" i="1"/>
  <c r="G640" i="1"/>
  <c r="G641" i="1"/>
  <c r="G642" i="1"/>
  <c r="H642" i="1"/>
  <c r="J642" i="1"/>
  <c r="G643" i="1"/>
  <c r="H643" i="1"/>
  <c r="J643" i="1"/>
  <c r="G644" i="1"/>
  <c r="J644" i="1" s="1"/>
  <c r="H644" i="1"/>
  <c r="G645" i="1"/>
  <c r="H645" i="1"/>
  <c r="J645" i="1"/>
  <c r="L400" i="1" l="1"/>
  <c r="C130" i="2"/>
  <c r="C110" i="2"/>
  <c r="C15" i="10"/>
  <c r="J608" i="1"/>
  <c r="I451" i="1"/>
  <c r="H632" i="1" s="1"/>
  <c r="J542" i="1"/>
  <c r="K539" i="1"/>
  <c r="L535" i="1"/>
  <c r="F185" i="1"/>
  <c r="G617" i="1" s="1"/>
  <c r="J617" i="1" s="1"/>
  <c r="K541" i="1"/>
  <c r="F542" i="1"/>
  <c r="C54" i="2"/>
  <c r="G96" i="2"/>
  <c r="G42" i="2"/>
  <c r="G43" i="2" s="1"/>
  <c r="E43" i="2"/>
  <c r="J632" i="1"/>
  <c r="I542" i="1"/>
  <c r="F96" i="2"/>
  <c r="C73" i="2"/>
  <c r="D96" i="2"/>
  <c r="J43" i="1"/>
  <c r="G19" i="2"/>
  <c r="G636" i="1"/>
  <c r="G621" i="1"/>
  <c r="J621" i="1" s="1"/>
  <c r="H33" i="13"/>
  <c r="C25" i="13"/>
  <c r="C55" i="2"/>
  <c r="C96" i="2" s="1"/>
  <c r="G185" i="1"/>
  <c r="G618" i="1" s="1"/>
  <c r="J618" i="1" s="1"/>
  <c r="L330" i="1"/>
  <c r="L344" i="1" s="1"/>
  <c r="G623" i="1" s="1"/>
  <c r="J623" i="1" s="1"/>
  <c r="H542" i="1"/>
  <c r="C36" i="10"/>
  <c r="C133" i="2"/>
  <c r="E33" i="13"/>
  <c r="D35" i="13" s="1"/>
  <c r="C8" i="13"/>
  <c r="L320" i="1"/>
  <c r="C136" i="2"/>
  <c r="G137" i="2"/>
  <c r="H185" i="1"/>
  <c r="G619" i="1" s="1"/>
  <c r="J619" i="1" s="1"/>
  <c r="J607" i="1"/>
  <c r="J630" i="1"/>
  <c r="F137" i="2"/>
  <c r="J640" i="1"/>
  <c r="L561" i="1"/>
  <c r="G613" i="1"/>
  <c r="J613" i="1" s="1"/>
  <c r="L529" i="1"/>
  <c r="J239" i="1"/>
  <c r="J249" i="1" s="1"/>
  <c r="C19" i="10"/>
  <c r="C115" i="2"/>
  <c r="C114" i="2"/>
  <c r="K320" i="1"/>
  <c r="L225" i="1"/>
  <c r="E102" i="2"/>
  <c r="E107" i="2" s="1"/>
  <c r="E137" i="2" s="1"/>
  <c r="B155" i="2"/>
  <c r="G155" i="2" s="1"/>
  <c r="J540" i="1"/>
  <c r="K540" i="1" s="1"/>
  <c r="H541" i="1"/>
  <c r="G652" i="1"/>
  <c r="I652" i="1" s="1"/>
  <c r="L203" i="1"/>
  <c r="C17" i="10"/>
  <c r="I104" i="1"/>
  <c r="I185" i="1" s="1"/>
  <c r="G620" i="1" s="1"/>
  <c r="J620" i="1" s="1"/>
  <c r="G612" i="1"/>
  <c r="J612" i="1" s="1"/>
  <c r="G239" i="1"/>
  <c r="G249" i="1" s="1"/>
  <c r="G263" i="1" s="1"/>
  <c r="E77" i="2"/>
  <c r="E83" i="2" s="1"/>
  <c r="E96" i="2" s="1"/>
  <c r="L343" i="1"/>
  <c r="C16" i="10"/>
  <c r="F239" i="1"/>
  <c r="F249" i="1" s="1"/>
  <c r="F263" i="1" s="1"/>
  <c r="C106" i="2"/>
  <c r="C25" i="10"/>
  <c r="F33" i="13"/>
  <c r="D119" i="2"/>
  <c r="D120" i="2" s="1"/>
  <c r="D137" i="2" s="1"/>
  <c r="E123" i="2"/>
  <c r="E136" i="2" s="1"/>
  <c r="C13" i="10"/>
  <c r="C9" i="2"/>
  <c r="C19" i="2" s="1"/>
  <c r="C111" i="2"/>
  <c r="F651" i="1"/>
  <c r="I651" i="1" s="1"/>
  <c r="L354" i="1"/>
  <c r="F493" i="1"/>
  <c r="L374" i="1"/>
  <c r="G626" i="1" s="1"/>
  <c r="J626" i="1" s="1"/>
  <c r="H638" i="1" l="1"/>
  <c r="J638" i="1" s="1"/>
  <c r="J263" i="1"/>
  <c r="L249" i="1"/>
  <c r="L263" i="1" s="1"/>
  <c r="G622" i="1" s="1"/>
  <c r="J622" i="1" s="1"/>
  <c r="F650" i="1"/>
  <c r="K542" i="1"/>
  <c r="G616" i="1"/>
  <c r="J616" i="1" s="1"/>
  <c r="J44" i="1"/>
  <c r="H611" i="1" s="1"/>
  <c r="J611" i="1" s="1"/>
  <c r="K493" i="1"/>
  <c r="B156" i="2"/>
  <c r="G156" i="2" s="1"/>
  <c r="C27" i="10"/>
  <c r="G625" i="1"/>
  <c r="J625" i="1" s="1"/>
  <c r="C10" i="10"/>
  <c r="L239" i="1"/>
  <c r="H650" i="1" s="1"/>
  <c r="H654" i="1" s="1"/>
  <c r="C101" i="2"/>
  <c r="C107" i="2" s="1"/>
  <c r="G654" i="1"/>
  <c r="D5" i="13"/>
  <c r="C120" i="2"/>
  <c r="G31" i="13"/>
  <c r="G33" i="13" s="1"/>
  <c r="K330" i="1"/>
  <c r="K344" i="1" s="1"/>
  <c r="G627" i="1"/>
  <c r="J627" i="1" s="1"/>
  <c r="H636" i="1"/>
  <c r="D36" i="10"/>
  <c r="C41" i="10"/>
  <c r="J636" i="1"/>
  <c r="C5" i="13" l="1"/>
  <c r="D33" i="13"/>
  <c r="D36" i="13" s="1"/>
  <c r="D40" i="10"/>
  <c r="D39" i="10"/>
  <c r="D38" i="10"/>
  <c r="D37" i="10"/>
  <c r="D35" i="10"/>
  <c r="C137" i="2"/>
  <c r="G662" i="1"/>
  <c r="G657" i="1"/>
  <c r="H646" i="1"/>
  <c r="H662" i="1"/>
  <c r="C6" i="10" s="1"/>
  <c r="H657" i="1"/>
  <c r="I650" i="1"/>
  <c r="I654" i="1" s="1"/>
  <c r="F654" i="1"/>
  <c r="D10" i="10"/>
  <c r="C28" i="10"/>
  <c r="D27" i="10" s="1"/>
  <c r="D31" i="13"/>
  <c r="C31" i="13" s="1"/>
  <c r="D41" i="10" l="1"/>
  <c r="C30" i="10"/>
  <c r="D23" i="10"/>
  <c r="D22" i="10"/>
  <c r="D18" i="10"/>
  <c r="D20" i="10"/>
  <c r="D21" i="10"/>
  <c r="D11" i="10"/>
  <c r="D28" i="10" s="1"/>
  <c r="D24" i="10"/>
  <c r="D12" i="10"/>
  <c r="D26" i="10"/>
  <c r="D16" i="10"/>
  <c r="D17" i="10"/>
  <c r="D15" i="10"/>
  <c r="D13" i="10"/>
  <c r="D19" i="10"/>
  <c r="D25" i="10"/>
  <c r="F657" i="1"/>
  <c r="F662" i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16D4811-4075-443C-B5DA-7B8C21781717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0351947-D0B2-4636-B328-6BFB3624DBE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2FA25DE-A265-4C3E-A086-53A219C2A0CA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C0662B1B-3B94-4247-9DBB-74DE4F1B234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5D000500-AD83-4961-8DD0-7F648BFC0C1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8753707-BED7-4420-83D1-D7B8AD68A87C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CA195DE0-1BF0-49DE-9335-887C3626455C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94BEFAE-E3E2-4615-8C65-5F82E082442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2A81EAA7-BDFF-4467-96BE-F5A88D88EAA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52FF9DFB-68EC-455F-9082-0E8CF0685577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E3812CEC-50A4-4F7B-AC72-6D79FBC5965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B50D1DF-96EC-44E7-BD1F-93EAC10F2640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<sst xmlns="http://schemas.openxmlformats.org/spreadsheetml/2006/main" count="3860" uniqueCount="897">
  <si>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</si>
  <si>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</si>
  <si>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</si>
  <si>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</si>
  <si>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</si>
  <si>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</si>
  <si>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</si>
  <si>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</si>
  <si>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</si>
  <si>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</si>
  <si>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</si>
  <si>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</si>
  <si>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</si>
  <si>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</si>
  <si>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</si>
  <si>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</si>
  <si>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</si>
  <si>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</si>
  <si>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</si>
  <si>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</si>
  <si>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</si>
  <si>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</si>
  <si>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</si>
  <si>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</si>
  <si>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</si>
  <si>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</si>
  <si>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</si>
  <si>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</si>
  <si>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</si>
  <si>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</si>
  <si>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</si>
  <si>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</si>
  <si>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</si>
  <si>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</si>
  <si>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</si>
  <si>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</si>
  <si>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</si>
  <si>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</si>
  <si>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</si>
  <si>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</si>
  <si>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</si>
  <si>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</si>
  <si>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</si>
  <si>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</si>
  <si>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</si>
  <si>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</si>
  <si>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</si>
  <si>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</si>
  <si>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</si>
  <si>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</si>
  <si>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</si>
  <si>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</si>
  <si>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</si>
  <si>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</si>
  <si>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</si>
  <si>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</si>
  <si>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</si>
  <si>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</si>
  <si>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</si>
  <si>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</si>
  <si>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</si>
  <si>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</si>
  <si>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</si>
  <si>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</si>
  <si>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</si>
  <si>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</si>
  <si>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</si>
  <si>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</si>
  <si>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</si>
  <si>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</si>
  <si>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</si>
  <si>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</si>
  <si>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</si>
  <si>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</si>
  <si>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</si>
  <si>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</si>
  <si>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</si>
  <si>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</si>
  <si>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</si>
  <si>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</si>
  <si>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</si>
  <si>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</si>
  <si>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</si>
  <si>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</si>
  <si>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</si>
  <si>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</si>
  <si>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</si>
  <si>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</si>
  <si>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</si>
  <si>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</si>
  <si>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</si>
  <si>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</si>
  <si>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</si>
  <si>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</si>
  <si>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</si>
  <si>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</si>
  <si>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</si>
  <si>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</si>
  <si>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</si>
  <si>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</si>
  <si>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</si>
  <si>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</si>
  <si>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</si>
  <si>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</si>
  <si>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</si>
  <si>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</si>
  <si>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</si>
  <si>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</si>
  <si>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</si>
  <si>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</si>
  <si>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</si>
  <si>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</si>
  <si>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</si>
  <si>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</si>
  <si>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</si>
  <si>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</si>
  <si>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</si>
  <si>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</si>
  <si>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</si>
  <si>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</si>
  <si>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</si>
  <si>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</si>
  <si>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</si>
  <si>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</si>
  <si>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</si>
  <si>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</si>
  <si>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</si>
  <si>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</si>
  <si>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</si>
  <si>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</si>
  <si>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</si>
  <si>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</si>
  <si>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</si>
  <si>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</si>
  <si>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</si>
  <si>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</si>
  <si>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</si>
  <si>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</si>
  <si>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</si>
  <si>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</si>
  <si>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</si>
  <si>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</si>
  <si>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</si>
  <si>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</si>
  <si>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</si>
  <si>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</si>
  <si>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</si>
  <si>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</si>
  <si>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</si>
  <si>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</si>
  <si>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</si>
  <si>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</si>
  <si>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</si>
  <si>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</si>
  <si>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</si>
  <si>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</si>
  <si>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</si>
  <si>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</si>
  <si>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</si>
  <si>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</si>
  <si>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</si>
  <si>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</si>
  <si>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</si>
  <si>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</si>
  <si>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</si>
  <si>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</si>
  <si>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</si>
  <si>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</si>
  <si>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</si>
  <si>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</si>
  <si>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</si>
  <si>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</si>
  <si>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</si>
  <si>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</si>
  <si>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</si>
  <si>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</si>
  <si>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</si>
  <si>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</si>
  <si>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</si>
  <si>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</si>
  <si>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</si>
  <si>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</si>
  <si>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</si>
  <si>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</si>
  <si>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</si>
  <si>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</si>
  <si>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</si>
  <si>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</si>
  <si>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</si>
  <si>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</si>
  <si>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</si>
  <si>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</si>
  <si>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</si>
  <si>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</si>
  <si>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</si>
  <si>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</si>
  <si>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</si>
  <si>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</si>
  <si>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</si>
  <si>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</si>
  <si>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</si>
  <si>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</si>
  <si>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</si>
  <si>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</si>
  <si>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</si>
  <si>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</si>
  <si>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</si>
  <si>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</si>
  <si>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</si>
  <si>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</si>
  <si>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</si>
  <si>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</si>
  <si>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</si>
  <si>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</si>
  <si>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</si>
  <si>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</si>
  <si>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</si>
  <si>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</si>
  <si>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</si>
  <si>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</si>
  <si>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</si>
  <si>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</si>
  <si>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</si>
  <si>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</si>
  <si>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</si>
  <si>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</si>
  <si>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</si>
  <si>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</si>
  <si>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</si>
  <si>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</si>
  <si>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</si>
  <si>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</si>
  <si>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</si>
  <si>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</si>
  <si>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</si>
  <si>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</si>
  <si>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</si>
  <si>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</si>
  <si>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</si>
  <si>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</si>
  <si>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</si>
  <si>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</si>
  <si>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</si>
  <si>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</si>
  <si>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</si>
  <si>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</si>
  <si>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</si>
  <si>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</si>
  <si>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</si>
  <si>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</si>
  <si>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</si>
  <si>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</si>
  <si>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</si>
  <si>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</si>
  <si>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</si>
  <si>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</si>
  <si>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</si>
  <si>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</si>
  <si>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</si>
  <si>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</si>
  <si>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</si>
  <si>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</si>
  <si>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</si>
  <si>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</si>
  <si>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</si>
  <si>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</si>
  <si>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</si>
  <si>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</si>
  <si>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</si>
  <si>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</si>
  <si>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</si>
  <si>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</si>
  <si>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</si>
  <si>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</si>
  <si>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</si>
  <si>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</si>
  <si>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</si>
  <si>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</si>
  <si>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</si>
  <si>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</si>
  <si>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</si>
  <si>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</si>
  <si>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</si>
  <si>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</si>
  <si>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</si>
  <si>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</si>
  <si>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</si>
  <si>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</si>
  <si>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</si>
  <si>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</si>
  <si>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</si>
  <si>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</si>
  <si>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</si>
  <si>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</si>
  <si>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</si>
  <si>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</si>
  <si>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</si>
  <si>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</si>
  <si>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</si>
  <si>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</si>
  <si>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</si>
  <si>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</si>
  <si>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</si>
  <si>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</si>
  <si>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</si>
  <si>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</si>
  <si>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</si>
  <si>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</si>
  <si>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</si>
  <si>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</si>
  <si>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</si>
  <si>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</si>
  <si>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</si>
  <si>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</si>
  <si>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</si>
  <si>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</si>
  <si>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</si>
  <si>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</si>
  <si>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</si>
  <si>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</si>
  <si>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</si>
  <si>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</si>
  <si>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</si>
  <si>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</si>
  <si>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</si>
  <si>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</si>
  <si>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</si>
  <si>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</si>
  <si>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</si>
  <si>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</si>
  <si>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</si>
  <si>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</si>
  <si>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</si>
  <si>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</si>
  <si>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</si>
  <si>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</si>
  <si>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</si>
  <si>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</si>
  <si>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</si>
  <si>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</si>
  <si>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</si>
  <si>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</si>
  <si>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</si>
  <si>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</si>
  <si>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</si>
  <si>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</si>
  <si>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</si>
  <si>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</si>
  <si>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</si>
  <si>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</si>
  <si>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</si>
  <si>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</si>
  <si>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</si>
  <si>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</si>
  <si>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</si>
  <si>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</si>
  <si>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</si>
  <si>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</si>
  <si>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</si>
  <si>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</si>
  <si>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</si>
  <si>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</si>
  <si>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</si>
  <si>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</si>
  <si>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</si>
  <si>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</si>
  <si>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</si>
  <si>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</si>
  <si>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</si>
  <si>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</si>
  <si>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</si>
  <si>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</si>
  <si>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</si>
  <si>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</si>
  <si>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</si>
  <si>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</si>
  <si>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</si>
  <si>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</si>
  <si>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</si>
  <si>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</si>
  <si>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</si>
  <si>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</si>
  <si>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</si>
  <si>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</si>
  <si>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</si>
  <si>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</si>
  <si>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</si>
  <si>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</si>
  <si>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</si>
  <si>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</si>
  <si>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</si>
  <si>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</si>
  <si>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</si>
  <si>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</si>
  <si>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</si>
  <si>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</si>
  <si>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</si>
  <si>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</si>
  <si>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</si>
  <si>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</si>
  <si>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</si>
  <si>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</si>
  <si>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</si>
  <si>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</si>
  <si>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</si>
  <si>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</si>
  <si>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</si>
  <si>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</si>
  <si>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</si>
  <si>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</si>
  <si>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</si>
  <si>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</si>
  <si>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</si>
  <si>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</si>
  <si>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</si>
  <si>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</si>
  <si>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</si>
  <si>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</si>
  <si>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</si>
  <si>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</si>
  <si>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</si>
  <si>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</si>
  <si>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</si>
  <si>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</si>
  <si>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</si>
  <si>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</si>
  <si>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</si>
  <si>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</si>
  <si>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</si>
  <si>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</si>
  <si>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</si>
  <si>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</si>
  <si>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</si>
  <si>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</si>
  <si>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</si>
  <si>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</si>
  <si>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</si>
  <si>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</si>
  <si>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</si>
  <si>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</si>
  <si>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</si>
  <si>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</si>
  <si>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</si>
  <si>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</si>
  <si>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</si>
  <si>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</si>
  <si>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</si>
  <si>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</si>
  <si>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</si>
  <si>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</si>
  <si>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</si>
  <si>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</si>
  <si>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</si>
  <si>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</si>
  <si>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</si>
  <si>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</si>
  <si>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</si>
  <si>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</si>
  <si>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</si>
  <si>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</si>
  <si>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</si>
  <si>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</si>
  <si>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</si>
  <si>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</si>
  <si>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</si>
  <si>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</si>
  <si>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</si>
  <si>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</si>
  <si>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</si>
  <si>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</si>
  <si>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</si>
  <si>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</si>
  <si>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</si>
  <si>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</si>
  <si>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</si>
  <si>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</si>
  <si>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</si>
  <si>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</si>
  <si>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</si>
  <si>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</si>
  <si>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</si>
  <si>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</si>
  <si>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</si>
  <si>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</si>
  <si>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</si>
  <si>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</si>
  <si>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</si>
  <si>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</si>
  <si>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</si>
  <si>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</si>
  <si>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</si>
  <si>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</si>
  <si>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</si>
  <si>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</si>
  <si>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</si>
  <si>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</si>
  <si>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</si>
  <si>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</si>
  <si>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</si>
  <si>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</si>
  <si>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</si>
  <si>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</si>
  <si>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</si>
  <si>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</si>
  <si>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</si>
  <si>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</si>
  <si>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</si>
  <si>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</si>
  <si>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</si>
  <si>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</si>
  <si>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</si>
  <si>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</si>
  <si>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</si>
  <si>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</si>
  <si>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</si>
  <si>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</si>
  <si>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</si>
  <si>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</si>
  <si>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</si>
  <si>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</si>
  <si>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</si>
  <si>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</si>
  <si>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</si>
  <si>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</si>
  <si>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</si>
  <si>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</si>
  <si>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</si>
  <si>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</si>
  <si>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</si>
  <si>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</si>
  <si>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</si>
  <si>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</si>
  <si>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</si>
  <si>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</si>
  <si>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</si>
  <si>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</si>
  <si>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</si>
  <si>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</si>
  <si>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</si>
  <si>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</si>
  <si>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</si>
  <si>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</si>
  <si>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</si>
  <si>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</si>
  <si>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</si>
  <si>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</si>
  <si>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</si>
  <si>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</si>
  <si>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</si>
  <si>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</si>
  <si>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</si>
  <si>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</si>
  <si>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</si>
  <si>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</si>
  <si>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</si>
  <si>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</si>
  <si>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</si>
  <si>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</si>
  <si>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</si>
  <si>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</si>
  <si>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</si>
  <si>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</si>
  <si>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</si>
  <si>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</si>
  <si>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</si>
  <si>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</si>
  <si>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</si>
  <si>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</si>
  <si>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</si>
  <si>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</si>
  <si>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</si>
  <si>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</si>
  <si>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</si>
  <si>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</si>
  <si>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</si>
  <si>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</si>
  <si>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</si>
  <si>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</si>
  <si>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</si>
  <si>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</si>
  <si>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</si>
  <si>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</si>
  <si>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</si>
  <si>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</si>
  <si>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</si>
  <si>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</si>
  <si>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</si>
  <si>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</si>
  <si>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</si>
  <si>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</si>
  <si>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</si>
  <si>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</si>
  <si>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</si>
  <si>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</si>
  <si>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</si>
  <si>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</si>
  <si>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</si>
  <si>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</si>
  <si>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</si>
  <si>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</si>
  <si>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</si>
  <si>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</si>
  <si>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</si>
  <si>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</si>
  <si>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</si>
  <si>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</si>
  <si>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</si>
  <si>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</si>
  <si>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</si>
  <si>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</si>
  <si>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</si>
  <si>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</si>
  <si>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</si>
  <si>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</si>
  <si>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</si>
  <si>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</si>
  <si>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</si>
  <si>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</si>
  <si>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</si>
  <si>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</si>
  <si>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</si>
  <si>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</si>
  <si>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</si>
  <si>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</si>
  <si>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</si>
  <si>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</si>
  <si>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</si>
  <si>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</si>
  <si>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</si>
  <si>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</si>
  <si>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</si>
  <si>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</si>
  <si>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</si>
  <si>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</si>
  <si>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</si>
  <si>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</si>
  <si>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</si>
  <si>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</si>
  <si>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</si>
  <si>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</si>
  <si>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</si>
  <si>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</si>
  <si>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</si>
  <si>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</si>
  <si>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</si>
  <si>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</si>
  <si>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</si>
  <si>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</si>
  <si>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</si>
  <si>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</si>
  <si>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</si>
  <si>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</si>
  <si>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</si>
  <si>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</si>
  <si>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</si>
  <si>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</si>
  <si>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</si>
  <si>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</si>
  <si>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</si>
  <si>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</si>
  <si>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</si>
  <si>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</si>
  <si>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</si>
  <si>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</si>
  <si>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</si>
  <si>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</si>
  <si>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</si>
  <si>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</si>
  <si>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</si>
  <si>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</si>
  <si>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</si>
  <si>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</si>
  <si>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</si>
  <si>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</si>
  <si>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</si>
  <si>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</si>
  <si>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</si>
  <si>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</si>
  <si>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</si>
  <si>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</si>
  <si>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</si>
  <si>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</si>
  <si>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</si>
  <si>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</si>
  <si>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</si>
  <si>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</si>
  <si>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</si>
  <si>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</si>
  <si>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</si>
  <si>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</si>
  <si>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</si>
  <si>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</si>
  <si>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</si>
  <si>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</si>
  <si>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</si>
  <si>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</si>
  <si>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</si>
  <si>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</si>
  <si>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</si>
  <si>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</si>
  <si>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</si>
  <si>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</si>
  <si>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</si>
  <si>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</si>
  <si>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</si>
  <si>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</si>
  <si>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</si>
  <si>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</si>
  <si>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</si>
  <si>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</si>
  <si>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</si>
  <si>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</si>
  <si>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</si>
  <si>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</si>
  <si>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</si>
  <si>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</si>
  <si>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</si>
  <si>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</si>
  <si>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</si>
  <si>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</si>
  <si>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</si>
  <si>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</si>
  <si>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</si>
  <si>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</si>
  <si>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</si>
  <si>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</si>
  <si>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</si>
  <si>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</si>
  <si>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</si>
  <si>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</si>
  <si>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</si>
  <si>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</si>
  <si>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</si>
  <si>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</si>
  <si>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</si>
  <si>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</si>
  <si>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</si>
  <si>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</si>
  <si>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</si>
  <si>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</si>
  <si>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</si>
  <si>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</si>
  <si>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</si>
  <si>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</si>
  <si>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</si>
  <si>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</si>
  <si>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</si>
  <si>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</si>
  <si>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</si>
  <si>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</si>
  <si>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</si>
  <si>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</si>
  <si>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</si>
  <si>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</si>
  <si>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</si>
  <si>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</si>
  <si>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</si>
  <si>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</si>
  <si>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</si>
  <si>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</si>
  <si>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</si>
  <si>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</si>
  <si>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</si>
  <si>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</si>
  <si>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</si>
  <si>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</si>
  <si>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</si>
  <si>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</si>
  <si>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</si>
  <si>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</si>
  <si>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</si>
  <si>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</si>
  <si>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</si>
  <si>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</si>
  <si>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</si>
  <si>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</si>
  <si>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</si>
  <si>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</si>
  <si>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</si>
  <si>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</si>
  <si>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</si>
  <si>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</si>
  <si>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</si>
  <si>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</si>
  <si>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</si>
  <si>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</si>
  <si>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</si>
  <si>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</si>
  <si>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</si>
  <si>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</si>
  <si>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</si>
  <si>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</si>
  <si>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</si>
  <si>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</si>
  <si>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</si>
  <si>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</si>
  <si>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</si>
  <si>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</si>
  <si>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</si>
  <si>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</si>
  <si>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</si>
  <si>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</si>
  <si>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</si>
  <si>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</si>
  <si>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</si>
  <si>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</si>
  <si>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</si>
  <si>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</si>
  <si>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</si>
  <si>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</si>
  <si>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</si>
  <si>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</si>
  <si>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</si>
  <si>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</si>
  <si>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</si>
  <si>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</si>
  <si>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</si>
  <si>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</si>
  <si>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</si>
  <si>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</si>
  <si>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</si>
  <si>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</si>
  <si>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</si>
  <si>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</si>
  <si>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</si>
  <si>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</si>
  <si>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</si>
  <si>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</si>
  <si>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</si>
  <si>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</si>
  <si>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</si>
  <si>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</si>
  <si>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</si>
  <si>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</si>
  <si>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</si>
  <si>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</si>
  <si>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</si>
  <si>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</si>
  <si>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</si>
  <si>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</si>
  <si>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</si>
  <si>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</si>
  <si>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</si>
  <si>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</si>
  <si>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</si>
  <si>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</si>
  <si>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</si>
  <si>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</si>
  <si>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</si>
  <si>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</si>
  <si>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</si>
  <si>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</si>
  <si>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</si>
  <si>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</si>
  <si>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</si>
  <si>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</si>
  <si>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</si>
  <si>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</si>
  <si>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</si>
  <si>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</si>
  <si>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</si>
  <si>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</si>
  <si>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</si>
  <si>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</si>
  <si>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</si>
  <si>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</si>
  <si>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</si>
  <si>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</si>
  <si>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</si>
  <si>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</si>
  <si>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</si>
  <si>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</si>
  <si>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</si>
  <si>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</si>
  <si>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</si>
  <si>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</si>
  <si>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</si>
  <si>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</si>
  <si>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</si>
  <si>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</si>
  <si>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</si>
  <si>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</si>
  <si>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</si>
  <si>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</si>
  <si>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</si>
  <si>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</si>
  <si>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</si>
  <si>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</si>
  <si>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</si>
  <si>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</si>
  <si>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</si>
  <si>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</si>
  <si>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</si>
  <si>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</si>
  <si>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August 2004</t>
  </si>
  <si>
    <t>August 2024</t>
  </si>
  <si>
    <t>Winnacunnet Coop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</si>
</sst>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6ADF-C2CE-491A-9A3C-A3DB5C2862BD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581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1409937.72+200</f>
        <v>1410137.72</v>
      </c>
      <c r="G9" s="18">
        <v>200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33929.379999999997</v>
      </c>
      <c r="G10" s="18"/>
      <c r="H10" s="18"/>
      <c r="I10" s="18"/>
      <c r="J10" s="67">
        <f>SUM(I432)</f>
        <v>101153.35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64529.65</v>
      </c>
      <c r="G12" s="18">
        <v>305184.39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14045.29</v>
      </c>
      <c r="G13" s="18">
        <v>9186.57</v>
      </c>
      <c r="H13" s="18">
        <v>77128.38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24588.21</v>
      </c>
      <c r="G14" s="18">
        <v>851.42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1547230.2499999998</v>
      </c>
      <c r="G19" s="41">
        <f>SUM(G9:G18)</f>
        <v>315422.38</v>
      </c>
      <c r="H19" s="41">
        <f>SUM(H9:H18)</f>
        <v>77128.38</v>
      </c>
      <c r="I19" s="41">
        <f>SUM(I9:I18)</f>
        <v>0</v>
      </c>
      <c r="J19" s="41">
        <f>SUM(J9:J18)</f>
        <v>101153.35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305184.39</v>
      </c>
      <c r="G23" s="18"/>
      <c r="H23" s="18">
        <v>64529.73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239650.28</v>
      </c>
      <c r="G25" s="18">
        <v>4075.12</v>
      </c>
      <c r="H25" s="18">
        <v>11872.36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13551.2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45575.040000000001</v>
      </c>
      <c r="G30" s="18"/>
      <c r="H30" s="18">
        <v>726.29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6728.59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603960.91</v>
      </c>
      <c r="G33" s="41">
        <f>SUM(G23:G32)</f>
        <v>10803.71</v>
      </c>
      <c r="H33" s="41">
        <f>SUM(H23:H32)</f>
        <v>77128.37999999999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75666.899999999994</v>
      </c>
      <c r="G37" s="18">
        <v>14435.01</v>
      </c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100000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8632.4599999999991</v>
      </c>
      <c r="G41" s="18">
        <v>290183.65999999997</v>
      </c>
      <c r="H41" s="18"/>
      <c r="I41" s="18"/>
      <c r="J41" s="13">
        <f>SUM(I449)</f>
        <v>101153.35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758969.98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943269.34</v>
      </c>
      <c r="G43" s="41">
        <f>SUM(G35:G42)</f>
        <v>304618.67</v>
      </c>
      <c r="H43" s="41">
        <f>SUM(H35:H42)</f>
        <v>0</v>
      </c>
      <c r="I43" s="41">
        <f>SUM(I35:I42)</f>
        <v>0</v>
      </c>
      <c r="J43" s="41">
        <f>SUM(J35:J42)</f>
        <v>101153.35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1547230.25</v>
      </c>
      <c r="G44" s="41">
        <f>G43+G33</f>
        <v>315422.38</v>
      </c>
      <c r="H44" s="41">
        <f>H43+H33</f>
        <v>77128.37999999999</v>
      </c>
      <c r="I44" s="41">
        <f>I43+I33</f>
        <v>0</v>
      </c>
      <c r="J44" s="41">
        <f>J43+J33</f>
        <v>101153.35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14535543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14535543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4764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11552.5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26626.32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42942.82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21389.08</v>
      </c>
      <c r="G88" s="18"/>
      <c r="H88" s="18"/>
      <c r="I88" s="18"/>
      <c r="J88" s="18">
        <v>1661.47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482703.43-5877.17</f>
        <v>476826.26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14402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f>1895+3225</f>
        <v>5120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f>3000+3310.98</f>
        <v>6310.98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2896.77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41638.26+25200</f>
        <v>66838.260000000009</v>
      </c>
      <c r="G102" s="18"/>
      <c r="H102" s="18"/>
      <c r="I102" s="18"/>
      <c r="J102" s="18">
        <v>3589.88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116957.09</v>
      </c>
      <c r="G103" s="41">
        <f>SUM(G88:G102)</f>
        <v>476826.26</v>
      </c>
      <c r="H103" s="41">
        <f>SUM(H88:H102)</f>
        <v>0</v>
      </c>
      <c r="I103" s="41">
        <f>SUM(I88:I102)</f>
        <v>0</v>
      </c>
      <c r="J103" s="41">
        <f>SUM(J88:J102)</f>
        <v>5251.35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14695442.91</v>
      </c>
      <c r="G104" s="41">
        <f>G52+G103</f>
        <v>476826.26</v>
      </c>
      <c r="H104" s="41">
        <f>H52+H71+H86+H103</f>
        <v>0</v>
      </c>
      <c r="I104" s="41">
        <f>I52+I103</f>
        <v>0</v>
      </c>
      <c r="J104" s="41">
        <f>J52+J103</f>
        <v>5251.35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314818.8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4421554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120786.2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4857159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491019.18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102704.42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11681.6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>
        <v>61392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5039.54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605405.19999999995</v>
      </c>
      <c r="G128" s="41">
        <f>SUM(G115:G127)</f>
        <v>5039.54</v>
      </c>
      <c r="H128" s="41">
        <f>SUM(H115:H127)</f>
        <v>61392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5462564.2000000002</v>
      </c>
      <c r="G132" s="41">
        <f>G113+SUM(G128:G129)</f>
        <v>5039.54</v>
      </c>
      <c r="H132" s="41">
        <f>H113+SUM(H128:H131)</f>
        <v>61392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216067.27+61.84</f>
        <v>216129.11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42432.5+519.74</f>
        <v>42952.24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118123.45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358672.46-53.85</f>
        <v>358618.61000000004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149527.81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149527.81</v>
      </c>
      <c r="G154" s="41">
        <f>SUM(G142:G153)</f>
        <v>118123.45</v>
      </c>
      <c r="H154" s="41">
        <f>SUM(H142:H153)</f>
        <v>617699.96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>
        <v>21626.48</v>
      </c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149527.81</v>
      </c>
      <c r="G161" s="41">
        <f>G139+G154+SUM(G155:G160)</f>
        <v>139749.93</v>
      </c>
      <c r="H161" s="41">
        <f>H139+H154+SUM(H155:H160)</f>
        <v>617699.96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25000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25000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25000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20307534.919999998</v>
      </c>
      <c r="G185" s="47">
        <f>G104+G132+G161+G184</f>
        <v>621615.73</v>
      </c>
      <c r="H185" s="47">
        <f>H104+H132+H161+H184</f>
        <v>679091.96</v>
      </c>
      <c r="I185" s="47">
        <f>I104+I132+I161+I184</f>
        <v>0</v>
      </c>
      <c r="J185" s="47">
        <f>J104+J132+J184</f>
        <v>30251.35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/>
      <c r="I189" s="18"/>
      <c r="J189" s="18"/>
      <c r="K189" s="18"/>
      <c r="L189" s="19">
        <f>SUM(F189:K189)</f>
        <v>0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/>
      <c r="I196" s="18"/>
      <c r="J196" s="18"/>
      <c r="K196" s="18"/>
      <c r="L196" s="19">
        <f t="shared" si="0"/>
        <v>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/>
      <c r="I200" s="18"/>
      <c r="J200" s="18"/>
      <c r="K200" s="18"/>
      <c r="L200" s="19">
        <f t="shared" si="0"/>
        <v>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0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0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5854755.9900000002</v>
      </c>
      <c r="G225" s="18">
        <f>1912098.38+5050+0.21+0.12</f>
        <v>1917148.71</v>
      </c>
      <c r="H225" s="18">
        <v>6116.21</v>
      </c>
      <c r="I225" s="18">
        <v>194752.2</v>
      </c>
      <c r="J225" s="18">
        <v>80454.570000000007</v>
      </c>
      <c r="K225" s="18"/>
      <c r="L225" s="19">
        <f>SUM(F225:K225)</f>
        <v>8053227.6800000006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1484851.52</v>
      </c>
      <c r="G226" s="18">
        <v>511465.4</v>
      </c>
      <c r="H226" s="18">
        <f>673498.76+1000</f>
        <v>674498.76</v>
      </c>
      <c r="I226" s="18">
        <v>4617.95</v>
      </c>
      <c r="J226" s="18">
        <v>656.25</v>
      </c>
      <c r="K226" s="18">
        <v>780</v>
      </c>
      <c r="L226" s="19">
        <f>SUM(F226:K226)</f>
        <v>2676869.88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180780</v>
      </c>
      <c r="I227" s="18"/>
      <c r="J227" s="18"/>
      <c r="K227" s="18"/>
      <c r="L227" s="19">
        <f>SUM(F227:K227)</f>
        <v>180780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431967.7+27185</f>
        <v>459152.7</v>
      </c>
      <c r="G228" s="18">
        <f>114941.43+2079.65</f>
        <v>117021.07999999999</v>
      </c>
      <c r="H228" s="18">
        <v>130948.54</v>
      </c>
      <c r="I228" s="18">
        <f>55543.82+3998.06</f>
        <v>59541.88</v>
      </c>
      <c r="J228" s="18">
        <v>39869.870000000003</v>
      </c>
      <c r="K228" s="18">
        <f>988.09+23131.74</f>
        <v>24119.83</v>
      </c>
      <c r="L228" s="19">
        <f>SUM(F228:K228)</f>
        <v>830653.9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628655.07+112373.94</f>
        <v>741029.01</v>
      </c>
      <c r="G230" s="18">
        <v>251844.15</v>
      </c>
      <c r="H230" s="18">
        <f>51092.23+2581.65</f>
        <v>53673.880000000005</v>
      </c>
      <c r="I230" s="18">
        <f>5828.96+3459.86</f>
        <v>9288.82</v>
      </c>
      <c r="J230" s="18"/>
      <c r="K230" s="18">
        <v>505</v>
      </c>
      <c r="L230" s="19">
        <f t="shared" ref="L230:L236" si="4">SUM(F230:K230)</f>
        <v>1056340.8600000001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20620+114694.12+131652.51+82743.91</f>
        <v>349710.54000000004</v>
      </c>
      <c r="G231" s="18">
        <f>33973.75+140507.62</f>
        <v>174481.37</v>
      </c>
      <c r="H231" s="18">
        <f>39523.13+2675.05+74532.73+41922.46</f>
        <v>158653.37</v>
      </c>
      <c r="I231" s="18">
        <f>547.9+23240.65+88497.82</f>
        <v>112286.37000000001</v>
      </c>
      <c r="J231" s="18">
        <f>7459.06+82565.43+94938.38</f>
        <v>184962.87</v>
      </c>
      <c r="K231" s="18"/>
      <c r="L231" s="19">
        <f t="shared" si="4"/>
        <v>980094.52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33795.5</v>
      </c>
      <c r="G232" s="18">
        <v>2585.36</v>
      </c>
      <c r="H232" s="18">
        <f>47683.83+492338</f>
        <v>540021.82999999996</v>
      </c>
      <c r="I232" s="18"/>
      <c r="J232" s="18"/>
      <c r="K232" s="18">
        <v>11678.9</v>
      </c>
      <c r="L232" s="19">
        <f t="shared" si="4"/>
        <v>588081.59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713648.53</v>
      </c>
      <c r="G233" s="18">
        <f>257012.99+36397.56</f>
        <v>293410.55</v>
      </c>
      <c r="H233" s="18">
        <v>101360.25</v>
      </c>
      <c r="I233" s="18">
        <v>28597.74</v>
      </c>
      <c r="J233" s="18"/>
      <c r="K233" s="18">
        <v>16468.8</v>
      </c>
      <c r="L233" s="19">
        <f t="shared" si="4"/>
        <v>1153485.8700000001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670299.08+2681.3</f>
        <v>672980.38</v>
      </c>
      <c r="G235" s="18">
        <v>294190.64</v>
      </c>
      <c r="H235" s="18">
        <f>204570.71+133562.43+12355.58</f>
        <v>350488.72000000003</v>
      </c>
      <c r="I235" s="18">
        <v>463114.94</v>
      </c>
      <c r="J235" s="18">
        <f>42725.42+9298.03</f>
        <v>52023.45</v>
      </c>
      <c r="K235" s="18">
        <v>480</v>
      </c>
      <c r="L235" s="19">
        <f t="shared" si="4"/>
        <v>1833278.13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682274.94</v>
      </c>
      <c r="I236" s="18"/>
      <c r="J236" s="18"/>
      <c r="K236" s="18"/>
      <c r="L236" s="19">
        <f t="shared" si="4"/>
        <v>682274.94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>
        <v>1411</v>
      </c>
      <c r="L237" s="19">
        <f>SUM(F237:K237)</f>
        <v>1411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10309924.170000002</v>
      </c>
      <c r="G239" s="41">
        <f t="shared" si="5"/>
        <v>3562147.26</v>
      </c>
      <c r="H239" s="41">
        <f t="shared" si="5"/>
        <v>2878816.5</v>
      </c>
      <c r="I239" s="41">
        <f t="shared" si="5"/>
        <v>872199.9</v>
      </c>
      <c r="J239" s="41">
        <f t="shared" si="5"/>
        <v>357967.01</v>
      </c>
      <c r="K239" s="41">
        <f t="shared" si="5"/>
        <v>55443.53</v>
      </c>
      <c r="L239" s="41">
        <f t="shared" si="5"/>
        <v>18036498.370000001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104223.44</v>
      </c>
      <c r="G243" s="18">
        <v>8397.86</v>
      </c>
      <c r="H243" s="18">
        <v>525</v>
      </c>
      <c r="I243" s="18">
        <v>3354.44</v>
      </c>
      <c r="J243" s="18"/>
      <c r="K243" s="18"/>
      <c r="L243" s="19">
        <f t="shared" si="6"/>
        <v>116500.74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8000</v>
      </c>
      <c r="I247" s="18"/>
      <c r="J247" s="18">
        <v>35922.959999999999</v>
      </c>
      <c r="K247" s="18"/>
      <c r="L247" s="19">
        <f t="shared" si="6"/>
        <v>43922.96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104223.44</v>
      </c>
      <c r="G248" s="41">
        <f t="shared" si="7"/>
        <v>8397.86</v>
      </c>
      <c r="H248" s="41">
        <f t="shared" si="7"/>
        <v>8525</v>
      </c>
      <c r="I248" s="41">
        <f t="shared" si="7"/>
        <v>3354.44</v>
      </c>
      <c r="J248" s="41">
        <f t="shared" si="7"/>
        <v>35922.959999999999</v>
      </c>
      <c r="K248" s="41">
        <f t="shared" si="7"/>
        <v>0</v>
      </c>
      <c r="L248" s="41">
        <f>SUM(F248:K248)</f>
        <v>160423.70000000001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10414147.610000001</v>
      </c>
      <c r="G249" s="41">
        <f t="shared" si="8"/>
        <v>3570545.1199999996</v>
      </c>
      <c r="H249" s="41">
        <f t="shared" si="8"/>
        <v>2887341.5</v>
      </c>
      <c r="I249" s="41">
        <f t="shared" si="8"/>
        <v>875554.34</v>
      </c>
      <c r="J249" s="41">
        <f t="shared" si="8"/>
        <v>393889.97000000003</v>
      </c>
      <c r="K249" s="41">
        <f t="shared" si="8"/>
        <v>55443.53</v>
      </c>
      <c r="L249" s="41">
        <f t="shared" si="8"/>
        <v>18196922.07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930000</v>
      </c>
      <c r="L252" s="19">
        <f>SUM(F252:K252)</f>
        <v>930000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1077912.5</v>
      </c>
      <c r="L253" s="19">
        <f>SUM(F253:K253)</f>
        <v>1077912.5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25000</v>
      </c>
      <c r="L258" s="19">
        <f t="shared" si="9"/>
        <v>25000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2032912.5</v>
      </c>
      <c r="L262" s="41">
        <f t="shared" si="9"/>
        <v>2032912.5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10414147.610000001</v>
      </c>
      <c r="G263" s="42">
        <f t="shared" si="11"/>
        <v>3570545.1199999996</v>
      </c>
      <c r="H263" s="42">
        <f t="shared" si="11"/>
        <v>2887341.5</v>
      </c>
      <c r="I263" s="42">
        <f t="shared" si="11"/>
        <v>875554.34</v>
      </c>
      <c r="J263" s="42">
        <f t="shared" si="11"/>
        <v>393889.97000000003</v>
      </c>
      <c r="K263" s="42">
        <f t="shared" si="11"/>
        <v>2088356.03</v>
      </c>
      <c r="L263" s="42">
        <f t="shared" si="11"/>
        <v>20229834.57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160622.46</v>
      </c>
      <c r="G306" s="18">
        <f>27818.63+862.58-555.52</f>
        <v>28125.690000000002</v>
      </c>
      <c r="H306" s="18">
        <v>7678.74</v>
      </c>
      <c r="I306" s="18">
        <v>31570.13</v>
      </c>
      <c r="J306" s="18">
        <f>25613.1+499</f>
        <v>26112.1</v>
      </c>
      <c r="K306" s="18">
        <v>1469</v>
      </c>
      <c r="L306" s="19">
        <f>SUM(F306:K306)</f>
        <v>255578.12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203391.26</v>
      </c>
      <c r="G307" s="18">
        <f>42504.03+1107.56-840</f>
        <v>42771.59</v>
      </c>
      <c r="H307" s="18">
        <f>17647.95+2194-1914</f>
        <v>17927.95</v>
      </c>
      <c r="I307" s="18">
        <f>37305.46+46.86-684.31</f>
        <v>36668.01</v>
      </c>
      <c r="J307" s="18">
        <v>52311.7</v>
      </c>
      <c r="K307" s="18">
        <f>457.72-210</f>
        <v>247.72000000000003</v>
      </c>
      <c r="L307" s="19">
        <f>SUM(F307:K307)</f>
        <v>353318.23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>
        <v>190.4</v>
      </c>
      <c r="J311" s="18"/>
      <c r="K311" s="18"/>
      <c r="L311" s="19">
        <f t="shared" ref="L311:L317" si="16">SUM(F311:K311)</f>
        <v>190.4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v>398</v>
      </c>
      <c r="I312" s="18"/>
      <c r="J312" s="18"/>
      <c r="K312" s="18"/>
      <c r="L312" s="19">
        <f t="shared" si="16"/>
        <v>398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>
        <f>7998.43+9132.5-7998.43</f>
        <v>9132.5</v>
      </c>
      <c r="L313" s="19">
        <f t="shared" si="16"/>
        <v>9132.5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364013.72</v>
      </c>
      <c r="G320" s="42">
        <f t="shared" si="17"/>
        <v>70897.279999999999</v>
      </c>
      <c r="H320" s="42">
        <f t="shared" si="17"/>
        <v>26004.690000000002</v>
      </c>
      <c r="I320" s="42">
        <f t="shared" si="17"/>
        <v>68428.539999999994</v>
      </c>
      <c r="J320" s="42">
        <f t="shared" si="17"/>
        <v>78423.799999999988</v>
      </c>
      <c r="K320" s="42">
        <f t="shared" si="17"/>
        <v>10849.22</v>
      </c>
      <c r="L320" s="41">
        <f t="shared" si="17"/>
        <v>618617.25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56182.5</v>
      </c>
      <c r="G325" s="18">
        <v>4292.21</v>
      </c>
      <c r="H325" s="18"/>
      <c r="I325" s="18"/>
      <c r="J325" s="18"/>
      <c r="K325" s="18"/>
      <c r="L325" s="19">
        <f t="shared" si="18"/>
        <v>60474.71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56182.5</v>
      </c>
      <c r="G329" s="41">
        <f t="shared" si="19"/>
        <v>4292.21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60474.71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420196.22</v>
      </c>
      <c r="G330" s="41">
        <f t="shared" si="20"/>
        <v>75189.490000000005</v>
      </c>
      <c r="H330" s="41">
        <f t="shared" si="20"/>
        <v>26004.690000000002</v>
      </c>
      <c r="I330" s="41">
        <f t="shared" si="20"/>
        <v>68428.539999999994</v>
      </c>
      <c r="J330" s="41">
        <f t="shared" si="20"/>
        <v>78423.799999999988</v>
      </c>
      <c r="K330" s="41">
        <f t="shared" si="20"/>
        <v>10849.22</v>
      </c>
      <c r="L330" s="41">
        <f t="shared" si="20"/>
        <v>679091.96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420196.22</v>
      </c>
      <c r="G344" s="41">
        <f>G330</f>
        <v>75189.490000000005</v>
      </c>
      <c r="H344" s="41">
        <f>H330</f>
        <v>26004.690000000002</v>
      </c>
      <c r="I344" s="41">
        <f>I330</f>
        <v>68428.539999999994</v>
      </c>
      <c r="J344" s="41">
        <f>J330</f>
        <v>78423.799999999988</v>
      </c>
      <c r="K344" s="47">
        <f>K330+K343</f>
        <v>10849.22</v>
      </c>
      <c r="L344" s="41">
        <f>L330+L343</f>
        <v>679091.96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53826.71+170391.26+1413.77</f>
        <v>225631.74</v>
      </c>
      <c r="G352" s="18"/>
      <c r="H352" s="18">
        <f>1277.42+10185.18</f>
        <v>11462.6</v>
      </c>
      <c r="I352" s="18">
        <f>9258.9+268979.6+21626.48</f>
        <v>299864.98</v>
      </c>
      <c r="J352" s="18">
        <v>3708.32</v>
      </c>
      <c r="K352" s="18">
        <v>1356.75</v>
      </c>
      <c r="L352" s="19">
        <f>SUM(F352:K352)</f>
        <v>542024.3899999999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225631.74</v>
      </c>
      <c r="G354" s="47">
        <f t="shared" si="22"/>
        <v>0</v>
      </c>
      <c r="H354" s="47">
        <f t="shared" si="22"/>
        <v>11462.6</v>
      </c>
      <c r="I354" s="47">
        <f t="shared" si="22"/>
        <v>299864.98</v>
      </c>
      <c r="J354" s="47">
        <f t="shared" si="22"/>
        <v>3708.32</v>
      </c>
      <c r="K354" s="47">
        <f t="shared" si="22"/>
        <v>1356.75</v>
      </c>
      <c r="L354" s="47">
        <f t="shared" si="22"/>
        <v>542024.3899999999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>
        <f>268979.6+21626.48</f>
        <v>290606.07999999996</v>
      </c>
      <c r="I359" s="56">
        <f>SUM(F359:H359)</f>
        <v>290606.07999999996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>
        <v>9258.9</v>
      </c>
      <c r="I360" s="56">
        <f>SUM(F360:H360)</f>
        <v>9258.9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299864.98</v>
      </c>
      <c r="I361" s="47">
        <f>SUM(I359:I360)</f>
        <v>299864.98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25000</v>
      </c>
      <c r="H388" s="18">
        <v>420.61</v>
      </c>
      <c r="I388" s="18">
        <f>831.59+103.78</f>
        <v>935.37</v>
      </c>
      <c r="J388" s="24" t="s">
        <v>312</v>
      </c>
      <c r="K388" s="24" t="s">
        <v>312</v>
      </c>
      <c r="L388" s="56">
        <f t="shared" si="26"/>
        <v>26355.98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1240.8599999999999</v>
      </c>
      <c r="I389" s="18">
        <f>2359.98+294.53</f>
        <v>2654.51</v>
      </c>
      <c r="J389" s="24" t="s">
        <v>312</v>
      </c>
      <c r="K389" s="24" t="s">
        <v>312</v>
      </c>
      <c r="L389" s="56">
        <f t="shared" si="26"/>
        <v>3895.37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25000</v>
      </c>
      <c r="H393" s="47">
        <f>SUM(H387:H392)</f>
        <v>1661.4699999999998</v>
      </c>
      <c r="I393" s="47">
        <f>SUM(I387:I392)</f>
        <v>3589.88</v>
      </c>
      <c r="J393" s="45" t="s">
        <v>312</v>
      </c>
      <c r="K393" s="45" t="s">
        <v>312</v>
      </c>
      <c r="L393" s="47">
        <f>SUM(L387:L392)</f>
        <v>30251.35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25000</v>
      </c>
      <c r="H400" s="47">
        <f>H385+H393+H399</f>
        <v>1661.4699999999998</v>
      </c>
      <c r="I400" s="47">
        <f>I385+I393+I399</f>
        <v>3589.88</v>
      </c>
      <c r="J400" s="24" t="s">
        <v>312</v>
      </c>
      <c r="K400" s="24" t="s">
        <v>312</v>
      </c>
      <c r="L400" s="47">
        <f>L385+L393+L399</f>
        <v>30251.35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101153.35</v>
      </c>
      <c r="H432" s="18"/>
      <c r="I432" s="56">
        <f t="shared" si="33"/>
        <v>101153.35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101153.35</v>
      </c>
      <c r="H438" s="13">
        <f>SUM(H431:H437)</f>
        <v>0</v>
      </c>
      <c r="I438" s="13">
        <f>SUM(I431:I437)</f>
        <v>101153.35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101153.35</v>
      </c>
      <c r="H449" s="18"/>
      <c r="I449" s="56">
        <f>SUM(F449:H449)</f>
        <v>101153.35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101153.35</v>
      </c>
      <c r="H450" s="83">
        <f>SUM(H446:H449)</f>
        <v>0</v>
      </c>
      <c r="I450" s="83">
        <f>SUM(I446:I449)</f>
        <v>101153.35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101153.35</v>
      </c>
      <c r="H451" s="42">
        <f>H444+H450</f>
        <v>0</v>
      </c>
      <c r="I451" s="42">
        <f>I444+I450</f>
        <v>101153.35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865568.99</v>
      </c>
      <c r="G455" s="18">
        <v>225027.33</v>
      </c>
      <c r="H455" s="18">
        <v>0</v>
      </c>
      <c r="I455" s="18"/>
      <c r="J455" s="18">
        <v>70902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20307534.920000002</v>
      </c>
      <c r="G458" s="18">
        <v>621615.73</v>
      </c>
      <c r="H458" s="18">
        <v>679091.96</v>
      </c>
      <c r="I458" s="18"/>
      <c r="J458" s="18">
        <v>30251.35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20307534.920000002</v>
      </c>
      <c r="G460" s="53">
        <f>SUM(G458:G459)</f>
        <v>621615.73</v>
      </c>
      <c r="H460" s="53">
        <f>SUM(H458:H459)</f>
        <v>679091.96</v>
      </c>
      <c r="I460" s="53">
        <f>SUM(I458:I459)</f>
        <v>0</v>
      </c>
      <c r="J460" s="53">
        <f>SUM(J458:J459)</f>
        <v>30251.35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20229834.57</v>
      </c>
      <c r="G462" s="18">
        <v>542024.39</v>
      </c>
      <c r="H462" s="18">
        <v>679091.96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20229834.57</v>
      </c>
      <c r="G464" s="53">
        <f>SUM(G462:G463)</f>
        <v>542024.39</v>
      </c>
      <c r="H464" s="53">
        <f>SUM(H462:H463)</f>
        <v>679091.96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943269.33999999985</v>
      </c>
      <c r="G466" s="53">
        <f>(G455+G460)- G464</f>
        <v>304618.66999999993</v>
      </c>
      <c r="H466" s="53">
        <f>(H455+H460)- H464</f>
        <v>0</v>
      </c>
      <c r="I466" s="53">
        <f>(I455+I460)- I464</f>
        <v>0</v>
      </c>
      <c r="J466" s="53">
        <f>(J455+J460)- J464</f>
        <v>101153.35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25484800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4.54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22180000</v>
      </c>
      <c r="G485" s="18"/>
      <c r="H485" s="18"/>
      <c r="I485" s="18"/>
      <c r="J485" s="18"/>
      <c r="K485" s="53">
        <f>SUM(F485:J485)</f>
        <v>22180000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930000</v>
      </c>
      <c r="G487" s="18"/>
      <c r="H487" s="18"/>
      <c r="I487" s="18"/>
      <c r="J487" s="18"/>
      <c r="K487" s="53">
        <f t="shared" si="34"/>
        <v>930000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21250000</v>
      </c>
      <c r="G488" s="205"/>
      <c r="H488" s="205"/>
      <c r="I488" s="205"/>
      <c r="J488" s="205"/>
      <c r="K488" s="206">
        <f t="shared" si="34"/>
        <v>21250000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8864031.25</v>
      </c>
      <c r="G489" s="18"/>
      <c r="H489" s="18"/>
      <c r="I489" s="18"/>
      <c r="J489" s="18"/>
      <c r="K489" s="53">
        <f t="shared" si="34"/>
        <v>8864031.25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30114031.25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30114031.25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975000</v>
      </c>
      <c r="G491" s="205"/>
      <c r="H491" s="205"/>
      <c r="I491" s="205"/>
      <c r="J491" s="205"/>
      <c r="K491" s="206">
        <f t="shared" si="34"/>
        <v>975000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527331.25+502956.25</f>
        <v>1030287.5</v>
      </c>
      <c r="G492" s="18"/>
      <c r="H492" s="18"/>
      <c r="I492" s="18"/>
      <c r="J492" s="18"/>
      <c r="K492" s="53">
        <f t="shared" si="34"/>
        <v>1030287.5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2005287.5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2005287.5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802893.89+250907.18+281405.63+1831.25</f>
        <v>1337037.9500000002</v>
      </c>
      <c r="G513" s="18">
        <v>458836.04</v>
      </c>
      <c r="H513" s="18">
        <f>673498.76-6342.67</f>
        <v>667156.09</v>
      </c>
      <c r="I513" s="18">
        <v>4617.95</v>
      </c>
      <c r="J513" s="18">
        <v>656.25</v>
      </c>
      <c r="K513" s="18"/>
      <c r="L513" s="88">
        <f>SUM(F513:K513)</f>
        <v>2468304.2800000003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1337037.9500000002</v>
      </c>
      <c r="G514" s="108">
        <f t="shared" ref="G514:L514" si="35">SUM(G511:G513)</f>
        <v>458836.04</v>
      </c>
      <c r="H514" s="108">
        <f t="shared" si="35"/>
        <v>667156.09</v>
      </c>
      <c r="I514" s="108">
        <f t="shared" si="35"/>
        <v>4617.95</v>
      </c>
      <c r="J514" s="108">
        <f t="shared" si="35"/>
        <v>656.25</v>
      </c>
      <c r="K514" s="108">
        <f t="shared" si="35"/>
        <v>0</v>
      </c>
      <c r="L514" s="89">
        <f t="shared" si="35"/>
        <v>2468304.2800000003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85344.01+62469.56</f>
        <v>147813.57</v>
      </c>
      <c r="G523" s="18">
        <v>52629.36</v>
      </c>
      <c r="H523" s="18"/>
      <c r="I523" s="18"/>
      <c r="J523" s="18"/>
      <c r="K523" s="18">
        <v>780</v>
      </c>
      <c r="L523" s="88">
        <f>SUM(F523:K523)</f>
        <v>201222.93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147813.57</v>
      </c>
      <c r="G524" s="89">
        <f t="shared" ref="G524:L524" si="37">SUM(G521:G523)</f>
        <v>52629.36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780</v>
      </c>
      <c r="L524" s="89">
        <f t="shared" si="37"/>
        <v>201222.93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6342.67</v>
      </c>
      <c r="I528" s="18"/>
      <c r="J528" s="18"/>
      <c r="K528" s="18"/>
      <c r="L528" s="88">
        <f>SUM(F528:K528)</f>
        <v>6342.67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6342.67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6342.67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194479.44</v>
      </c>
      <c r="I533" s="18"/>
      <c r="J533" s="18"/>
      <c r="K533" s="18"/>
      <c r="L533" s="88">
        <f>SUM(F533:K533)</f>
        <v>194479.44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194479.44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194479.44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1484851.5200000003</v>
      </c>
      <c r="G535" s="89">
        <f t="shared" ref="G535:L535" si="40">G514+G519+G524+G529+G534</f>
        <v>511465.39999999997</v>
      </c>
      <c r="H535" s="89">
        <f t="shared" si="40"/>
        <v>867978.2</v>
      </c>
      <c r="I535" s="89">
        <f t="shared" si="40"/>
        <v>4617.95</v>
      </c>
      <c r="J535" s="89">
        <f t="shared" si="40"/>
        <v>656.25</v>
      </c>
      <c r="K535" s="89">
        <f t="shared" si="40"/>
        <v>780</v>
      </c>
      <c r="L535" s="89">
        <f t="shared" si="40"/>
        <v>2870349.3200000003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2468304.2800000003</v>
      </c>
      <c r="G541" s="87">
        <f>L518</f>
        <v>0</v>
      </c>
      <c r="H541" s="87">
        <f>L523</f>
        <v>201222.93</v>
      </c>
      <c r="I541" s="87">
        <f>L528</f>
        <v>6342.67</v>
      </c>
      <c r="J541" s="87">
        <f>L533</f>
        <v>194479.44</v>
      </c>
      <c r="K541" s="87">
        <f>SUM(F541:J541)</f>
        <v>2870349.3200000003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2468304.2800000003</v>
      </c>
      <c r="G542" s="89">
        <f t="shared" si="41"/>
        <v>0</v>
      </c>
      <c r="H542" s="89">
        <f t="shared" si="41"/>
        <v>201222.93</v>
      </c>
      <c r="I542" s="89">
        <f t="shared" si="41"/>
        <v>6342.67</v>
      </c>
      <c r="J542" s="89">
        <f t="shared" si="41"/>
        <v>194479.44</v>
      </c>
      <c r="K542" s="89">
        <f t="shared" si="41"/>
        <v>2870349.3200000003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156420.62</v>
      </c>
      <c r="I569" s="87">
        <f t="shared" si="46"/>
        <v>156420.62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263343.7</v>
      </c>
      <c r="I572" s="87">
        <f t="shared" si="46"/>
        <v>263343.7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152414.85999999999</v>
      </c>
      <c r="I573" s="87">
        <f t="shared" si="46"/>
        <v>152414.85999999999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180780</v>
      </c>
      <c r="I574" s="87">
        <f t="shared" si="46"/>
        <v>180780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/>
      <c r="J581" s="18">
        <f>385486.71-38548.68</f>
        <v>346938.03</v>
      </c>
      <c r="K581" s="104">
        <f t="shared" ref="K581:K587" si="47">SUM(H581:J581)</f>
        <v>346938.03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>
        <v>194479.44</v>
      </c>
      <c r="K582" s="104">
        <f t="shared" si="47"/>
        <v>194479.44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38548.68</v>
      </c>
      <c r="K583" s="104">
        <f t="shared" si="47"/>
        <v>38548.68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>
        <v>71259.08</v>
      </c>
      <c r="K584" s="104">
        <f t="shared" si="47"/>
        <v>71259.08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>
        <v>31049.71</v>
      </c>
      <c r="K587" s="104">
        <f t="shared" si="47"/>
        <v>31049.71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0</v>
      </c>
      <c r="I588" s="108">
        <f>SUM(I581:I587)</f>
        <v>0</v>
      </c>
      <c r="J588" s="108">
        <f>SUM(J581:J587)</f>
        <v>682274.94</v>
      </c>
      <c r="K588" s="108">
        <f>SUM(K581:K587)</f>
        <v>682274.94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>
        <v>3290.55</v>
      </c>
      <c r="K593" s="104">
        <f>SUM(H593:J593)</f>
        <v>3290.55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>
        <f>354676.46+77924.8+499</f>
        <v>433100.26</v>
      </c>
      <c r="K594" s="104">
        <f>SUM(H594:J594)</f>
        <v>433100.26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436390.81</v>
      </c>
      <c r="K595" s="108">
        <f>SUM(K592:K594)</f>
        <v>436390.81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27185</v>
      </c>
      <c r="G603" s="18">
        <v>2079.65</v>
      </c>
      <c r="H603" s="18"/>
      <c r="I603" s="18">
        <v>3998.06</v>
      </c>
      <c r="J603" s="18"/>
      <c r="K603" s="18"/>
      <c r="L603" s="88">
        <f>SUM(F603:K603)</f>
        <v>33262.71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27185</v>
      </c>
      <c r="G604" s="108">
        <f t="shared" si="48"/>
        <v>2079.65</v>
      </c>
      <c r="H604" s="108">
        <f t="shared" si="48"/>
        <v>0</v>
      </c>
      <c r="I604" s="108">
        <f t="shared" si="48"/>
        <v>3998.06</v>
      </c>
      <c r="J604" s="108">
        <f t="shared" si="48"/>
        <v>0</v>
      </c>
      <c r="K604" s="108">
        <f t="shared" si="48"/>
        <v>0</v>
      </c>
      <c r="L604" s="89">
        <f t="shared" si="48"/>
        <v>33262.71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1547230.2499999998</v>
      </c>
      <c r="H607" s="109">
        <f>SUM(F44)</f>
        <v>1547230.25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315422.38</v>
      </c>
      <c r="H608" s="109">
        <f>SUM(G44)</f>
        <v>315422.38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77128.38</v>
      </c>
      <c r="H609" s="109">
        <f>SUM(H44)</f>
        <v>77128.37999999999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101153.35</v>
      </c>
      <c r="H611" s="109">
        <f>SUM(J44)</f>
        <v>101153.35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943269.34</v>
      </c>
      <c r="H612" s="109">
        <f>F466</f>
        <v>943269.33999999985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304618.67</v>
      </c>
      <c r="H613" s="109">
        <f>G466</f>
        <v>304618.66999999993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101153.35</v>
      </c>
      <c r="H616" s="109">
        <f>J466</f>
        <v>101153.35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20307534.919999998</v>
      </c>
      <c r="H617" s="104">
        <f>SUM(F458)</f>
        <v>20307534.920000002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621615.73</v>
      </c>
      <c r="H618" s="104">
        <f>SUM(G458)</f>
        <v>621615.73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679091.96</v>
      </c>
      <c r="H619" s="104">
        <f>SUM(H458)</f>
        <v>679091.96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30251.35</v>
      </c>
      <c r="H621" s="104">
        <f>SUM(J458)</f>
        <v>30251.35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20229834.57</v>
      </c>
      <c r="H622" s="104">
        <f>SUM(F462)</f>
        <v>20229834.57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679091.96</v>
      </c>
      <c r="H623" s="104">
        <f>SUM(H462)</f>
        <v>679091.96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299864.98</v>
      </c>
      <c r="H624" s="104">
        <f>I361</f>
        <v>299864.98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542024.3899999999</v>
      </c>
      <c r="H625" s="104">
        <f>SUM(G462)</f>
        <v>542024.39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30251.35</v>
      </c>
      <c r="H627" s="164">
        <f>SUM(J458)</f>
        <v>30251.35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101153.35</v>
      </c>
      <c r="H630" s="104">
        <f>SUM(G451)</f>
        <v>101153.35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101153.35</v>
      </c>
      <c r="H632" s="104">
        <f>SUM(I451)</f>
        <v>101153.35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1661.47</v>
      </c>
      <c r="H634" s="104">
        <f>H400</f>
        <v>1661.4699999999998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25000</v>
      </c>
      <c r="H635" s="104">
        <f>G400</f>
        <v>25000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30251.35</v>
      </c>
      <c r="H636" s="104">
        <f>L400</f>
        <v>30251.35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682274.94</v>
      </c>
      <c r="H637" s="104">
        <f>L200+L218+L236</f>
        <v>682274.94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436390.81</v>
      </c>
      <c r="H638" s="104">
        <f>(J249+J330)-(J247+J328)</f>
        <v>436390.81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0</v>
      </c>
      <c r="H639" s="104">
        <f>H588</f>
        <v>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682274.94</v>
      </c>
      <c r="H641" s="104">
        <f>J588</f>
        <v>682274.94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25000</v>
      </c>
      <c r="H645" s="104">
        <f>K258+K339</f>
        <v>25000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0</v>
      </c>
      <c r="G650" s="19">
        <f>(L221+L301+L351)</f>
        <v>0</v>
      </c>
      <c r="H650" s="19">
        <f>(L239+L320+L352)</f>
        <v>19197140.010000002</v>
      </c>
      <c r="I650" s="19">
        <f>SUM(F650:H650)</f>
        <v>19197140.010000002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476826.26</v>
      </c>
      <c r="I651" s="19">
        <f>SUM(F651:H651)</f>
        <v>476826.26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0</v>
      </c>
      <c r="G652" s="19">
        <f>(L218+L298)-(J218+J298)</f>
        <v>0</v>
      </c>
      <c r="H652" s="19">
        <f>(L236+L317)-(J236+J317)</f>
        <v>682274.94</v>
      </c>
      <c r="I652" s="19">
        <f>SUM(F652:H652)</f>
        <v>682274.94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0</v>
      </c>
      <c r="G653" s="200">
        <f>SUM(G565:G577)+SUM(I592:I594)+L602</f>
        <v>0</v>
      </c>
      <c r="H653" s="200">
        <f>SUM(H565:H577)+SUM(J592:J594)+L603</f>
        <v>1222612.7</v>
      </c>
      <c r="I653" s="19">
        <f>SUM(F653:H653)</f>
        <v>1222612.7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0</v>
      </c>
      <c r="G654" s="19">
        <f>G650-SUM(G651:G653)</f>
        <v>0</v>
      </c>
      <c r="H654" s="19">
        <f>H650-SUM(H651:H653)</f>
        <v>16815426.110000003</v>
      </c>
      <c r="I654" s="19">
        <f>I650-SUM(I651:I653)</f>
        <v>16815426.110000003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>
        <v>1221.76</v>
      </c>
      <c r="I655" s="19">
        <f>SUM(F655:H655)</f>
        <v>1221.76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>
        <f>ROUND(H654/H655,2)</f>
        <v>13763.28</v>
      </c>
      <c r="I657" s="19">
        <f>ROUND(I654/I655,2)</f>
        <v>13763.28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-35.26</v>
      </c>
      <c r="I660" s="19">
        <f>SUM(F660:H660)</f>
        <v>-35.26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>
        <f>ROUND((H654+H659)/(H655+H660),2)</f>
        <v>14172.29</v>
      </c>
      <c r="I662" s="19">
        <f>ROUND((I654+I659)/(I655+I660),2)</f>
        <v>14172.29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4F42-B6E6-4849-9627-B5017E358A77}">
  <sheetPr>
    <tabColor indexed="20"/>
  </sheetPr>
  <dimension ref="A1:C52"/>
  <sheetViews>
    <sheetView topLeftCell="A16" workbookViewId="0">
      <selection activeCell="B5" sqref="B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Winnacunnet Coop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6015378.4500000002</v>
      </c>
      <c r="C9" s="230">
        <f>'DOE25'!G189+'DOE25'!G207+'DOE25'!G225+'DOE25'!G268+'DOE25'!G287+'DOE25'!G306</f>
        <v>1945274.4</v>
      </c>
    </row>
    <row r="10" spans="1:3" x14ac:dyDescent="0.2">
      <c r="A10" t="s">
        <v>813</v>
      </c>
      <c r="B10" s="241">
        <f>5508908.45+84589.97+160622.46</f>
        <v>5754120.8799999999</v>
      </c>
      <c r="C10" s="241">
        <f>1863649.69+15879.78+27350.29+5050</f>
        <v>1911929.76</v>
      </c>
    </row>
    <row r="11" spans="1:3" x14ac:dyDescent="0.2">
      <c r="A11" t="s">
        <v>814</v>
      </c>
      <c r="B11" s="241">
        <f>47150.91+14310.6</f>
        <v>61461.51</v>
      </c>
      <c r="C11" s="241">
        <f>8638.31+1279.37+468.34+307.4</f>
        <v>10693.42</v>
      </c>
    </row>
    <row r="12" spans="1:3" x14ac:dyDescent="0.2">
      <c r="A12" t="s">
        <v>815</v>
      </c>
      <c r="B12" s="241">
        <f>63312.61+136483.45</f>
        <v>199796.06</v>
      </c>
      <c r="C12" s="241">
        <f>11459.58+11191.64</f>
        <v>22651.22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6015378.4499999993</v>
      </c>
      <c r="C13" s="232">
        <f>SUM(C10:C12)</f>
        <v>1945274.4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1688242.78</v>
      </c>
      <c r="C18" s="230">
        <f>'DOE25'!G190+'DOE25'!G208+'DOE25'!G226+'DOE25'!G269+'DOE25'!G288+'DOE25'!G307</f>
        <v>554236.99</v>
      </c>
    </row>
    <row r="19" spans="1:3" x14ac:dyDescent="0.2">
      <c r="A19" t="s">
        <v>813</v>
      </c>
      <c r="B19" s="241">
        <f>802893.89+250907.18+203391.26</f>
        <v>1257192.33</v>
      </c>
      <c r="C19" s="241">
        <f>217957.47+86274.05+31785.85</f>
        <v>336017.37</v>
      </c>
    </row>
    <row r="20" spans="1:3" x14ac:dyDescent="0.2">
      <c r="A20" t="s">
        <v>814</v>
      </c>
      <c r="B20" s="241">
        <f>281405.63+1831.25</f>
        <v>283236.88</v>
      </c>
      <c r="C20" s="241">
        <f>154416.88+8836.86</f>
        <v>163253.74</v>
      </c>
    </row>
    <row r="21" spans="1:3" x14ac:dyDescent="0.2">
      <c r="A21" t="s">
        <v>815</v>
      </c>
      <c r="B21" s="241">
        <f>85344.01+62469.56</f>
        <v>147813.57</v>
      </c>
      <c r="C21" s="241">
        <f>52629.36+2336.52</f>
        <v>54965.88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1688242.78</v>
      </c>
      <c r="C22" s="232">
        <f>SUM(C19:C21)</f>
        <v>554236.99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459152.7</v>
      </c>
      <c r="C36" s="236">
        <f>'DOE25'!G192+'DOE25'!G210+'DOE25'!G228+'DOE25'!G271+'DOE25'!G290+'DOE25'!G309</f>
        <v>117021.07999999999</v>
      </c>
    </row>
    <row r="37" spans="1:3" x14ac:dyDescent="0.2">
      <c r="A37" t="s">
        <v>813</v>
      </c>
      <c r="B37" s="241">
        <v>27185</v>
      </c>
      <c r="C37" s="241">
        <v>2079.65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f>80174.12+54678.58+3000+294115</f>
        <v>431967.7</v>
      </c>
      <c r="C39" s="241">
        <v>114941.43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459152.7</v>
      </c>
      <c r="C40" s="232">
        <f>SUM(C37:C39)</f>
        <v>117021.07999999999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C77A-B10B-4826-ADA7-80DC69F04C00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Winnacunnet Coop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11741531.460000001</v>
      </c>
      <c r="D5" s="20">
        <f>SUM('DOE25'!L189:L192)+SUM('DOE25'!L207:L210)+SUM('DOE25'!L225:L228)-F5-G5</f>
        <v>11595650.940000001</v>
      </c>
      <c r="E5" s="244"/>
      <c r="F5" s="256">
        <f>SUM('DOE25'!J189:J192)+SUM('DOE25'!J207:J210)+SUM('DOE25'!J225:J228)</f>
        <v>120980.69</v>
      </c>
      <c r="G5" s="53">
        <f>SUM('DOE25'!K189:K192)+SUM('DOE25'!K207:K210)+SUM('DOE25'!K225:K228)</f>
        <v>24899.83</v>
      </c>
      <c r="H5" s="260"/>
    </row>
    <row r="6" spans="1:9" x14ac:dyDescent="0.2">
      <c r="A6" s="32">
        <v>2100</v>
      </c>
      <c r="B6" t="s">
        <v>835</v>
      </c>
      <c r="C6" s="246">
        <f t="shared" si="0"/>
        <v>1056340.8600000001</v>
      </c>
      <c r="D6" s="20">
        <f>'DOE25'!L194+'DOE25'!L212+'DOE25'!L230-F6-G6</f>
        <v>1055835.8600000001</v>
      </c>
      <c r="E6" s="244"/>
      <c r="F6" s="256">
        <f>'DOE25'!J194+'DOE25'!J212+'DOE25'!J230</f>
        <v>0</v>
      </c>
      <c r="G6" s="53">
        <f>'DOE25'!K194+'DOE25'!K212+'DOE25'!K230</f>
        <v>505</v>
      </c>
      <c r="H6" s="260"/>
    </row>
    <row r="7" spans="1:9" x14ac:dyDescent="0.2">
      <c r="A7" s="32">
        <v>2200</v>
      </c>
      <c r="B7" t="s">
        <v>868</v>
      </c>
      <c r="C7" s="246">
        <f t="shared" si="0"/>
        <v>980094.52</v>
      </c>
      <c r="D7" s="20">
        <f>'DOE25'!L195+'DOE25'!L213+'DOE25'!L231-F7-G7</f>
        <v>795131.65</v>
      </c>
      <c r="E7" s="244"/>
      <c r="F7" s="256">
        <f>'DOE25'!J195+'DOE25'!J213+'DOE25'!J231</f>
        <v>184962.87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330819.68999999994</v>
      </c>
      <c r="D8" s="244"/>
      <c r="E8" s="20">
        <f>'DOE25'!L196+'DOE25'!L214+'DOE25'!L232-F8-G8-D9-D11</f>
        <v>319140.78999999992</v>
      </c>
      <c r="F8" s="256">
        <f>'DOE25'!J196+'DOE25'!J214+'DOE25'!J232</f>
        <v>0</v>
      </c>
      <c r="G8" s="53">
        <f>'DOE25'!K196+'DOE25'!K214+'DOE25'!K232</f>
        <v>11678.9</v>
      </c>
      <c r="H8" s="260"/>
    </row>
    <row r="9" spans="1:9" x14ac:dyDescent="0.2">
      <c r="A9" s="32">
        <v>2310</v>
      </c>
      <c r="B9" t="s">
        <v>852</v>
      </c>
      <c r="C9" s="246">
        <f t="shared" si="0"/>
        <v>93158.23</v>
      </c>
      <c r="D9" s="245">
        <v>93158.23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16723.5</v>
      </c>
      <c r="D10" s="244"/>
      <c r="E10" s="245">
        <v>16723.5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164103.67000000001</v>
      </c>
      <c r="D11" s="245">
        <v>164103.67000000001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1153485.8700000001</v>
      </c>
      <c r="D12" s="20">
        <f>'DOE25'!L197+'DOE25'!L215+'DOE25'!L233-F12-G12</f>
        <v>1137017.07</v>
      </c>
      <c r="E12" s="244"/>
      <c r="F12" s="256">
        <f>'DOE25'!J197+'DOE25'!J215+'DOE25'!J233</f>
        <v>0</v>
      </c>
      <c r="G12" s="53">
        <f>'DOE25'!K197+'DOE25'!K215+'DOE25'!K233</f>
        <v>16468.8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1833278.13</v>
      </c>
      <c r="D14" s="20">
        <f>'DOE25'!L199+'DOE25'!L217+'DOE25'!L235-F14-G14</f>
        <v>1780774.68</v>
      </c>
      <c r="E14" s="244"/>
      <c r="F14" s="256">
        <f>'DOE25'!J199+'DOE25'!J217+'DOE25'!J235</f>
        <v>52023.45</v>
      </c>
      <c r="G14" s="53">
        <f>'DOE25'!K199+'DOE25'!K217+'DOE25'!K235</f>
        <v>480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682274.94</v>
      </c>
      <c r="D15" s="20">
        <f>'DOE25'!L200+'DOE25'!L218+'DOE25'!L236-F15-G15</f>
        <v>682274.94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1411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1411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116500.74</v>
      </c>
      <c r="D17" s="20">
        <f>'DOE25'!L243-F17-G17</f>
        <v>116500.74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43922.96</v>
      </c>
      <c r="D22" s="244"/>
      <c r="E22" s="244"/>
      <c r="F22" s="256">
        <f>'DOE25'!L247+'DOE25'!L328</f>
        <v>43922.96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2007912.5</v>
      </c>
      <c r="D25" s="244"/>
      <c r="E25" s="244"/>
      <c r="F25" s="259"/>
      <c r="G25" s="257"/>
      <c r="H25" s="258">
        <f>'DOE25'!L252+'DOE25'!L253+'DOE25'!L333+'DOE25'!L334</f>
        <v>2007912.5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251418.30999999994</v>
      </c>
      <c r="D29" s="20">
        <f>'DOE25'!L350+'DOE25'!L351+'DOE25'!L352-'DOE25'!I359-F29-G29</f>
        <v>246353.23999999993</v>
      </c>
      <c r="E29" s="244"/>
      <c r="F29" s="256">
        <f>'DOE25'!J350+'DOE25'!J351+'DOE25'!J352</f>
        <v>3708.32</v>
      </c>
      <c r="G29" s="53">
        <f>'DOE25'!K350+'DOE25'!K351+'DOE25'!K352</f>
        <v>1356.75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679091.96</v>
      </c>
      <c r="D31" s="20">
        <f>'DOE25'!L282+'DOE25'!L301+'DOE25'!L320+'DOE25'!L325+'DOE25'!L326+'DOE25'!L327-F31-G31</f>
        <v>589818.93999999994</v>
      </c>
      <c r="E31" s="244"/>
      <c r="F31" s="256">
        <f>'DOE25'!J282+'DOE25'!J301+'DOE25'!J320+'DOE25'!J325+'DOE25'!J326+'DOE25'!J327</f>
        <v>78423.799999999988</v>
      </c>
      <c r="G31" s="53">
        <f>'DOE25'!K282+'DOE25'!K301+'DOE25'!K320+'DOE25'!K325+'DOE25'!K326+'DOE25'!K327</f>
        <v>10849.22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18256619.960000001</v>
      </c>
      <c r="E33" s="247">
        <f>SUM(E5:E31)</f>
        <v>335864.28999999992</v>
      </c>
      <c r="F33" s="247">
        <f>SUM(F5:F31)</f>
        <v>484022.09</v>
      </c>
      <c r="G33" s="247">
        <f>SUM(G5:G31)</f>
        <v>67649.5</v>
      </c>
      <c r="H33" s="247">
        <f>SUM(H5:H31)</f>
        <v>2007912.5</v>
      </c>
    </row>
    <row r="35" spans="2:8" ht="12" thickBot="1" x14ac:dyDescent="0.25">
      <c r="B35" s="254" t="s">
        <v>881</v>
      </c>
      <c r="D35" s="255">
        <f>E33</f>
        <v>335864.28999999992</v>
      </c>
      <c r="E35" s="250"/>
    </row>
    <row r="36" spans="2:8" ht="12" thickTop="1" x14ac:dyDescent="0.2">
      <c r="B36" t="s">
        <v>849</v>
      </c>
      <c r="D36" s="20">
        <f>D33</f>
        <v>18256619.960000001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6B79-BEC4-468C-9229-2CFDE0DF6CFF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Winnacunnet Coop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1410137.72</v>
      </c>
      <c r="D9" s="95">
        <f>'DOE25'!G9</f>
        <v>200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33929.379999999997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101153.35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64529.65</v>
      </c>
      <c r="D12" s="95">
        <f>'DOE25'!G12</f>
        <v>305184.39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14045.29</v>
      </c>
      <c r="D13" s="95">
        <f>'DOE25'!G13</f>
        <v>9186.57</v>
      </c>
      <c r="E13" s="95">
        <f>'DOE25'!H13</f>
        <v>77128.38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24588.21</v>
      </c>
      <c r="D14" s="95">
        <f>'DOE25'!G14</f>
        <v>851.42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1547230.2499999998</v>
      </c>
      <c r="D19" s="41">
        <f>SUM(D9:D18)</f>
        <v>315422.38</v>
      </c>
      <c r="E19" s="41">
        <f>SUM(E9:E18)</f>
        <v>77128.38</v>
      </c>
      <c r="F19" s="41">
        <f>SUM(F9:F18)</f>
        <v>0</v>
      </c>
      <c r="G19" s="41">
        <f>SUM(G9:G18)</f>
        <v>101153.35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305184.39</v>
      </c>
      <c r="D22" s="95">
        <f>'DOE25'!G23</f>
        <v>0</v>
      </c>
      <c r="E22" s="95">
        <f>'DOE25'!H23</f>
        <v>64529.73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239650.28</v>
      </c>
      <c r="D24" s="95">
        <f>'DOE25'!G25</f>
        <v>4075.12</v>
      </c>
      <c r="E24" s="95">
        <f>'DOE25'!H25</f>
        <v>11872.36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13551.2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45575.040000000001</v>
      </c>
      <c r="D29" s="95">
        <f>'DOE25'!G30</f>
        <v>0</v>
      </c>
      <c r="E29" s="95">
        <f>'DOE25'!H30</f>
        <v>726.29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6728.59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603960.91</v>
      </c>
      <c r="D32" s="41">
        <f>SUM(D22:D31)</f>
        <v>10803.71</v>
      </c>
      <c r="E32" s="41">
        <f>SUM(E22:E31)</f>
        <v>77128.37999999999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75666.899999999994</v>
      </c>
      <c r="D36" s="95">
        <f>'DOE25'!G37</f>
        <v>14435.01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100000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8632.4599999999991</v>
      </c>
      <c r="D40" s="95">
        <f>'DOE25'!G41</f>
        <v>290183.65999999997</v>
      </c>
      <c r="E40" s="95">
        <f>'DOE25'!H41</f>
        <v>0</v>
      </c>
      <c r="F40" s="95">
        <f>'DOE25'!I41</f>
        <v>0</v>
      </c>
      <c r="G40" s="95">
        <f>'DOE25'!J41</f>
        <v>101153.35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758969.98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943269.34</v>
      </c>
      <c r="D42" s="41">
        <f>SUM(D34:D41)</f>
        <v>304618.67</v>
      </c>
      <c r="E42" s="41">
        <f>SUM(E34:E41)</f>
        <v>0</v>
      </c>
      <c r="F42" s="41">
        <f>SUM(F34:F41)</f>
        <v>0</v>
      </c>
      <c r="G42" s="41">
        <f>SUM(G34:G41)</f>
        <v>101153.35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1547230.25</v>
      </c>
      <c r="D43" s="41">
        <f>D42+D32</f>
        <v>315422.38</v>
      </c>
      <c r="E43" s="41">
        <f>E42+E32</f>
        <v>77128.37999999999</v>
      </c>
      <c r="F43" s="41">
        <f>F42+F32</f>
        <v>0</v>
      </c>
      <c r="G43" s="41">
        <f>G42+G32</f>
        <v>101153.35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14535543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42942.82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21389.08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1661.47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476826.26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95568.010000000009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3589.88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159899.91</v>
      </c>
      <c r="D54" s="130">
        <f>SUM(D49:D53)</f>
        <v>476826.26</v>
      </c>
      <c r="E54" s="130">
        <f>SUM(E49:E53)</f>
        <v>0</v>
      </c>
      <c r="F54" s="130">
        <f>SUM(F49:F53)</f>
        <v>0</v>
      </c>
      <c r="G54" s="130">
        <f>SUM(G49:G53)</f>
        <v>5251.35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14695442.91</v>
      </c>
      <c r="D55" s="22">
        <f>D48+D54</f>
        <v>476826.26</v>
      </c>
      <c r="E55" s="22">
        <f>E48+E54</f>
        <v>0</v>
      </c>
      <c r="F55" s="22">
        <f>F48+F54</f>
        <v>0</v>
      </c>
      <c r="G55" s="22">
        <f>G48+G54</f>
        <v>5251.35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314818.8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4421554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120786.2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4857159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491019.18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102704.42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11681.6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5039.54</v>
      </c>
      <c r="E69" s="95">
        <f>SUM('DOE25'!H123:H127)</f>
        <v>61392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605405.19999999995</v>
      </c>
      <c r="D70" s="130">
        <f>SUM(D64:D69)</f>
        <v>5039.54</v>
      </c>
      <c r="E70" s="130">
        <f>SUM(E64:E69)</f>
        <v>61392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5462564.2000000002</v>
      </c>
      <c r="D73" s="130">
        <f>SUM(D71:D72)+D70+D62</f>
        <v>5039.54</v>
      </c>
      <c r="E73" s="130">
        <f>SUM(E71:E72)+E70+E62</f>
        <v>61392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149527.81</v>
      </c>
      <c r="D80" s="95">
        <f>SUM('DOE25'!G145:G153)</f>
        <v>118123.45</v>
      </c>
      <c r="E80" s="95">
        <f>SUM('DOE25'!H145:H153)</f>
        <v>617699.96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21626.48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149527.81</v>
      </c>
      <c r="D83" s="131">
        <f>SUM(D77:D82)</f>
        <v>139749.93</v>
      </c>
      <c r="E83" s="131">
        <f>SUM(E77:E82)</f>
        <v>617699.96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25000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25000</v>
      </c>
    </row>
    <row r="96" spans="1:7" ht="12.75" thickTop="1" thickBot="1" x14ac:dyDescent="0.25">
      <c r="A96" s="33" t="s">
        <v>797</v>
      </c>
      <c r="C96" s="86">
        <f>C55+C73+C83+C95</f>
        <v>20307534.919999998</v>
      </c>
      <c r="D96" s="86">
        <f>D55+D73+D83+D95</f>
        <v>621615.73</v>
      </c>
      <c r="E96" s="86">
        <f>E55+E73+E83+E95</f>
        <v>679091.96</v>
      </c>
      <c r="F96" s="86">
        <f>F55+F73+F83+F95</f>
        <v>0</v>
      </c>
      <c r="G96" s="86">
        <f>G55+G73+G95</f>
        <v>30251.35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8053227.6800000006</v>
      </c>
      <c r="D101" s="24" t="s">
        <v>312</v>
      </c>
      <c r="E101" s="95">
        <f>('DOE25'!L268)+('DOE25'!L287)+('DOE25'!L306)</f>
        <v>255578.12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2676869.88</v>
      </c>
      <c r="D102" s="24" t="s">
        <v>312</v>
      </c>
      <c r="E102" s="95">
        <f>('DOE25'!L269)+('DOE25'!L288)+('DOE25'!L307)</f>
        <v>353318.23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180780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830653.9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116500.74</v>
      </c>
      <c r="D106" s="24" t="s">
        <v>312</v>
      </c>
      <c r="E106" s="95">
        <f>+ SUM('DOE25'!L325:L327)</f>
        <v>60474.71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11858032.200000001</v>
      </c>
      <c r="D107" s="86">
        <f>SUM(D101:D106)</f>
        <v>0</v>
      </c>
      <c r="E107" s="86">
        <f>SUM(E101:E106)</f>
        <v>669371.05999999994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1056340.8600000001</v>
      </c>
      <c r="D110" s="24" t="s">
        <v>312</v>
      </c>
      <c r="E110" s="95">
        <f>+('DOE25'!L273)+('DOE25'!L292)+('DOE25'!L311)</f>
        <v>190.4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980094.52</v>
      </c>
      <c r="D111" s="24" t="s">
        <v>312</v>
      </c>
      <c r="E111" s="95">
        <f>+('DOE25'!L274)+('DOE25'!L293)+('DOE25'!L312)</f>
        <v>398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588081.59</v>
      </c>
      <c r="D112" s="24" t="s">
        <v>312</v>
      </c>
      <c r="E112" s="95">
        <f>+('DOE25'!L275)+('DOE25'!L294)+('DOE25'!L313)</f>
        <v>9132.5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1153485.8700000001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1833278.13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682274.94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1411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542024.3899999999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6294966.9100000001</v>
      </c>
      <c r="D120" s="86">
        <f>SUM(D110:D119)</f>
        <v>542024.3899999999</v>
      </c>
      <c r="E120" s="86">
        <f>SUM(E110:E119)</f>
        <v>9720.9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43922.96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930000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1077912.5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30251.35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-5251.3499999999985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2076835.46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20229834.57</v>
      </c>
      <c r="D137" s="86">
        <f>(D107+D120+D136)</f>
        <v>542024.3899999999</v>
      </c>
      <c r="E137" s="86">
        <f>(E107+E120+E136)</f>
        <v>679091.96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August 2004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August 2024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25484800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4.54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22180000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22180000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930000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930000</v>
      </c>
    </row>
    <row r="151" spans="1:7" x14ac:dyDescent="0.2">
      <c r="A151" s="22" t="s">
        <v>35</v>
      </c>
      <c r="B151" s="137">
        <f>'DOE25'!F488</f>
        <v>21250000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21250000</v>
      </c>
    </row>
    <row r="152" spans="1:7" x14ac:dyDescent="0.2">
      <c r="A152" s="22" t="s">
        <v>36</v>
      </c>
      <c r="B152" s="137">
        <f>'DOE25'!F489</f>
        <v>8864031.25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8864031.25</v>
      </c>
    </row>
    <row r="153" spans="1:7" x14ac:dyDescent="0.2">
      <c r="A153" s="22" t="s">
        <v>37</v>
      </c>
      <c r="B153" s="137">
        <f>'DOE25'!F490</f>
        <v>30114031.25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30114031.25</v>
      </c>
    </row>
    <row r="154" spans="1:7" x14ac:dyDescent="0.2">
      <c r="A154" s="22" t="s">
        <v>38</v>
      </c>
      <c r="B154" s="137">
        <f>'DOE25'!F491</f>
        <v>975000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975000</v>
      </c>
    </row>
    <row r="155" spans="1:7" x14ac:dyDescent="0.2">
      <c r="A155" s="22" t="s">
        <v>39</v>
      </c>
      <c r="B155" s="137">
        <f>'DOE25'!F492</f>
        <v>1030287.5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1030287.5</v>
      </c>
    </row>
    <row r="156" spans="1:7" x14ac:dyDescent="0.2">
      <c r="A156" s="22" t="s">
        <v>269</v>
      </c>
      <c r="B156" s="137">
        <f>'DOE25'!F493</f>
        <v>2005287.5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2005287.5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702A-A12D-40C4-9CBC-0DEF91AB4F63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Winnacunnet Coop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14172</v>
      </c>
    </row>
    <row r="7" spans="1:4" x14ac:dyDescent="0.2">
      <c r="B7" t="s">
        <v>736</v>
      </c>
      <c r="C7" s="179">
        <f>IF('DOE25'!I655+'DOE25'!I660=0,0,ROUND('DOE25'!I662,0))</f>
        <v>14172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8308806</v>
      </c>
      <c r="D10" s="182">
        <f>ROUND((C10/$C$28)*100,1)</f>
        <v>41.6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3030188</v>
      </c>
      <c r="D11" s="182">
        <f>ROUND((C11/$C$28)*100,1)</f>
        <v>15.2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180780</v>
      </c>
      <c r="D12" s="182">
        <f>ROUND((C12/$C$28)*100,1)</f>
        <v>0.9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830654</v>
      </c>
      <c r="D13" s="182">
        <f>ROUND((C13/$C$28)*100,1)</f>
        <v>4.2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1056531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980493</v>
      </c>
      <c r="D16" s="182">
        <f t="shared" si="0"/>
        <v>4.9000000000000004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598625</v>
      </c>
      <c r="D17" s="182">
        <f t="shared" si="0"/>
        <v>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1153486</v>
      </c>
      <c r="D18" s="182">
        <f t="shared" si="0"/>
        <v>5.8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1833278</v>
      </c>
      <c r="D20" s="182">
        <f t="shared" si="0"/>
        <v>9.1999999999999993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682275</v>
      </c>
      <c r="D21" s="182">
        <f t="shared" si="0"/>
        <v>3.4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176975</v>
      </c>
      <c r="D24" s="182">
        <f t="shared" si="0"/>
        <v>0.9</v>
      </c>
    </row>
    <row r="25" spans="1:4" x14ac:dyDescent="0.2">
      <c r="A25">
        <v>5120</v>
      </c>
      <c r="B25" t="s">
        <v>751</v>
      </c>
      <c r="C25" s="179">
        <f>ROUND('DOE25'!L253+'DOE25'!L334,0)</f>
        <v>1077913</v>
      </c>
      <c r="D25" s="182">
        <f t="shared" si="0"/>
        <v>5.4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65197.739999999991</v>
      </c>
      <c r="D27" s="182">
        <f t="shared" si="0"/>
        <v>0.3</v>
      </c>
    </row>
    <row r="28" spans="1:4" x14ac:dyDescent="0.2">
      <c r="B28" s="187" t="s">
        <v>754</v>
      </c>
      <c r="C28" s="180">
        <f>SUM(C10:C27)</f>
        <v>19975201.739999998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43923</v>
      </c>
    </row>
    <row r="30" spans="1:4" x14ac:dyDescent="0.2">
      <c r="B30" s="187" t="s">
        <v>760</v>
      </c>
      <c r="C30" s="180">
        <f>SUM(C28:C29)</f>
        <v>20019124.739999998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930000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14535543</v>
      </c>
      <c r="D35" s="182">
        <f t="shared" ref="D35:D40" si="1">ROUND((C35/$C$41)*100,1)</f>
        <v>68.8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165151.25999999978</v>
      </c>
      <c r="D36" s="182">
        <f t="shared" si="1"/>
        <v>0.8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4736373</v>
      </c>
      <c r="D37" s="182">
        <f t="shared" si="1"/>
        <v>22.4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792623</v>
      </c>
      <c r="D38" s="182">
        <f t="shared" si="1"/>
        <v>3.7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906978</v>
      </c>
      <c r="D39" s="182">
        <f t="shared" si="1"/>
        <v>4.3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21136668.259999998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F0C2-022F-4B79-A48E-92B3E45B0A6E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Winnacunnet Coop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2010-08-26T17:29:48Z</cp:lastPrinted>
  <dcterms:created xsi:type="dcterms:W3CDTF">1997-12-04T19:04:30Z</dcterms:created>
  <dcterms:modified xsi:type="dcterms:W3CDTF">2025-01-09T20:15:58Z</dcterms:modified>
</cp:coreProperties>
</file>