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1898B27-71EB-4E92-A257-E7ABCDE128D3}" xr6:coauthVersionLast="47" xr6:coauthVersionMax="47" xr10:uidLastSave="{00000000-0000-0000-0000-000000000000}"/>
  <workbookProtection workbookPassword="B70A" lockStructure="1"/>
  <bookViews>
    <workbookView xWindow="-120" yWindow="-120" windowWidth="29040" windowHeight="15990" tabRatio="855" xr2:uid="{1EA886FF-7E43-4592-BE6F-216F9CDA959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190" i="1"/>
  <c r="G227" i="1"/>
  <c r="F227" i="1"/>
  <c r="C60" i="2"/>
  <c r="B2" i="13"/>
  <c r="F8" i="13"/>
  <c r="G8" i="13"/>
  <c r="L196" i="1"/>
  <c r="L214" i="1"/>
  <c r="L232" i="1"/>
  <c r="C112" i="2" s="1"/>
  <c r="E8" i="13"/>
  <c r="E33" i="13" s="1"/>
  <c r="D35" i="13" s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G5" i="13"/>
  <c r="L189" i="1"/>
  <c r="L190" i="1"/>
  <c r="L191" i="1"/>
  <c r="L192" i="1"/>
  <c r="L207" i="1"/>
  <c r="C101" i="2" s="1"/>
  <c r="L208" i="1"/>
  <c r="C102" i="2" s="1"/>
  <c r="L209" i="1"/>
  <c r="C103" i="2" s="1"/>
  <c r="L210" i="1"/>
  <c r="L225" i="1"/>
  <c r="L226" i="1"/>
  <c r="L227" i="1"/>
  <c r="L228" i="1"/>
  <c r="F6" i="13"/>
  <c r="G6" i="13"/>
  <c r="L194" i="1"/>
  <c r="L212" i="1"/>
  <c r="C110" i="2" s="1"/>
  <c r="L230" i="1"/>
  <c r="L239" i="1" s="1"/>
  <c r="D6" i="13"/>
  <c r="C6" i="13" s="1"/>
  <c r="F7" i="13"/>
  <c r="G7" i="13"/>
  <c r="L195" i="1"/>
  <c r="L213" i="1"/>
  <c r="L231" i="1"/>
  <c r="D7" i="13"/>
  <c r="F12" i="13"/>
  <c r="G12" i="13"/>
  <c r="L197" i="1"/>
  <c r="L215" i="1"/>
  <c r="C18" i="10" s="1"/>
  <c r="L233" i="1"/>
  <c r="D12" i="13"/>
  <c r="C12" i="13" s="1"/>
  <c r="F14" i="13"/>
  <c r="G14" i="13"/>
  <c r="L199" i="1"/>
  <c r="L217" i="1"/>
  <c r="L235" i="1"/>
  <c r="D14" i="13"/>
  <c r="C14" i="13" s="1"/>
  <c r="F15" i="13"/>
  <c r="G15" i="13"/>
  <c r="L200" i="1"/>
  <c r="L218" i="1"/>
  <c r="G652" i="1" s="1"/>
  <c r="L236" i="1"/>
  <c r="H652" i="1" s="1"/>
  <c r="D15" i="13"/>
  <c r="C15" i="13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C106" i="2" s="1"/>
  <c r="D19" i="13"/>
  <c r="C19" i="13" s="1"/>
  <c r="F29" i="13"/>
  <c r="G29" i="13"/>
  <c r="L350" i="1"/>
  <c r="L354" i="1" s="1"/>
  <c r="L351" i="1"/>
  <c r="L352" i="1"/>
  <c r="I359" i="1"/>
  <c r="D29" i="13" s="1"/>
  <c r="C29" i="13" s="1"/>
  <c r="J282" i="1"/>
  <c r="J301" i="1"/>
  <c r="J320" i="1"/>
  <c r="J330" i="1" s="1"/>
  <c r="J344" i="1" s="1"/>
  <c r="F31" i="13"/>
  <c r="F33" i="13" s="1"/>
  <c r="K282" i="1"/>
  <c r="G31" i="13" s="1"/>
  <c r="K301" i="1"/>
  <c r="K320" i="1"/>
  <c r="L268" i="1"/>
  <c r="L269" i="1"/>
  <c r="L270" i="1"/>
  <c r="L282" i="1" s="1"/>
  <c r="L271" i="1"/>
  <c r="L273" i="1"/>
  <c r="L274" i="1"/>
  <c r="L275" i="1"/>
  <c r="L276" i="1"/>
  <c r="E113" i="2" s="1"/>
  <c r="L277" i="1"/>
  <c r="C19" i="10" s="1"/>
  <c r="L278" i="1"/>
  <c r="L279" i="1"/>
  <c r="L280" i="1"/>
  <c r="L287" i="1"/>
  <c r="L288" i="1"/>
  <c r="L301" i="1" s="1"/>
  <c r="L289" i="1"/>
  <c r="L290" i="1"/>
  <c r="L292" i="1"/>
  <c r="L293" i="1"/>
  <c r="E111" i="2" s="1"/>
  <c r="L294" i="1"/>
  <c r="E112" i="2" s="1"/>
  <c r="L295" i="1"/>
  <c r="L296" i="1"/>
  <c r="L297" i="1"/>
  <c r="L298" i="1"/>
  <c r="L299" i="1"/>
  <c r="L306" i="1"/>
  <c r="L307" i="1"/>
  <c r="L308" i="1"/>
  <c r="L309" i="1"/>
  <c r="L311" i="1"/>
  <c r="L320" i="1" s="1"/>
  <c r="L312" i="1"/>
  <c r="L313" i="1"/>
  <c r="L314" i="1"/>
  <c r="L315" i="1"/>
  <c r="L316" i="1"/>
  <c r="L317" i="1"/>
  <c r="L318" i="1"/>
  <c r="L325" i="1"/>
  <c r="L326" i="1"/>
  <c r="L327" i="1"/>
  <c r="L252" i="1"/>
  <c r="L253" i="1"/>
  <c r="L333" i="1"/>
  <c r="L334" i="1"/>
  <c r="H25" i="13"/>
  <c r="C25" i="13" s="1"/>
  <c r="L247" i="1"/>
  <c r="L328" i="1"/>
  <c r="F22" i="13"/>
  <c r="C22" i="13" s="1"/>
  <c r="C11" i="13"/>
  <c r="C10" i="13"/>
  <c r="C9" i="13"/>
  <c r="C7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 s="1"/>
  <c r="L601" i="1"/>
  <c r="F653" i="1" s="1"/>
  <c r="C40" i="10"/>
  <c r="F52" i="1"/>
  <c r="F104" i="1" s="1"/>
  <c r="G52" i="1"/>
  <c r="C35" i="10" s="1"/>
  <c r="H52" i="1"/>
  <c r="H104" i="1" s="1"/>
  <c r="H185" i="1" s="1"/>
  <c r="G619" i="1" s="1"/>
  <c r="J619" i="1" s="1"/>
  <c r="I52" i="1"/>
  <c r="I104" i="1" s="1"/>
  <c r="I185" i="1" s="1"/>
  <c r="G620" i="1" s="1"/>
  <c r="J620" i="1" s="1"/>
  <c r="F71" i="1"/>
  <c r="F86" i="1"/>
  <c r="F103" i="1"/>
  <c r="G103" i="1"/>
  <c r="H71" i="1"/>
  <c r="H86" i="1"/>
  <c r="H103" i="1"/>
  <c r="I103" i="1"/>
  <c r="J103" i="1"/>
  <c r="J104" i="1"/>
  <c r="C37" i="10"/>
  <c r="F113" i="1"/>
  <c r="F132" i="1" s="1"/>
  <c r="C38" i="10" s="1"/>
  <c r="F128" i="1"/>
  <c r="G113" i="1"/>
  <c r="G128" i="1"/>
  <c r="G132" i="1"/>
  <c r="H113" i="1"/>
  <c r="H132" i="1" s="1"/>
  <c r="H128" i="1"/>
  <c r="I113" i="1"/>
  <c r="I132" i="1" s="1"/>
  <c r="I128" i="1"/>
  <c r="J113" i="1"/>
  <c r="J132" i="1" s="1"/>
  <c r="J185" i="1" s="1"/>
  <c r="J128" i="1"/>
  <c r="F139" i="1"/>
  <c r="F154" i="1"/>
  <c r="F161" i="1"/>
  <c r="G139" i="1"/>
  <c r="G161" i="1" s="1"/>
  <c r="G154" i="1"/>
  <c r="H139" i="1"/>
  <c r="H161" i="1" s="1"/>
  <c r="H154" i="1"/>
  <c r="I139" i="1"/>
  <c r="I161" i="1" s="1"/>
  <c r="I154" i="1"/>
  <c r="C13" i="10"/>
  <c r="C15" i="10"/>
  <c r="C16" i="10"/>
  <c r="C20" i="10"/>
  <c r="L242" i="1"/>
  <c r="C23" i="10" s="1"/>
  <c r="L324" i="1"/>
  <c r="L246" i="1"/>
  <c r="C25" i="10"/>
  <c r="L260" i="1"/>
  <c r="C26" i="10" s="1"/>
  <c r="L261" i="1"/>
  <c r="L341" i="1"/>
  <c r="L342" i="1"/>
  <c r="I655" i="1"/>
  <c r="I660" i="1"/>
  <c r="F651" i="1"/>
  <c r="G651" i="1"/>
  <c r="H651" i="1"/>
  <c r="I651" i="1"/>
  <c r="F652" i="1"/>
  <c r="I659" i="1"/>
  <c r="C42" i="10"/>
  <c r="C32" i="10"/>
  <c r="L366" i="1"/>
  <c r="C29" i="10" s="1"/>
  <c r="L367" i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1" i="1"/>
  <c r="F539" i="1"/>
  <c r="L512" i="1"/>
  <c r="F540" i="1"/>
  <c r="L513" i="1"/>
  <c r="L514" i="1" s="1"/>
  <c r="F541" i="1"/>
  <c r="F542" i="1"/>
  <c r="L516" i="1"/>
  <c r="G539" i="1" s="1"/>
  <c r="L517" i="1"/>
  <c r="G540" i="1"/>
  <c r="K540" i="1" s="1"/>
  <c r="L518" i="1"/>
  <c r="G541" i="1" s="1"/>
  <c r="L521" i="1"/>
  <c r="H539" i="1"/>
  <c r="L522" i="1"/>
  <c r="L524" i="1" s="1"/>
  <c r="H540" i="1"/>
  <c r="L523" i="1"/>
  <c r="H541" i="1" s="1"/>
  <c r="L526" i="1"/>
  <c r="I539" i="1"/>
  <c r="I542" i="1" s="1"/>
  <c r="L527" i="1"/>
  <c r="I540" i="1" s="1"/>
  <c r="L528" i="1"/>
  <c r="I541" i="1" s="1"/>
  <c r="L531" i="1"/>
  <c r="J539" i="1"/>
  <c r="J542" i="1" s="1"/>
  <c r="L532" i="1"/>
  <c r="J540" i="1" s="1"/>
  <c r="L533" i="1"/>
  <c r="J541" i="1"/>
  <c r="E124" i="2"/>
  <c r="E123" i="2"/>
  <c r="E136" i="2" s="1"/>
  <c r="K262" i="1"/>
  <c r="J262" i="1"/>
  <c r="I262" i="1"/>
  <c r="L262" i="1" s="1"/>
  <c r="H262" i="1"/>
  <c r="G262" i="1"/>
  <c r="F262" i="1"/>
  <c r="C124" i="2"/>
  <c r="C123" i="2"/>
  <c r="A1" i="2"/>
  <c r="A2" i="2"/>
  <c r="C9" i="2"/>
  <c r="C19" i="2" s="1"/>
  <c r="D9" i="2"/>
  <c r="D19" i="2" s="1"/>
  <c r="E9" i="2"/>
  <c r="E19" i="2" s="1"/>
  <c r="F9" i="2"/>
  <c r="F19" i="2" s="1"/>
  <c r="I431" i="1"/>
  <c r="J9" i="1" s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E23" i="2"/>
  <c r="F23" i="2"/>
  <c r="I441" i="1"/>
  <c r="J24" i="1"/>
  <c r="G23" i="2"/>
  <c r="C24" i="2"/>
  <c r="C32" i="2" s="1"/>
  <c r="D24" i="2"/>
  <c r="D32" i="2" s="1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E32" i="2" s="1"/>
  <c r="F30" i="2"/>
  <c r="C31" i="2"/>
  <c r="D31" i="2"/>
  <c r="E31" i="2"/>
  <c r="F31" i="2"/>
  <c r="I443" i="1"/>
  <c r="J32" i="1"/>
  <c r="G31" i="2" s="1"/>
  <c r="F32" i="2"/>
  <c r="C34" i="2"/>
  <c r="D34" i="2"/>
  <c r="E34" i="2"/>
  <c r="E42" i="2" s="1"/>
  <c r="F34" i="2"/>
  <c r="C35" i="2"/>
  <c r="D35" i="2"/>
  <c r="E35" i="2"/>
  <c r="F35" i="2"/>
  <c r="C36" i="2"/>
  <c r="C42" i="2" s="1"/>
  <c r="D36" i="2"/>
  <c r="D42" i="2" s="1"/>
  <c r="E36" i="2"/>
  <c r="F36" i="2"/>
  <c r="F42" i="2" s="1"/>
  <c r="F43" i="2" s="1"/>
  <c r="I446" i="1"/>
  <c r="J37" i="1"/>
  <c r="G36" i="2"/>
  <c r="C37" i="2"/>
  <c r="D37" i="2"/>
  <c r="E37" i="2"/>
  <c r="F37" i="2"/>
  <c r="I447" i="1"/>
  <c r="J38" i="1"/>
  <c r="J43" i="1" s="1"/>
  <c r="G37" i="2"/>
  <c r="C38" i="2"/>
  <c r="D38" i="2"/>
  <c r="E38" i="2"/>
  <c r="F38" i="2"/>
  <c r="I448" i="1"/>
  <c r="J40" i="1"/>
  <c r="G39" i="2" s="1"/>
  <c r="C40" i="2"/>
  <c r="D40" i="2"/>
  <c r="E40" i="2"/>
  <c r="F40" i="2"/>
  <c r="I449" i="1"/>
  <c r="I450" i="1" s="1"/>
  <c r="J41" i="1"/>
  <c r="G40" i="2" s="1"/>
  <c r="C41" i="2"/>
  <c r="D41" i="2"/>
  <c r="E41" i="2"/>
  <c r="F41" i="2"/>
  <c r="C48" i="2"/>
  <c r="C49" i="2"/>
  <c r="E49" i="2"/>
  <c r="C50" i="2"/>
  <c r="C54" i="2" s="1"/>
  <c r="C55" i="2" s="1"/>
  <c r="E50" i="2"/>
  <c r="E54" i="2" s="1"/>
  <c r="C51" i="2"/>
  <c r="D51" i="2"/>
  <c r="E51" i="2"/>
  <c r="F51" i="2"/>
  <c r="D52" i="2"/>
  <c r="C53" i="2"/>
  <c r="D53" i="2"/>
  <c r="E53" i="2"/>
  <c r="F53" i="2"/>
  <c r="D54" i="2"/>
  <c r="F54" i="2"/>
  <c r="C58" i="2"/>
  <c r="C59" i="2"/>
  <c r="C61" i="2"/>
  <c r="D61" i="2"/>
  <c r="E61" i="2"/>
  <c r="E62" i="2" s="1"/>
  <c r="F61" i="2"/>
  <c r="F62" i="2" s="1"/>
  <c r="G61" i="2"/>
  <c r="G62" i="2" s="1"/>
  <c r="C62" i="2"/>
  <c r="D62" i="2"/>
  <c r="C64" i="2"/>
  <c r="C70" i="2" s="1"/>
  <c r="C73" i="2" s="1"/>
  <c r="F64" i="2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F70" i="2"/>
  <c r="F73" i="2" s="1"/>
  <c r="G70" i="2"/>
  <c r="G73" i="2" s="1"/>
  <c r="C71" i="2"/>
  <c r="D71" i="2"/>
  <c r="E71" i="2"/>
  <c r="C72" i="2"/>
  <c r="E72" i="2"/>
  <c r="C77" i="2"/>
  <c r="C83" i="2" s="1"/>
  <c r="D77" i="2"/>
  <c r="D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D95" i="2" s="1"/>
  <c r="E88" i="2"/>
  <c r="E95" i="2" s="1"/>
  <c r="F88" i="2"/>
  <c r="G88" i="2"/>
  <c r="G95" i="2" s="1"/>
  <c r="C89" i="2"/>
  <c r="D89" i="2"/>
  <c r="E89" i="2"/>
  <c r="F89" i="2"/>
  <c r="G89" i="2"/>
  <c r="C90" i="2"/>
  <c r="C95" i="2" s="1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2" i="2"/>
  <c r="E107" i="2" s="1"/>
  <c r="E103" i="2"/>
  <c r="C104" i="2"/>
  <c r="E104" i="2"/>
  <c r="C105" i="2"/>
  <c r="E105" i="2"/>
  <c r="E106" i="2"/>
  <c r="D107" i="2"/>
  <c r="F107" i="2"/>
  <c r="G107" i="2"/>
  <c r="C111" i="2"/>
  <c r="C113" i="2"/>
  <c r="C114" i="2"/>
  <c r="C115" i="2"/>
  <c r="E115" i="2"/>
  <c r="E116" i="2"/>
  <c r="E117" i="2"/>
  <c r="D119" i="2"/>
  <c r="D120" i="2"/>
  <c r="D137" i="2" s="1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G149" i="2" s="1"/>
  <c r="E149" i="2"/>
  <c r="F149" i="2"/>
  <c r="B150" i="2"/>
  <c r="C150" i="2"/>
  <c r="G150" i="2" s="1"/>
  <c r="D150" i="2"/>
  <c r="E150" i="2"/>
  <c r="F150" i="2"/>
  <c r="B151" i="2"/>
  <c r="C151" i="2"/>
  <c r="D151" i="2"/>
  <c r="G151" i="2" s="1"/>
  <c r="E151" i="2"/>
  <c r="F151" i="2"/>
  <c r="B152" i="2"/>
  <c r="C152" i="2"/>
  <c r="G152" i="2" s="1"/>
  <c r="D152" i="2"/>
  <c r="E152" i="2"/>
  <c r="F152" i="2"/>
  <c r="F490" i="1"/>
  <c r="B153" i="2"/>
  <c r="G490" i="1"/>
  <c r="K490" i="1" s="1"/>
  <c r="C153" i="2"/>
  <c r="H490" i="1"/>
  <c r="D153" i="2" s="1"/>
  <c r="I490" i="1"/>
  <c r="E153" i="2"/>
  <c r="J490" i="1"/>
  <c r="F153" i="2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156" i="2" s="1"/>
  <c r="G493" i="1"/>
  <c r="K493" i="1" s="1"/>
  <c r="C156" i="2"/>
  <c r="H493" i="1"/>
  <c r="D156" i="2"/>
  <c r="I493" i="1"/>
  <c r="E156" i="2" s="1"/>
  <c r="J493" i="1"/>
  <c r="F156" i="2" s="1"/>
  <c r="F19" i="1"/>
  <c r="G19" i="1"/>
  <c r="H19" i="1"/>
  <c r="I19" i="1"/>
  <c r="F33" i="1"/>
  <c r="F44" i="1" s="1"/>
  <c r="H607" i="1" s="1"/>
  <c r="J607" i="1" s="1"/>
  <c r="G33" i="1"/>
  <c r="G44" i="1" s="1"/>
  <c r="H608" i="1" s="1"/>
  <c r="H33" i="1"/>
  <c r="I33" i="1"/>
  <c r="F43" i="1"/>
  <c r="G43" i="1"/>
  <c r="G613" i="1" s="1"/>
  <c r="H43" i="1"/>
  <c r="I43" i="1"/>
  <c r="H44" i="1"/>
  <c r="H609" i="1" s="1"/>
  <c r="J609" i="1" s="1"/>
  <c r="I44" i="1"/>
  <c r="H610" i="1" s="1"/>
  <c r="F169" i="1"/>
  <c r="I169" i="1"/>
  <c r="I184" i="1" s="1"/>
  <c r="F175" i="1"/>
  <c r="G175" i="1"/>
  <c r="G184" i="1" s="1"/>
  <c r="H175" i="1"/>
  <c r="I175" i="1"/>
  <c r="J175" i="1"/>
  <c r="F180" i="1"/>
  <c r="G180" i="1"/>
  <c r="H180" i="1"/>
  <c r="H184" i="1" s="1"/>
  <c r="I180" i="1"/>
  <c r="F184" i="1"/>
  <c r="J184" i="1"/>
  <c r="F203" i="1"/>
  <c r="G203" i="1"/>
  <c r="G249" i="1" s="1"/>
  <c r="G263" i="1" s="1"/>
  <c r="H203" i="1"/>
  <c r="H249" i="1" s="1"/>
  <c r="H263" i="1" s="1"/>
  <c r="I203" i="1"/>
  <c r="J203" i="1"/>
  <c r="J249" i="1" s="1"/>
  <c r="K203" i="1"/>
  <c r="F221" i="1"/>
  <c r="G221" i="1"/>
  <c r="H221" i="1"/>
  <c r="I221" i="1"/>
  <c r="J221" i="1"/>
  <c r="K221" i="1"/>
  <c r="K249" i="1" s="1"/>
  <c r="K263" i="1" s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F263" i="1" s="1"/>
  <c r="I249" i="1"/>
  <c r="I263" i="1"/>
  <c r="F282" i="1"/>
  <c r="G282" i="1"/>
  <c r="H282" i="1"/>
  <c r="I282" i="1"/>
  <c r="F301" i="1"/>
  <c r="G301" i="1"/>
  <c r="H301" i="1"/>
  <c r="I301" i="1"/>
  <c r="I330" i="1" s="1"/>
  <c r="I344" i="1" s="1"/>
  <c r="F320" i="1"/>
  <c r="F330" i="1" s="1"/>
  <c r="F344" i="1" s="1"/>
  <c r="G320" i="1"/>
  <c r="G330" i="1" s="1"/>
  <c r="G344" i="1" s="1"/>
  <c r="H320" i="1"/>
  <c r="I320" i="1"/>
  <c r="F329" i="1"/>
  <c r="G329" i="1"/>
  <c r="H329" i="1"/>
  <c r="L329" i="1" s="1"/>
  <c r="I329" i="1"/>
  <c r="J329" i="1"/>
  <c r="K329" i="1"/>
  <c r="H330" i="1"/>
  <c r="H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H426" i="1"/>
  <c r="I426" i="1"/>
  <c r="F438" i="1"/>
  <c r="G438" i="1"/>
  <c r="G630" i="1" s="1"/>
  <c r="H438" i="1"/>
  <c r="F444" i="1"/>
  <c r="G444" i="1"/>
  <c r="H444" i="1"/>
  <c r="H451" i="1" s="1"/>
  <c r="H631" i="1" s="1"/>
  <c r="J631" i="1" s="1"/>
  <c r="I444" i="1"/>
  <c r="I451" i="1" s="1"/>
  <c r="H632" i="1" s="1"/>
  <c r="F450" i="1"/>
  <c r="F451" i="1" s="1"/>
  <c r="H629" i="1" s="1"/>
  <c r="J629" i="1" s="1"/>
  <c r="G450" i="1"/>
  <c r="G451" i="1" s="1"/>
  <c r="H630" i="1" s="1"/>
  <c r="H450" i="1"/>
  <c r="F460" i="1"/>
  <c r="G460" i="1"/>
  <c r="G466" i="1" s="1"/>
  <c r="H613" i="1" s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F466" i="1" s="1"/>
  <c r="H612" i="1" s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K514" i="1"/>
  <c r="K535" i="1" s="1"/>
  <c r="F519" i="1"/>
  <c r="G519" i="1"/>
  <c r="H519" i="1"/>
  <c r="I519" i="1"/>
  <c r="J519" i="1"/>
  <c r="J535" i="1" s="1"/>
  <c r="K519" i="1"/>
  <c r="L519" i="1"/>
  <c r="F524" i="1"/>
  <c r="G524" i="1"/>
  <c r="H524" i="1"/>
  <c r="I524" i="1"/>
  <c r="J524" i="1"/>
  <c r="K524" i="1"/>
  <c r="F529" i="1"/>
  <c r="G529" i="1"/>
  <c r="H529" i="1"/>
  <c r="H535" i="1" s="1"/>
  <c r="I529" i="1"/>
  <c r="J529" i="1"/>
  <c r="K529" i="1"/>
  <c r="L529" i="1"/>
  <c r="F534" i="1"/>
  <c r="G534" i="1"/>
  <c r="H534" i="1"/>
  <c r="I534" i="1"/>
  <c r="J534" i="1"/>
  <c r="K534" i="1"/>
  <c r="G535" i="1"/>
  <c r="L547" i="1"/>
  <c r="L548" i="1"/>
  <c r="L549" i="1"/>
  <c r="F550" i="1"/>
  <c r="G550" i="1"/>
  <c r="G561" i="1" s="1"/>
  <c r="H550" i="1"/>
  <c r="H561" i="1" s="1"/>
  <c r="I550" i="1"/>
  <c r="I561" i="1" s="1"/>
  <c r="J550" i="1"/>
  <c r="J561" i="1" s="1"/>
  <c r="K550" i="1"/>
  <c r="L550" i="1"/>
  <c r="L561" i="1" s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58" i="1"/>
  <c r="L559" i="1"/>
  <c r="F560" i="1"/>
  <c r="G560" i="1"/>
  <c r="H560" i="1"/>
  <c r="I560" i="1"/>
  <c r="J560" i="1"/>
  <c r="K560" i="1"/>
  <c r="L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I588" i="1"/>
  <c r="J588" i="1"/>
  <c r="H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L604" i="1"/>
  <c r="G607" i="1"/>
  <c r="G608" i="1"/>
  <c r="G609" i="1"/>
  <c r="G610" i="1"/>
  <c r="J610" i="1" s="1"/>
  <c r="G612" i="1"/>
  <c r="J612" i="1" s="1"/>
  <c r="G614" i="1"/>
  <c r="J614" i="1" s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1" i="1"/>
  <c r="G633" i="1"/>
  <c r="G634" i="1"/>
  <c r="J634" i="1" s="1"/>
  <c r="G635" i="1"/>
  <c r="G639" i="1"/>
  <c r="H639" i="1"/>
  <c r="J639" i="1"/>
  <c r="G640" i="1"/>
  <c r="J640" i="1" s="1"/>
  <c r="H640" i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H638" i="1" l="1"/>
  <c r="J263" i="1"/>
  <c r="G22" i="2"/>
  <c r="G32" i="2" s="1"/>
  <c r="J33" i="1"/>
  <c r="C96" i="2"/>
  <c r="G96" i="2"/>
  <c r="G621" i="1"/>
  <c r="J621" i="1" s="1"/>
  <c r="G636" i="1"/>
  <c r="F185" i="1"/>
  <c r="G617" i="1" s="1"/>
  <c r="J617" i="1" s="1"/>
  <c r="C130" i="2"/>
  <c r="C133" i="2" s="1"/>
  <c r="L400" i="1"/>
  <c r="L330" i="1"/>
  <c r="L344" i="1" s="1"/>
  <c r="G623" i="1" s="1"/>
  <c r="J623" i="1" s="1"/>
  <c r="D31" i="13"/>
  <c r="C31" i="13" s="1"/>
  <c r="E43" i="2"/>
  <c r="H542" i="1"/>
  <c r="G625" i="1"/>
  <c r="J625" i="1" s="1"/>
  <c r="C27" i="10"/>
  <c r="I653" i="1"/>
  <c r="H650" i="1"/>
  <c r="H654" i="1" s="1"/>
  <c r="C107" i="2"/>
  <c r="J638" i="1"/>
  <c r="C120" i="2"/>
  <c r="J624" i="1"/>
  <c r="G153" i="2"/>
  <c r="G42" i="2"/>
  <c r="G43" i="2" s="1"/>
  <c r="D43" i="2"/>
  <c r="K539" i="1"/>
  <c r="G542" i="1"/>
  <c r="G33" i="13"/>
  <c r="J608" i="1"/>
  <c r="J637" i="1"/>
  <c r="J630" i="1"/>
  <c r="L426" i="1"/>
  <c r="G628" i="1" s="1"/>
  <c r="J628" i="1" s="1"/>
  <c r="J613" i="1"/>
  <c r="J44" i="1"/>
  <c r="H611" i="1" s="1"/>
  <c r="G616" i="1"/>
  <c r="J616" i="1" s="1"/>
  <c r="C43" i="2"/>
  <c r="I652" i="1"/>
  <c r="G9" i="2"/>
  <c r="G19" i="2" s="1"/>
  <c r="J19" i="1"/>
  <c r="G611" i="1" s="1"/>
  <c r="J611" i="1" s="1"/>
  <c r="K541" i="1"/>
  <c r="C39" i="10"/>
  <c r="L534" i="1"/>
  <c r="L535" i="1" s="1"/>
  <c r="C24" i="10"/>
  <c r="C12" i="10"/>
  <c r="C117" i="2"/>
  <c r="C11" i="10"/>
  <c r="I438" i="1"/>
  <c r="G632" i="1" s="1"/>
  <c r="J632" i="1" s="1"/>
  <c r="E110" i="2"/>
  <c r="F48" i="2"/>
  <c r="F55" i="2" s="1"/>
  <c r="F96" i="2" s="1"/>
  <c r="C10" i="10"/>
  <c r="G104" i="1"/>
  <c r="G185" i="1" s="1"/>
  <c r="G618" i="1" s="1"/>
  <c r="J618" i="1" s="1"/>
  <c r="H33" i="13"/>
  <c r="L374" i="1"/>
  <c r="G626" i="1" s="1"/>
  <c r="J626" i="1" s="1"/>
  <c r="F122" i="2"/>
  <c r="F136" i="2" s="1"/>
  <c r="F137" i="2" s="1"/>
  <c r="C116" i="2"/>
  <c r="E48" i="2"/>
  <c r="E55" i="2" s="1"/>
  <c r="E96" i="2" s="1"/>
  <c r="D5" i="13"/>
  <c r="C134" i="2"/>
  <c r="C136" i="2" s="1"/>
  <c r="D48" i="2"/>
  <c r="D55" i="2" s="1"/>
  <c r="D96" i="2" s="1"/>
  <c r="C21" i="10"/>
  <c r="H637" i="1"/>
  <c r="G641" i="1"/>
  <c r="J641" i="1" s="1"/>
  <c r="K330" i="1"/>
  <c r="K344" i="1" s="1"/>
  <c r="E114" i="2"/>
  <c r="L221" i="1"/>
  <c r="G650" i="1" s="1"/>
  <c r="G654" i="1" s="1"/>
  <c r="C8" i="13"/>
  <c r="L203" i="1"/>
  <c r="C17" i="10"/>
  <c r="C28" i="10" l="1"/>
  <c r="D10" i="10"/>
  <c r="C137" i="2"/>
  <c r="H657" i="1"/>
  <c r="H662" i="1"/>
  <c r="C6" i="10" s="1"/>
  <c r="D21" i="10"/>
  <c r="E120" i="2"/>
  <c r="E137" i="2" s="1"/>
  <c r="K542" i="1"/>
  <c r="G662" i="1"/>
  <c r="C5" i="10" s="1"/>
  <c r="G657" i="1"/>
  <c r="D11" i="10"/>
  <c r="C36" i="10"/>
  <c r="D33" i="13"/>
  <c r="D36" i="13" s="1"/>
  <c r="C5" i="13"/>
  <c r="H636" i="1"/>
  <c r="J636" i="1" s="1"/>
  <c r="G627" i="1"/>
  <c r="J627" i="1" s="1"/>
  <c r="D17" i="10"/>
  <c r="D12" i="10"/>
  <c r="F650" i="1"/>
  <c r="L249" i="1"/>
  <c r="L263" i="1" s="1"/>
  <c r="G622" i="1" s="1"/>
  <c r="J622" i="1" s="1"/>
  <c r="D24" i="10"/>
  <c r="D27" i="10"/>
  <c r="H646" i="1" l="1"/>
  <c r="C41" i="10"/>
  <c r="D36" i="10" s="1"/>
  <c r="F654" i="1"/>
  <c r="I650" i="1"/>
  <c r="I654" i="1" s="1"/>
  <c r="D20" i="10"/>
  <c r="D22" i="10"/>
  <c r="C30" i="10"/>
  <c r="D18" i="10"/>
  <c r="D23" i="10"/>
  <c r="D16" i="10"/>
  <c r="D13" i="10"/>
  <c r="D28" i="10" s="1"/>
  <c r="D25" i="10"/>
  <c r="D15" i="10"/>
  <c r="D19" i="10"/>
  <c r="D26" i="10"/>
  <c r="I657" i="1" l="1"/>
  <c r="I662" i="1"/>
  <c r="C7" i="10" s="1"/>
  <c r="F662" i="1"/>
  <c r="C4" i="10" s="1"/>
  <c r="F657" i="1"/>
  <c r="D37" i="10"/>
  <c r="D40" i="10"/>
  <c r="D35" i="10"/>
  <c r="D38" i="10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99631DD-FB94-4098-8087-7589B20A172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91EC0B2-C9FB-4737-B5FC-B3D39B09C14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706DFFF-A4DC-41E7-B9ED-727E5109FED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0E841C5-2E70-488C-8E5D-B358A057D60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DD2C3DA-A65D-4CA7-920D-B5AD4F068B7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2991067-0C3B-4DF0-BE19-6200CF1A0FE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D847A27-3667-441A-A4B9-C1B587C365F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8C86029-A2E7-4C83-AD31-68B5ACD8E4E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9E16ADB-83F2-4941-9505-2DF8E688C45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35AFA71-1494-4298-A0E2-96E22BC916E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E28F0FE-0916-42A3-BA5F-8232D1599CC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36809EB-0AEC-46B4-854F-D4F6755C819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<sst xmlns="http://schemas.openxmlformats.org/spreadsheetml/2006/main" count="3866" uniqueCount="903">
  <si>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</si>
  <si>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</si>
  <si>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</si>
  <si>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</si>
  <si>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</si>
  <si>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</si>
  <si>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</si>
  <si>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</si>
  <si>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</si>
  <si>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</si>
  <si>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</si>
  <si>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</si>
  <si>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</si>
  <si>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</si>
  <si>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</si>
  <si>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</si>
  <si>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</si>
  <si>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</si>
  <si>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</si>
  <si>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</si>
  <si>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</si>
  <si>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</si>
  <si>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</si>
  <si>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</si>
  <si>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</si>
  <si>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</si>
  <si>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</si>
  <si>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</si>
  <si>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</si>
  <si>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</si>
  <si>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</si>
  <si>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</si>
  <si>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</si>
  <si>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</si>
  <si>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</si>
  <si>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</si>
  <si>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</si>
  <si>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</si>
  <si>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</si>
  <si>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</si>
  <si>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</si>
  <si>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</si>
  <si>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</si>
  <si>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</si>
  <si>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</si>
  <si>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</si>
  <si>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</si>
  <si>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</si>
  <si>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</si>
  <si>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</si>
  <si>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</si>
  <si>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</si>
  <si>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</si>
  <si>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</si>
  <si>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</si>
  <si>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</si>
  <si>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</si>
  <si>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</si>
  <si>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</si>
  <si>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</si>
  <si>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</si>
  <si>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</si>
  <si>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</si>
  <si>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</si>
  <si>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</si>
  <si>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</si>
  <si>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</si>
  <si>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</si>
  <si>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</si>
  <si>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</si>
  <si>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</si>
  <si>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</si>
  <si>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</si>
  <si>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</si>
  <si>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</si>
  <si>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</si>
  <si>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</si>
  <si>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</si>
  <si>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</si>
  <si>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</si>
  <si>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</si>
  <si>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</si>
  <si>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</si>
  <si>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</si>
  <si>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</si>
  <si>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</si>
  <si>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</si>
  <si>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</si>
  <si>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</si>
  <si>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</si>
  <si>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</si>
  <si>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</si>
  <si>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</si>
  <si>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</si>
  <si>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</si>
  <si>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</si>
  <si>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</si>
  <si>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</si>
  <si>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</si>
  <si>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</si>
  <si>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</si>
  <si>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</si>
  <si>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</si>
  <si>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</si>
  <si>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</si>
  <si>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</si>
  <si>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</si>
  <si>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</si>
  <si>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</si>
  <si>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</si>
  <si>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</si>
  <si>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</si>
  <si>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</si>
  <si>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</si>
  <si>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</si>
  <si>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</si>
  <si>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</si>
  <si>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</si>
  <si>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</si>
  <si>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</si>
  <si>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</si>
  <si>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</si>
  <si>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</si>
  <si>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</si>
  <si>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</si>
  <si>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</si>
  <si>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</si>
  <si>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</si>
  <si>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</si>
  <si>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</si>
  <si>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</si>
  <si>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</si>
  <si>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</si>
  <si>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</si>
  <si>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</si>
  <si>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</si>
  <si>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</si>
  <si>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</si>
  <si>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</si>
  <si>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</si>
  <si>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</si>
  <si>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</si>
  <si>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</si>
  <si>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</si>
  <si>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</si>
  <si>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</si>
  <si>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</si>
  <si>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</si>
  <si>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</si>
  <si>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</si>
  <si>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</si>
  <si>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</si>
  <si>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</si>
  <si>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</si>
  <si>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</si>
  <si>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</si>
  <si>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</si>
  <si>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</si>
  <si>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</si>
  <si>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</si>
  <si>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</si>
  <si>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</si>
  <si>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</si>
  <si>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</si>
  <si>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</si>
  <si>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</si>
  <si>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</si>
  <si>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</si>
  <si>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</si>
  <si>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</si>
  <si>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</si>
  <si>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</si>
  <si>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</si>
  <si>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</si>
  <si>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</si>
  <si>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</si>
  <si>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</si>
  <si>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</si>
  <si>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</si>
  <si>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</si>
  <si>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</si>
  <si>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</si>
  <si>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</si>
  <si>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</si>
  <si>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</si>
  <si>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</si>
  <si>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</si>
  <si>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</si>
  <si>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</si>
  <si>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</si>
  <si>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</si>
  <si>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</si>
  <si>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</si>
  <si>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</si>
  <si>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</si>
  <si>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</si>
  <si>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</si>
  <si>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</si>
  <si>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</si>
  <si>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</si>
  <si>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</si>
  <si>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</si>
  <si>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</si>
  <si>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</si>
  <si>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</si>
  <si>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</si>
  <si>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</si>
  <si>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</si>
  <si>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</si>
  <si>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</si>
  <si>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</si>
  <si>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</si>
  <si>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</si>
  <si>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</si>
  <si>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</si>
  <si>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</si>
  <si>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</si>
  <si>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</si>
  <si>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</si>
  <si>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</si>
  <si>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</si>
  <si>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</si>
  <si>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</si>
  <si>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</si>
  <si>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</si>
  <si>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</si>
  <si>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</si>
  <si>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</si>
  <si>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</si>
  <si>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</si>
  <si>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</si>
  <si>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</si>
  <si>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</si>
  <si>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</si>
  <si>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</si>
  <si>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</si>
  <si>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</si>
  <si>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</si>
  <si>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</si>
  <si>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</si>
  <si>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</si>
  <si>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</si>
  <si>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</si>
  <si>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</si>
  <si>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</si>
  <si>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</si>
  <si>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</si>
  <si>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</si>
  <si>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</si>
  <si>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</si>
  <si>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</si>
  <si>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</si>
  <si>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</si>
  <si>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</si>
  <si>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</si>
  <si>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</si>
  <si>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</si>
  <si>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</si>
  <si>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</si>
  <si>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</si>
  <si>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</si>
  <si>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</si>
  <si>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</si>
  <si>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</si>
  <si>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</si>
  <si>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</si>
  <si>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</si>
  <si>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</si>
  <si>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</si>
  <si>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</si>
  <si>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</si>
  <si>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</si>
  <si>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</si>
  <si>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</si>
  <si>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</si>
  <si>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</si>
  <si>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</si>
  <si>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</si>
  <si>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</si>
  <si>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</si>
  <si>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</si>
  <si>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</si>
  <si>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</si>
  <si>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</si>
  <si>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</si>
  <si>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</si>
  <si>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</si>
  <si>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</si>
  <si>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</si>
  <si>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</si>
  <si>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</si>
  <si>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</si>
  <si>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</si>
  <si>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</si>
  <si>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</si>
  <si>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</si>
  <si>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</si>
  <si>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</si>
  <si>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</si>
  <si>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</si>
  <si>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</si>
  <si>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</si>
  <si>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</si>
  <si>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</si>
  <si>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</si>
  <si>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</si>
  <si>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</si>
  <si>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</si>
  <si>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</si>
  <si>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</si>
  <si>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</si>
  <si>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</si>
  <si>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</si>
  <si>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</si>
  <si>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</si>
  <si>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</si>
  <si>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</si>
  <si>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</si>
  <si>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</si>
  <si>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</si>
  <si>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</si>
  <si>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</si>
  <si>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</si>
  <si>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</si>
  <si>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</si>
  <si>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</si>
  <si>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</si>
  <si>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</si>
  <si>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</si>
  <si>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</si>
  <si>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</si>
  <si>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</si>
  <si>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</si>
  <si>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</si>
  <si>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</si>
  <si>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</si>
  <si>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</si>
  <si>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</si>
  <si>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</si>
  <si>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</si>
  <si>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</si>
  <si>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</si>
  <si>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</si>
  <si>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</si>
  <si>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</si>
  <si>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</si>
  <si>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</si>
  <si>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</si>
  <si>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</si>
  <si>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</si>
  <si>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</si>
  <si>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</si>
  <si>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</si>
  <si>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</si>
  <si>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</si>
  <si>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</si>
  <si>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</si>
  <si>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</si>
  <si>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</si>
  <si>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</si>
  <si>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</si>
  <si>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</si>
  <si>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</si>
  <si>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</si>
  <si>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</si>
  <si>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</si>
  <si>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</si>
  <si>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</si>
  <si>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</si>
  <si>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</si>
  <si>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</si>
  <si>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</si>
  <si>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</si>
  <si>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</si>
  <si>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</si>
  <si>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</si>
  <si>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</si>
  <si>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</si>
  <si>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</si>
  <si>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</si>
  <si>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</si>
  <si>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</si>
  <si>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</si>
  <si>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</si>
  <si>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</si>
  <si>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</si>
  <si>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</si>
  <si>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</si>
  <si>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</si>
  <si>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</si>
  <si>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</si>
  <si>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</si>
  <si>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</si>
  <si>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</si>
  <si>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</si>
  <si>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</si>
  <si>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</si>
  <si>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</si>
  <si>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</si>
  <si>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</si>
  <si>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</si>
  <si>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</si>
  <si>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</si>
  <si>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</si>
  <si>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</si>
  <si>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</si>
  <si>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</si>
  <si>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</si>
  <si>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</si>
  <si>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</si>
  <si>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</si>
  <si>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</si>
  <si>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</si>
  <si>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</si>
  <si>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</si>
  <si>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</si>
  <si>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</si>
  <si>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</si>
  <si>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</si>
  <si>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</si>
  <si>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</si>
  <si>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</si>
  <si>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</si>
  <si>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</si>
  <si>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</si>
  <si>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</si>
  <si>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</si>
  <si>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</si>
  <si>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</si>
  <si>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</si>
  <si>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</si>
  <si>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</si>
  <si>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</si>
  <si>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</si>
  <si>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</si>
  <si>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</si>
  <si>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</si>
  <si>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</si>
  <si>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</si>
  <si>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</si>
  <si>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</si>
  <si>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</si>
  <si>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</si>
  <si>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</si>
  <si>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</si>
  <si>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</si>
  <si>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</si>
  <si>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</si>
  <si>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</si>
  <si>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</si>
  <si>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</si>
  <si>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</si>
  <si>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</si>
  <si>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</si>
  <si>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</si>
  <si>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</si>
  <si>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</si>
  <si>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</si>
  <si>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</si>
  <si>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</si>
  <si>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</si>
  <si>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</si>
  <si>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</si>
  <si>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</si>
  <si>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</si>
  <si>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</si>
  <si>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</si>
  <si>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</si>
  <si>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</si>
  <si>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</si>
  <si>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</si>
  <si>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</si>
  <si>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</si>
  <si>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</si>
  <si>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</si>
  <si>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</si>
  <si>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</si>
  <si>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</si>
  <si>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</si>
  <si>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</si>
  <si>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</si>
  <si>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</si>
  <si>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</si>
  <si>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</si>
  <si>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</si>
  <si>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</si>
  <si>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</si>
  <si>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</si>
  <si>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</si>
  <si>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</si>
  <si>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</si>
  <si>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</si>
  <si>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</si>
  <si>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</si>
  <si>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</si>
  <si>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</si>
  <si>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</si>
  <si>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</si>
  <si>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</si>
  <si>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</si>
  <si>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</si>
  <si>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</si>
  <si>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</si>
  <si>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</si>
  <si>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</si>
  <si>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</si>
  <si>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</si>
  <si>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</si>
  <si>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</si>
  <si>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</si>
  <si>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</si>
  <si>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</si>
  <si>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</si>
  <si>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</si>
  <si>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</si>
  <si>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</si>
  <si>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</si>
  <si>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</si>
  <si>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</si>
  <si>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</si>
  <si>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</si>
  <si>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</si>
  <si>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</si>
  <si>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</si>
  <si>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</si>
  <si>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</si>
  <si>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</si>
  <si>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</si>
  <si>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</si>
  <si>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</si>
  <si>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</si>
  <si>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</si>
  <si>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</si>
  <si>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</si>
  <si>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</si>
  <si>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</si>
  <si>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</si>
  <si>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</si>
  <si>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</si>
  <si>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</si>
  <si>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</si>
  <si>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</si>
  <si>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</si>
  <si>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</si>
  <si>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</si>
  <si>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</si>
  <si>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</si>
  <si>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</si>
  <si>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</si>
  <si>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</si>
  <si>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</si>
  <si>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</si>
  <si>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</si>
  <si>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</si>
  <si>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</si>
  <si>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</si>
  <si>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</si>
  <si>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</si>
  <si>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</si>
  <si>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</si>
  <si>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</si>
  <si>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</si>
  <si>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</si>
  <si>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</si>
  <si>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</si>
  <si>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</si>
  <si>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</si>
  <si>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</si>
  <si>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</si>
  <si>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</si>
  <si>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</si>
  <si>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</si>
  <si>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</si>
  <si>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</si>
  <si>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</si>
  <si>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</si>
  <si>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</si>
  <si>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</si>
  <si>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</si>
  <si>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</si>
  <si>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</si>
  <si>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</si>
  <si>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</si>
  <si>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</si>
  <si>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</si>
  <si>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</si>
  <si>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</si>
  <si>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</si>
  <si>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</si>
  <si>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</si>
  <si>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</si>
  <si>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</si>
  <si>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</si>
  <si>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</si>
  <si>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</si>
  <si>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</si>
  <si>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</si>
  <si>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</si>
  <si>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</si>
  <si>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</si>
  <si>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</si>
  <si>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</si>
  <si>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</si>
  <si>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</si>
  <si>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</si>
  <si>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</si>
  <si>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</si>
  <si>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</si>
  <si>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</si>
  <si>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</si>
  <si>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</si>
  <si>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</si>
  <si>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</si>
  <si>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</si>
  <si>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</si>
  <si>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</si>
  <si>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</si>
  <si>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</si>
  <si>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</si>
  <si>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</si>
  <si>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</si>
  <si>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</si>
  <si>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</si>
  <si>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</si>
  <si>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</si>
  <si>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</si>
  <si>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</si>
  <si>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</si>
  <si>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</si>
  <si>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</si>
  <si>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</si>
  <si>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</si>
  <si>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</si>
  <si>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</si>
  <si>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</si>
  <si>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</si>
  <si>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</si>
  <si>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</si>
  <si>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</si>
  <si>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</si>
  <si>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</si>
  <si>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</si>
  <si>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</si>
  <si>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</si>
  <si>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</si>
  <si>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</si>
  <si>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</si>
  <si>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</si>
  <si>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</si>
  <si>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</si>
  <si>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</si>
  <si>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</si>
  <si>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</si>
  <si>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</si>
  <si>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</si>
  <si>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</si>
  <si>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</si>
  <si>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</si>
  <si>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</si>
  <si>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</si>
  <si>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</si>
  <si>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</si>
  <si>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</si>
  <si>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</si>
  <si>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</si>
  <si>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</si>
  <si>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</si>
  <si>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</si>
  <si>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</si>
  <si>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</si>
  <si>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</si>
  <si>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</si>
  <si>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</si>
  <si>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</si>
  <si>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</si>
  <si>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</si>
  <si>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</si>
  <si>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</si>
  <si>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</si>
  <si>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</si>
  <si>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</si>
  <si>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</si>
  <si>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</si>
  <si>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</si>
  <si>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</si>
  <si>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</si>
  <si>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</si>
  <si>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</si>
  <si>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</si>
  <si>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</si>
  <si>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</si>
  <si>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</si>
  <si>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</si>
  <si>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</si>
  <si>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</si>
  <si>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</si>
  <si>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</si>
  <si>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</si>
  <si>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</si>
  <si>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</si>
  <si>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</si>
  <si>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</si>
  <si>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</si>
  <si>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</si>
  <si>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</si>
  <si>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</si>
  <si>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</si>
  <si>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</si>
  <si>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</si>
  <si>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</si>
  <si>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</si>
  <si>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</si>
  <si>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</si>
  <si>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</si>
  <si>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</si>
  <si>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</si>
  <si>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</si>
  <si>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</si>
  <si>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</si>
  <si>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</si>
  <si>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</si>
  <si>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</si>
  <si>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</si>
  <si>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</si>
  <si>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</si>
  <si>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</si>
  <si>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</si>
  <si>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</si>
  <si>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</si>
  <si>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</si>
  <si>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</si>
  <si>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</si>
  <si>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</si>
  <si>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</si>
  <si>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</si>
  <si>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</si>
  <si>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</si>
  <si>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</si>
  <si>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</si>
  <si>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</si>
  <si>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</si>
  <si>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</si>
  <si>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</si>
  <si>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</si>
  <si>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</si>
  <si>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</si>
  <si>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</si>
  <si>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</si>
  <si>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</si>
  <si>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</si>
  <si>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</si>
  <si>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</si>
  <si>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</si>
  <si>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</si>
  <si>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</si>
  <si>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</si>
  <si>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</si>
  <si>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</si>
  <si>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</si>
  <si>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</si>
  <si>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</si>
  <si>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</si>
  <si>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</si>
  <si>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</si>
  <si>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</si>
  <si>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</si>
  <si>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</si>
  <si>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</si>
  <si>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</si>
  <si>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</si>
  <si>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</si>
  <si>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</si>
  <si>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</si>
  <si>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</si>
  <si>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</si>
  <si>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</si>
  <si>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</si>
  <si>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</si>
  <si>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</si>
  <si>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</si>
  <si>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</si>
  <si>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</si>
  <si>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</si>
  <si>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</si>
  <si>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</si>
  <si>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</si>
  <si>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</si>
  <si>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</si>
  <si>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</si>
  <si>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</si>
  <si>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</si>
  <si>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</si>
  <si>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</si>
  <si>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</si>
  <si>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</si>
  <si>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</si>
  <si>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</si>
  <si>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</si>
  <si>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</si>
  <si>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</si>
  <si>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</si>
  <si>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</si>
  <si>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</si>
  <si>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</si>
  <si>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</si>
  <si>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</si>
  <si>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</si>
  <si>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</si>
  <si>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</si>
  <si>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</si>
  <si>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</si>
  <si>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</si>
  <si>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</si>
  <si>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</si>
  <si>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</si>
  <si>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</si>
  <si>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</si>
  <si>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</si>
  <si>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</si>
  <si>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</si>
  <si>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</si>
  <si>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</si>
  <si>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</si>
  <si>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</si>
  <si>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</si>
  <si>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</si>
  <si>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</si>
  <si>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</si>
  <si>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</si>
  <si>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</si>
  <si>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</si>
  <si>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</si>
  <si>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</si>
  <si>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</si>
  <si>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</si>
  <si>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</si>
  <si>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</si>
  <si>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</si>
  <si>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</si>
  <si>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</si>
  <si>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</si>
  <si>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</si>
  <si>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</si>
  <si>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</si>
  <si>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</si>
  <si>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</si>
  <si>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</si>
  <si>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</si>
  <si>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</si>
  <si>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</si>
  <si>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</si>
  <si>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</si>
  <si>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</si>
  <si>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</si>
  <si>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</si>
  <si>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</si>
  <si>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</si>
  <si>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</si>
  <si>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</si>
  <si>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</si>
  <si>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</si>
  <si>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</si>
  <si>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</si>
  <si>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</si>
  <si>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</si>
  <si>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</si>
  <si>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</si>
  <si>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</si>
  <si>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</si>
  <si>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</si>
  <si>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</si>
  <si>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</si>
  <si>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</si>
  <si>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</si>
  <si>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</si>
  <si>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</si>
  <si>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</si>
  <si>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</si>
  <si>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</si>
  <si>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</si>
  <si>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</si>
  <si>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</si>
  <si>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</si>
  <si>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</si>
  <si>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</si>
  <si>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</si>
  <si>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</si>
  <si>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</si>
  <si>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</si>
  <si>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</si>
  <si>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</si>
  <si>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</si>
  <si>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</si>
  <si>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</si>
  <si>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01/91</t>
  </si>
  <si>
    <t>07/10</t>
  </si>
  <si>
    <t>01/03</t>
  </si>
  <si>
    <t>01/15</t>
  </si>
  <si>
    <t>02/02</t>
  </si>
  <si>
    <t>08/21</t>
  </si>
  <si>
    <t>11/24/2009</t>
  </si>
  <si>
    <t>12/15/2024</t>
  </si>
  <si>
    <t>Winnisquam Reg.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</si>
</sst>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0739-568C-4B04-82A3-F997149EE2B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K644" sqref="K64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582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932685.31</v>
      </c>
      <c r="G9" s="18">
        <v>6804.92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>
        <v>733158.61</v>
      </c>
      <c r="J10" s="67">
        <f>SUM(I432)</f>
        <v>795868.5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524226.9</v>
      </c>
      <c r="G12" s="18">
        <v>11284.18</v>
      </c>
      <c r="H12" s="18"/>
      <c r="I12" s="18">
        <v>122760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62354.7</v>
      </c>
      <c r="G13" s="18">
        <v>43886.080000000002</v>
      </c>
      <c r="H13" s="18">
        <v>634380.51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189298.4</v>
      </c>
      <c r="G14" s="18">
        <v>6056.86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61307.75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1769873.0599999998</v>
      </c>
      <c r="G19" s="41">
        <f>SUM(G9:G18)</f>
        <v>68032.039999999994</v>
      </c>
      <c r="H19" s="41">
        <f>SUM(H9:H18)</f>
        <v>634380.51</v>
      </c>
      <c r="I19" s="41">
        <f>SUM(I9:I18)</f>
        <v>855918.61</v>
      </c>
      <c r="J19" s="41">
        <f>SUM(J9:J18)</f>
        <v>795868.5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>
        <v>69158.22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618018.41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220931.56</v>
      </c>
      <c r="G25" s="18">
        <v>362.17</v>
      </c>
      <c r="H25" s="18">
        <v>9100</v>
      </c>
      <c r="I25" s="18"/>
      <c r="J25" s="67">
        <f>SUM(I442)</f>
        <v>165015.46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65289.83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69488.33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7423.23</v>
      </c>
      <c r="H31" s="18">
        <v>7262.1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355709.72000000003</v>
      </c>
      <c r="G33" s="41">
        <f>SUM(G23:G32)</f>
        <v>7785.4</v>
      </c>
      <c r="H33" s="41">
        <f>SUM(H23:H32)</f>
        <v>634380.51</v>
      </c>
      <c r="I33" s="41">
        <f>SUM(I23:I32)</f>
        <v>69158.22</v>
      </c>
      <c r="J33" s="41">
        <f>SUM(J23:J32)</f>
        <v>165015.46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341812.52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60246.64</v>
      </c>
      <c r="H41" s="18"/>
      <c r="I41" s="18">
        <v>786760.39</v>
      </c>
      <c r="J41" s="13">
        <f>SUM(I449)</f>
        <v>630853.04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772350.82+50000</f>
        <v>822350.82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1414163.3399999999</v>
      </c>
      <c r="G43" s="41">
        <f>SUM(G35:G42)</f>
        <v>60246.64</v>
      </c>
      <c r="H43" s="41">
        <f>SUM(H35:H42)</f>
        <v>0</v>
      </c>
      <c r="I43" s="41">
        <f>SUM(I35:I42)</f>
        <v>786760.39</v>
      </c>
      <c r="J43" s="41">
        <f>SUM(J35:J42)</f>
        <v>630853.04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1769873.0599999998</v>
      </c>
      <c r="G44" s="41">
        <f>G43+G33</f>
        <v>68032.039999999994</v>
      </c>
      <c r="H44" s="41">
        <f>H43+H33</f>
        <v>634380.51</v>
      </c>
      <c r="I44" s="41">
        <f>I43+I33</f>
        <v>855918.61</v>
      </c>
      <c r="J44" s="41">
        <f>J43+J33</f>
        <v>795868.5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10878321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10878321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2775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40118.93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26874.51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69768.44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17400.37</v>
      </c>
      <c r="G88" s="18">
        <v>111.57</v>
      </c>
      <c r="H88" s="18"/>
      <c r="I88" s="18">
        <v>417.8</v>
      </c>
      <c r="J88" s="18">
        <v>2389.92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323543.86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3936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5758.03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5691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17743.18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41377.75</v>
      </c>
      <c r="G102" s="18"/>
      <c r="H102" s="18">
        <v>1550</v>
      </c>
      <c r="I102" s="18"/>
      <c r="J102" s="18">
        <v>658.58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86215.33</v>
      </c>
      <c r="G103" s="41">
        <f>SUM(G88:G102)</f>
        <v>323655.43</v>
      </c>
      <c r="H103" s="41">
        <f>SUM(H88:H102)</f>
        <v>7241</v>
      </c>
      <c r="I103" s="41">
        <f>SUM(I88:I102)</f>
        <v>417.8</v>
      </c>
      <c r="J103" s="41">
        <f>SUM(J88:J102)</f>
        <v>3048.5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11034304.77</v>
      </c>
      <c r="G104" s="41">
        <f>G52+G103</f>
        <v>323655.43</v>
      </c>
      <c r="H104" s="41">
        <f>H52+H71+H86+H103</f>
        <v>7241</v>
      </c>
      <c r="I104" s="41">
        <f>I52+I103</f>
        <v>417.8</v>
      </c>
      <c r="J104" s="41">
        <f>J52+J103</f>
        <v>3048.5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4461049.13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3050338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1711565.87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9222953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745077.95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81628.12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97802.08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5964.48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8203.7900000000009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10950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941422.62999999989</v>
      </c>
      <c r="G128" s="41">
        <f>SUM(G115:G127)</f>
        <v>8203.7900000000009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21063.68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10164375.629999999</v>
      </c>
      <c r="G132" s="41">
        <f>G113+SUM(G128:G129)</f>
        <v>8203.7900000000009</v>
      </c>
      <c r="H132" s="41">
        <f>H113+SUM(H128:H131)</f>
        <v>21063.68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613309.88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260356.31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44140.04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236783.41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554047.53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246468.56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24844.58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271313.14</v>
      </c>
      <c r="G154" s="41">
        <f>SUM(G142:G153)</f>
        <v>236783.41</v>
      </c>
      <c r="H154" s="41">
        <f>SUM(H142:H153)</f>
        <v>1471853.76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271313.14</v>
      </c>
      <c r="G161" s="41">
        <f>G139+G154+SUM(G155:G160)</f>
        <v>236783.41</v>
      </c>
      <c r="H161" s="41">
        <f>H139+H154+SUM(H155:H160)</f>
        <v>1471853.76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3396240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3396240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>
        <v>122760</v>
      </c>
      <c r="J171" s="18">
        <v>352000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39811.089999999997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39811.089999999997</v>
      </c>
      <c r="G175" s="41">
        <f>SUM(G171:G174)</f>
        <v>0</v>
      </c>
      <c r="H175" s="41">
        <f>SUM(H171:H174)</f>
        <v>0</v>
      </c>
      <c r="I175" s="41">
        <f>SUM(I171:I174)</f>
        <v>122760</v>
      </c>
      <c r="J175" s="41">
        <f>SUM(J171:J174)</f>
        <v>352000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178377.35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178377.35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218188.44</v>
      </c>
      <c r="G184" s="41">
        <f>G175+SUM(G180:G183)</f>
        <v>0</v>
      </c>
      <c r="H184" s="41">
        <f>+H175+SUM(H180:H183)</f>
        <v>0</v>
      </c>
      <c r="I184" s="41">
        <f>I169+I175+SUM(I180:I183)</f>
        <v>3519000</v>
      </c>
      <c r="J184" s="41">
        <f>J175</f>
        <v>352000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21688181.98</v>
      </c>
      <c r="G185" s="47">
        <f>G104+G132+G161+G184</f>
        <v>568642.63</v>
      </c>
      <c r="H185" s="47">
        <f>H104+H132+H161+H184</f>
        <v>1500158.44</v>
      </c>
      <c r="I185" s="47">
        <f>I104+I132+I161+I184</f>
        <v>3519417.8</v>
      </c>
      <c r="J185" s="47">
        <f>J104+J132+J184</f>
        <v>355048.5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2086477.77</v>
      </c>
      <c r="G189" s="18">
        <v>744042.4</v>
      </c>
      <c r="H189" s="18">
        <v>33064.129999999997</v>
      </c>
      <c r="I189" s="18">
        <v>136624.37</v>
      </c>
      <c r="J189" s="18">
        <v>5736.57</v>
      </c>
      <c r="K189" s="18"/>
      <c r="L189" s="19">
        <f>SUM(F189:K189)</f>
        <v>3005945.2399999998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836625.39</v>
      </c>
      <c r="G190" s="18">
        <f>291443.63+186.63</f>
        <v>291630.26</v>
      </c>
      <c r="H190" s="18">
        <v>259079.83</v>
      </c>
      <c r="I190" s="18">
        <v>8293.2199999999993</v>
      </c>
      <c r="J190" s="18">
        <v>941.71</v>
      </c>
      <c r="K190" s="18">
        <v>7140.04</v>
      </c>
      <c r="L190" s="19">
        <f>SUM(F190:K190)</f>
        <v>1403710.45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438125.92</v>
      </c>
      <c r="G194" s="18">
        <v>168253.31</v>
      </c>
      <c r="H194" s="18">
        <v>42291.71</v>
      </c>
      <c r="I194" s="18">
        <v>5786.21</v>
      </c>
      <c r="J194" s="18">
        <v>1247.33</v>
      </c>
      <c r="K194" s="18"/>
      <c r="L194" s="19">
        <f t="shared" ref="L194:L200" si="0">SUM(F194:K194)</f>
        <v>655704.47999999986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63375.68</v>
      </c>
      <c r="G195" s="18">
        <v>71654.98</v>
      </c>
      <c r="H195" s="18">
        <v>22130.73</v>
      </c>
      <c r="I195" s="18">
        <v>19847.18</v>
      </c>
      <c r="J195" s="18">
        <v>181.53</v>
      </c>
      <c r="K195" s="18">
        <v>372.5</v>
      </c>
      <c r="L195" s="19">
        <f t="shared" si="0"/>
        <v>177562.6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295840.19</v>
      </c>
      <c r="G196" s="18">
        <v>101229.84</v>
      </c>
      <c r="H196" s="18">
        <v>229413.93</v>
      </c>
      <c r="I196" s="18">
        <v>7941.49</v>
      </c>
      <c r="J196" s="18">
        <v>39627.5</v>
      </c>
      <c r="K196" s="18">
        <v>4227.59</v>
      </c>
      <c r="L196" s="19">
        <f t="shared" si="0"/>
        <v>678280.53999999992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347876.17</v>
      </c>
      <c r="G197" s="18">
        <v>134539.82999999999</v>
      </c>
      <c r="H197" s="18">
        <v>9479.11</v>
      </c>
      <c r="I197" s="18">
        <v>1458.88</v>
      </c>
      <c r="J197" s="18">
        <v>338.74</v>
      </c>
      <c r="K197" s="18">
        <v>2108.61</v>
      </c>
      <c r="L197" s="19">
        <f t="shared" si="0"/>
        <v>495801.33999999997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84952.75</v>
      </c>
      <c r="G198" s="18">
        <v>36465.199999999997</v>
      </c>
      <c r="H198" s="18"/>
      <c r="I198" s="18"/>
      <c r="J198" s="18"/>
      <c r="K198" s="18"/>
      <c r="L198" s="19">
        <f t="shared" si="0"/>
        <v>121417.95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322617.19</v>
      </c>
      <c r="G199" s="18">
        <v>136106.20000000001</v>
      </c>
      <c r="H199" s="18">
        <v>192479.43</v>
      </c>
      <c r="I199" s="18">
        <v>182432.15</v>
      </c>
      <c r="J199" s="18">
        <v>6940.24</v>
      </c>
      <c r="K199" s="18"/>
      <c r="L199" s="19">
        <f t="shared" si="0"/>
        <v>840575.21000000008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279926.96000000002</v>
      </c>
      <c r="I200" s="18">
        <v>49539.81</v>
      </c>
      <c r="J200" s="18"/>
      <c r="K200" s="18"/>
      <c r="L200" s="19">
        <f t="shared" si="0"/>
        <v>329466.77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4475891.0600000005</v>
      </c>
      <c r="G203" s="41">
        <f t="shared" si="1"/>
        <v>1683922.02</v>
      </c>
      <c r="H203" s="41">
        <f t="shared" si="1"/>
        <v>1067865.8299999998</v>
      </c>
      <c r="I203" s="41">
        <f t="shared" si="1"/>
        <v>411923.31</v>
      </c>
      <c r="J203" s="41">
        <f t="shared" si="1"/>
        <v>55013.619999999995</v>
      </c>
      <c r="K203" s="41">
        <f t="shared" si="1"/>
        <v>13848.740000000002</v>
      </c>
      <c r="L203" s="41">
        <f t="shared" si="1"/>
        <v>7708464.5799999982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1413384.2</v>
      </c>
      <c r="G207" s="18">
        <v>527520.78</v>
      </c>
      <c r="H207" s="18">
        <v>5218.92</v>
      </c>
      <c r="I207" s="18">
        <v>84934.22</v>
      </c>
      <c r="J207" s="18">
        <v>8900.2099999999991</v>
      </c>
      <c r="K207" s="18">
        <v>588</v>
      </c>
      <c r="L207" s="19">
        <f>SUM(F207:K207)</f>
        <v>2040546.3299999998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318097.46999999997</v>
      </c>
      <c r="G208" s="18">
        <v>133029.91</v>
      </c>
      <c r="H208" s="18">
        <v>143770.23000000001</v>
      </c>
      <c r="I208" s="18">
        <v>3931</v>
      </c>
      <c r="J208" s="18">
        <v>1279.1600000000001</v>
      </c>
      <c r="K208" s="18">
        <v>3619.74</v>
      </c>
      <c r="L208" s="19">
        <f>SUM(F208:K208)</f>
        <v>603727.51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72705</v>
      </c>
      <c r="G210" s="18">
        <v>23107.599999999999</v>
      </c>
      <c r="H210" s="18">
        <v>7857.2</v>
      </c>
      <c r="I210" s="18">
        <v>4594.08</v>
      </c>
      <c r="J210" s="18">
        <v>3020</v>
      </c>
      <c r="K210" s="18">
        <v>2329.75</v>
      </c>
      <c r="L210" s="19">
        <f>SUM(F210:K210)</f>
        <v>113613.63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247721.79</v>
      </c>
      <c r="G212" s="18">
        <v>77600.490000000005</v>
      </c>
      <c r="H212" s="18">
        <v>41443.4</v>
      </c>
      <c r="I212" s="18">
        <v>5247.03</v>
      </c>
      <c r="J212" s="18">
        <v>688.11</v>
      </c>
      <c r="K212" s="18">
        <v>285</v>
      </c>
      <c r="L212" s="19">
        <f t="shared" ref="L212:L218" si="2">SUM(F212:K212)</f>
        <v>372985.82000000007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56679.18</v>
      </c>
      <c r="G213" s="18">
        <v>45521.63</v>
      </c>
      <c r="H213" s="18">
        <v>23550.75</v>
      </c>
      <c r="I213" s="18">
        <v>17457.98</v>
      </c>
      <c r="J213" s="18">
        <v>661.48</v>
      </c>
      <c r="K213" s="18">
        <v>205.5</v>
      </c>
      <c r="L213" s="19">
        <f t="shared" si="2"/>
        <v>144076.52000000002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163205.72</v>
      </c>
      <c r="G214" s="18">
        <v>55845.31</v>
      </c>
      <c r="H214" s="18">
        <v>126560.44</v>
      </c>
      <c r="I214" s="18">
        <v>4381.07</v>
      </c>
      <c r="J214" s="18">
        <v>21861.24</v>
      </c>
      <c r="K214" s="18">
        <v>2332.23</v>
      </c>
      <c r="L214" s="19">
        <f t="shared" si="2"/>
        <v>374186.00999999995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208841.74</v>
      </c>
      <c r="G215" s="18">
        <v>106097.44</v>
      </c>
      <c r="H215" s="18">
        <v>12024.58</v>
      </c>
      <c r="I215" s="18">
        <v>2864.13</v>
      </c>
      <c r="J215" s="18">
        <v>8540.5499999999993</v>
      </c>
      <c r="K215" s="18">
        <v>1978.81</v>
      </c>
      <c r="L215" s="19">
        <f t="shared" si="2"/>
        <v>340347.25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46865.760000000002</v>
      </c>
      <c r="G216" s="18">
        <v>20116.7</v>
      </c>
      <c r="H216" s="18"/>
      <c r="I216" s="18"/>
      <c r="J216" s="18"/>
      <c r="K216" s="18"/>
      <c r="L216" s="19">
        <f t="shared" si="2"/>
        <v>66982.460000000006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147377.32999999999</v>
      </c>
      <c r="G217" s="18">
        <v>62332.49</v>
      </c>
      <c r="H217" s="18">
        <v>122180.76</v>
      </c>
      <c r="I217" s="18">
        <v>128002.3</v>
      </c>
      <c r="J217" s="18">
        <v>12577.67</v>
      </c>
      <c r="K217" s="18"/>
      <c r="L217" s="19">
        <f t="shared" si="2"/>
        <v>472470.54999999993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167769.01</v>
      </c>
      <c r="I218" s="18">
        <v>27329.56</v>
      </c>
      <c r="J218" s="18"/>
      <c r="K218" s="18"/>
      <c r="L218" s="19">
        <f t="shared" si="2"/>
        <v>195098.57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2674878.1900000004</v>
      </c>
      <c r="G221" s="41">
        <f>SUM(G207:G220)</f>
        <v>1051172.3499999999</v>
      </c>
      <c r="H221" s="41">
        <f>SUM(H207:H220)</f>
        <v>650375.29</v>
      </c>
      <c r="I221" s="41">
        <f>SUM(I207:I220)</f>
        <v>278741.37</v>
      </c>
      <c r="J221" s="41">
        <f>SUM(J207:J220)</f>
        <v>57528.42</v>
      </c>
      <c r="K221" s="41">
        <f t="shared" si="3"/>
        <v>11339.029999999999</v>
      </c>
      <c r="L221" s="41">
        <f t="shared" si="3"/>
        <v>4724034.6500000004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1481952.9</v>
      </c>
      <c r="G225" s="18">
        <v>566198.54</v>
      </c>
      <c r="H225" s="18">
        <v>58892.4</v>
      </c>
      <c r="I225" s="18">
        <v>170922.89</v>
      </c>
      <c r="J225" s="18">
        <v>2593.1</v>
      </c>
      <c r="K225" s="18">
        <v>2569.38</v>
      </c>
      <c r="L225" s="19">
        <f>SUM(F225:K225)</f>
        <v>2283129.21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416155.8</v>
      </c>
      <c r="G226" s="18">
        <v>147093.68</v>
      </c>
      <c r="H226" s="18">
        <v>207775.47</v>
      </c>
      <c r="I226" s="18">
        <v>10915.57</v>
      </c>
      <c r="J226" s="18">
        <v>0</v>
      </c>
      <c r="K226" s="18">
        <v>5231.6099999999997</v>
      </c>
      <c r="L226" s="19">
        <f>SUM(F226:K226)</f>
        <v>787172.12999999989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208193.74+391.5</f>
        <v>208585.24</v>
      </c>
      <c r="G227" s="18">
        <f>104122.05+29.94+35.74</f>
        <v>104187.73000000001</v>
      </c>
      <c r="H227" s="18">
        <v>46681.94</v>
      </c>
      <c r="I227" s="18">
        <v>20323.97</v>
      </c>
      <c r="J227" s="18">
        <v>1003.37</v>
      </c>
      <c r="K227" s="18">
        <v>275</v>
      </c>
      <c r="L227" s="19">
        <f>SUM(F227:K227)</f>
        <v>381057.25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143896.07999999999</v>
      </c>
      <c r="G228" s="18">
        <v>32935.440000000002</v>
      </c>
      <c r="H228" s="18">
        <v>30006.44</v>
      </c>
      <c r="I228" s="18">
        <v>16524.240000000002</v>
      </c>
      <c r="J228" s="18">
        <v>2933.07</v>
      </c>
      <c r="K228" s="18">
        <v>11395.04</v>
      </c>
      <c r="L228" s="19">
        <f>SUM(F228:K228)</f>
        <v>237690.31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300319.05</v>
      </c>
      <c r="G230" s="18">
        <v>102695.33</v>
      </c>
      <c r="H230" s="18">
        <v>55534.25</v>
      </c>
      <c r="I230" s="18">
        <v>7861.65</v>
      </c>
      <c r="J230" s="18">
        <v>1379.84</v>
      </c>
      <c r="K230" s="18"/>
      <c r="L230" s="19">
        <f t="shared" ref="L230:L236" si="4">SUM(F230:K230)</f>
        <v>467790.12000000005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82533.98</v>
      </c>
      <c r="G231" s="18">
        <v>58065.08</v>
      </c>
      <c r="H231" s="18">
        <v>20330.810000000001</v>
      </c>
      <c r="I231" s="18">
        <v>20996.11</v>
      </c>
      <c r="J231" s="18">
        <v>3459.45</v>
      </c>
      <c r="K231" s="18">
        <v>297</v>
      </c>
      <c r="L231" s="19">
        <f t="shared" si="4"/>
        <v>185682.43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235881.44</v>
      </c>
      <c r="G232" s="18">
        <v>80713.31</v>
      </c>
      <c r="H232" s="18">
        <v>182917.97</v>
      </c>
      <c r="I232" s="18">
        <v>6331.97</v>
      </c>
      <c r="J232" s="18">
        <v>31596.080000000002</v>
      </c>
      <c r="K232" s="18">
        <v>3370.77</v>
      </c>
      <c r="L232" s="19">
        <f t="shared" si="4"/>
        <v>540811.53999999992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227599.7</v>
      </c>
      <c r="G233" s="18">
        <v>100958.49</v>
      </c>
      <c r="H233" s="18">
        <v>27473.62</v>
      </c>
      <c r="I233" s="18">
        <v>10740.02</v>
      </c>
      <c r="J233" s="18"/>
      <c r="K233" s="18">
        <v>8065</v>
      </c>
      <c r="L233" s="19">
        <f t="shared" si="4"/>
        <v>374836.83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67735.14</v>
      </c>
      <c r="G234" s="18">
        <v>29074.69</v>
      </c>
      <c r="H234" s="18"/>
      <c r="I234" s="18"/>
      <c r="J234" s="18"/>
      <c r="K234" s="18"/>
      <c r="L234" s="19">
        <f t="shared" si="4"/>
        <v>96809.83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235547.77</v>
      </c>
      <c r="G235" s="18">
        <v>90139.85</v>
      </c>
      <c r="H235" s="18">
        <v>110819.45</v>
      </c>
      <c r="I235" s="18">
        <v>229966.23</v>
      </c>
      <c r="J235" s="18">
        <v>14804.07</v>
      </c>
      <c r="K235" s="18"/>
      <c r="L235" s="19">
        <f t="shared" si="4"/>
        <v>681277.37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290788.12</v>
      </c>
      <c r="I236" s="18">
        <v>39499.440000000002</v>
      </c>
      <c r="J236" s="18"/>
      <c r="K236" s="18"/>
      <c r="L236" s="19">
        <f t="shared" si="4"/>
        <v>330287.56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3400207.1</v>
      </c>
      <c r="G239" s="41">
        <f t="shared" si="5"/>
        <v>1312062.1399999999</v>
      </c>
      <c r="H239" s="41">
        <f t="shared" si="5"/>
        <v>1031220.47</v>
      </c>
      <c r="I239" s="41">
        <f t="shared" si="5"/>
        <v>534082.09000000008</v>
      </c>
      <c r="J239" s="41">
        <f t="shared" si="5"/>
        <v>57768.98</v>
      </c>
      <c r="K239" s="41">
        <f t="shared" si="5"/>
        <v>31203.8</v>
      </c>
      <c r="L239" s="41">
        <f t="shared" si="5"/>
        <v>6366544.5800000001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14999.35</v>
      </c>
      <c r="I247" s="18"/>
      <c r="J247" s="18"/>
      <c r="K247" s="18"/>
      <c r="L247" s="19">
        <f t="shared" si="6"/>
        <v>14999.35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14999.35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14999.35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10550976.350000001</v>
      </c>
      <c r="G249" s="41">
        <f t="shared" si="8"/>
        <v>4047156.51</v>
      </c>
      <c r="H249" s="41">
        <f t="shared" si="8"/>
        <v>2764460.94</v>
      </c>
      <c r="I249" s="41">
        <f t="shared" si="8"/>
        <v>1224746.77</v>
      </c>
      <c r="J249" s="41">
        <f t="shared" si="8"/>
        <v>170311.02</v>
      </c>
      <c r="K249" s="41">
        <f t="shared" si="8"/>
        <v>56391.57</v>
      </c>
      <c r="L249" s="41">
        <f t="shared" si="8"/>
        <v>18814043.16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1445000</v>
      </c>
      <c r="L252" s="19">
        <f>SUM(F252:K252)</f>
        <v>1445000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586600</v>
      </c>
      <c r="L253" s="19">
        <f>SUM(F253:K253)</f>
        <v>586600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122760</v>
      </c>
      <c r="L257" s="19">
        <f t="shared" si="9"/>
        <v>122760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352000</v>
      </c>
      <c r="L258" s="19">
        <f t="shared" si="9"/>
        <v>352000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2506360</v>
      </c>
      <c r="L262" s="41">
        <f t="shared" si="9"/>
        <v>2506360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10550976.350000001</v>
      </c>
      <c r="G263" s="42">
        <f t="shared" si="11"/>
        <v>4047156.51</v>
      </c>
      <c r="H263" s="42">
        <f t="shared" si="11"/>
        <v>2764460.94</v>
      </c>
      <c r="I263" s="42">
        <f t="shared" si="11"/>
        <v>1224746.77</v>
      </c>
      <c r="J263" s="42">
        <f t="shared" si="11"/>
        <v>170311.02</v>
      </c>
      <c r="K263" s="42">
        <f t="shared" si="11"/>
        <v>2562751.5699999998</v>
      </c>
      <c r="L263" s="42">
        <f t="shared" si="11"/>
        <v>21320403.16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264041.40999999997</v>
      </c>
      <c r="G268" s="18">
        <v>103328.77</v>
      </c>
      <c r="H268" s="18">
        <v>72092.179999999993</v>
      </c>
      <c r="I268" s="18">
        <v>11088.69</v>
      </c>
      <c r="J268" s="18">
        <v>13658.28</v>
      </c>
      <c r="K268" s="18"/>
      <c r="L268" s="19">
        <f>SUM(F268:K268)</f>
        <v>464209.33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>
        <v>109751.21</v>
      </c>
      <c r="H269" s="18">
        <v>3952.53</v>
      </c>
      <c r="I269" s="18">
        <v>27072.799999999999</v>
      </c>
      <c r="J269" s="18">
        <v>15901.64</v>
      </c>
      <c r="K269" s="18"/>
      <c r="L269" s="19">
        <f>SUM(F269:K269)</f>
        <v>156678.18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>
        <v>42044.99</v>
      </c>
      <c r="H273" s="18">
        <v>160.79</v>
      </c>
      <c r="I273" s="18">
        <v>2341.4</v>
      </c>
      <c r="J273" s="18"/>
      <c r="K273" s="18"/>
      <c r="L273" s="19">
        <f t="shared" ref="L273:L279" si="12">SUM(F273:K273)</f>
        <v>44547.18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28675.63</v>
      </c>
      <c r="H274" s="18">
        <v>4215.04</v>
      </c>
      <c r="I274" s="18">
        <v>47920.58</v>
      </c>
      <c r="J274" s="18">
        <v>2411.5</v>
      </c>
      <c r="K274" s="18"/>
      <c r="L274" s="19">
        <f t="shared" si="12"/>
        <v>83222.75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>
        <v>12671.93</v>
      </c>
      <c r="H275" s="18">
        <v>1007.76</v>
      </c>
      <c r="I275" s="18"/>
      <c r="J275" s="18"/>
      <c r="K275" s="18">
        <v>18618.87</v>
      </c>
      <c r="L275" s="19">
        <f t="shared" si="12"/>
        <v>32298.559999999998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264041.40999999997</v>
      </c>
      <c r="G282" s="42">
        <f t="shared" si="13"/>
        <v>296472.52999999997</v>
      </c>
      <c r="H282" s="42">
        <f t="shared" si="13"/>
        <v>81428.299999999974</v>
      </c>
      <c r="I282" s="42">
        <f t="shared" si="13"/>
        <v>88423.47</v>
      </c>
      <c r="J282" s="42">
        <f t="shared" si="13"/>
        <v>31971.42</v>
      </c>
      <c r="K282" s="42">
        <f t="shared" si="13"/>
        <v>18618.87</v>
      </c>
      <c r="L282" s="41">
        <f t="shared" si="13"/>
        <v>780956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108926.01</v>
      </c>
      <c r="G287" s="18">
        <v>28359.85</v>
      </c>
      <c r="H287" s="18">
        <v>54980.31</v>
      </c>
      <c r="I287" s="18">
        <v>10228.19</v>
      </c>
      <c r="J287" s="18">
        <v>30022.13</v>
      </c>
      <c r="K287" s="18"/>
      <c r="L287" s="19">
        <f>SUM(F287:K287)</f>
        <v>232516.49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58579.46</v>
      </c>
      <c r="G288" s="18">
        <v>2094.88</v>
      </c>
      <c r="H288" s="18">
        <v>14480.8</v>
      </c>
      <c r="I288" s="18">
        <v>8244.7199999999993</v>
      </c>
      <c r="J288" s="18"/>
      <c r="K288" s="18"/>
      <c r="L288" s="19">
        <f>SUM(F288:K288)</f>
        <v>83399.86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15635.17</v>
      </c>
      <c r="G292" s="18">
        <v>86</v>
      </c>
      <c r="H292" s="18">
        <v>1252.3800000000001</v>
      </c>
      <c r="I292" s="18"/>
      <c r="J292" s="18"/>
      <c r="K292" s="18"/>
      <c r="L292" s="19">
        <f t="shared" ref="L292:L298" si="14">SUM(F292:K292)</f>
        <v>16973.55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15338.13</v>
      </c>
      <c r="G293" s="18">
        <v>2254.56</v>
      </c>
      <c r="H293" s="18">
        <v>22953.41</v>
      </c>
      <c r="I293" s="18">
        <v>1409.12</v>
      </c>
      <c r="J293" s="18"/>
      <c r="K293" s="18"/>
      <c r="L293" s="19">
        <f t="shared" si="14"/>
        <v>41955.22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2315.5700000000002</v>
      </c>
      <c r="G294" s="18">
        <v>184.15</v>
      </c>
      <c r="H294" s="18"/>
      <c r="I294" s="18"/>
      <c r="J294" s="18">
        <v>9958.93</v>
      </c>
      <c r="K294" s="18"/>
      <c r="L294" s="19">
        <f t="shared" si="14"/>
        <v>12458.650000000001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200794.34000000003</v>
      </c>
      <c r="G301" s="42">
        <f t="shared" si="15"/>
        <v>32979.440000000002</v>
      </c>
      <c r="H301" s="42">
        <f t="shared" si="15"/>
        <v>93666.900000000009</v>
      </c>
      <c r="I301" s="42">
        <f t="shared" si="15"/>
        <v>19882.03</v>
      </c>
      <c r="J301" s="42">
        <f t="shared" si="15"/>
        <v>39981.06</v>
      </c>
      <c r="K301" s="42">
        <f t="shared" si="15"/>
        <v>0</v>
      </c>
      <c r="L301" s="41">
        <f t="shared" si="15"/>
        <v>387303.77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11667.08</v>
      </c>
      <c r="G306" s="18">
        <v>4310.26</v>
      </c>
      <c r="H306" s="18"/>
      <c r="I306" s="18">
        <v>2501.38</v>
      </c>
      <c r="J306" s="18">
        <v>10671.88</v>
      </c>
      <c r="K306" s="18"/>
      <c r="L306" s="19">
        <f>SUM(F306:K306)</f>
        <v>29150.6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86500.08</v>
      </c>
      <c r="G307" s="18">
        <v>3082</v>
      </c>
      <c r="H307" s="18">
        <v>21406.400000000001</v>
      </c>
      <c r="I307" s="18">
        <v>11987.78</v>
      </c>
      <c r="J307" s="18"/>
      <c r="K307" s="18"/>
      <c r="L307" s="19">
        <f>SUM(F307:K307)</f>
        <v>122976.26000000001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13461.25</v>
      </c>
      <c r="G308" s="18">
        <v>311.33</v>
      </c>
      <c r="H308" s="18">
        <v>20331.32</v>
      </c>
      <c r="I308" s="18">
        <v>4243.1099999999997</v>
      </c>
      <c r="J308" s="18">
        <v>3614.78</v>
      </c>
      <c r="K308" s="18"/>
      <c r="L308" s="19">
        <f>SUM(F308:K308)</f>
        <v>41961.79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23112.86</v>
      </c>
      <c r="G311" s="18">
        <v>127.14</v>
      </c>
      <c r="H311" s="18">
        <v>1851.34</v>
      </c>
      <c r="I311" s="18"/>
      <c r="J311" s="18"/>
      <c r="K311" s="18"/>
      <c r="L311" s="19">
        <f t="shared" ref="L311:L317" si="16">SUM(F311:K311)</f>
        <v>25091.34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22673.75</v>
      </c>
      <c r="G312" s="18">
        <v>3332.83</v>
      </c>
      <c r="H312" s="18">
        <v>28733.05</v>
      </c>
      <c r="I312" s="18">
        <v>1906.77</v>
      </c>
      <c r="J312" s="18"/>
      <c r="K312" s="18">
        <v>1539.3</v>
      </c>
      <c r="L312" s="19">
        <f t="shared" si="16"/>
        <v>58185.700000000004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>
        <v>14721.89</v>
      </c>
      <c r="K313" s="18"/>
      <c r="L313" s="19">
        <f t="shared" si="16"/>
        <v>14721.89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157415.02000000002</v>
      </c>
      <c r="G320" s="42">
        <f t="shared" si="17"/>
        <v>11163.560000000001</v>
      </c>
      <c r="H320" s="42">
        <f t="shared" si="17"/>
        <v>72322.11</v>
      </c>
      <c r="I320" s="42">
        <f t="shared" si="17"/>
        <v>20639.04</v>
      </c>
      <c r="J320" s="42">
        <f t="shared" si="17"/>
        <v>29008.55</v>
      </c>
      <c r="K320" s="42">
        <f t="shared" si="17"/>
        <v>1539.3</v>
      </c>
      <c r="L320" s="41">
        <f t="shared" si="17"/>
        <v>292087.58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622250.77</v>
      </c>
      <c r="G330" s="41">
        <f t="shared" si="20"/>
        <v>340615.52999999997</v>
      </c>
      <c r="H330" s="41">
        <f t="shared" si="20"/>
        <v>247417.31</v>
      </c>
      <c r="I330" s="41">
        <f t="shared" si="20"/>
        <v>128944.54000000001</v>
      </c>
      <c r="J330" s="41">
        <f t="shared" si="20"/>
        <v>100961.03</v>
      </c>
      <c r="K330" s="41">
        <f t="shared" si="20"/>
        <v>20158.169999999998</v>
      </c>
      <c r="L330" s="41">
        <f t="shared" si="20"/>
        <v>1460347.35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39811.089999999997</v>
      </c>
      <c r="L336" s="19">
        <f t="shared" ref="L336:L342" si="21">SUM(F336:K336)</f>
        <v>39811.089999999997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39811.089999999997</v>
      </c>
      <c r="L343" s="41">
        <f>SUM(L333:L342)</f>
        <v>39811.089999999997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622250.77</v>
      </c>
      <c r="G344" s="41">
        <f>G330</f>
        <v>340615.52999999997</v>
      </c>
      <c r="H344" s="41">
        <f>H330</f>
        <v>247417.31</v>
      </c>
      <c r="I344" s="41">
        <f>I330</f>
        <v>128944.54000000001</v>
      </c>
      <c r="J344" s="41">
        <f>J330</f>
        <v>100961.03</v>
      </c>
      <c r="K344" s="47">
        <f>K330+K343</f>
        <v>59969.259999999995</v>
      </c>
      <c r="L344" s="41">
        <f>L330+L343</f>
        <v>1500158.4400000002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80310.36</v>
      </c>
      <c r="G350" s="18">
        <v>14995.52</v>
      </c>
      <c r="H350" s="18">
        <v>389.53</v>
      </c>
      <c r="I350" s="18">
        <v>121590.11</v>
      </c>
      <c r="J350" s="18">
        <v>1198.3800000000001</v>
      </c>
      <c r="K350" s="18">
        <v>219.67</v>
      </c>
      <c r="L350" s="13">
        <f>SUM(F350:K350)</f>
        <v>218703.57000000004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49349.56</v>
      </c>
      <c r="G351" s="18">
        <v>8662.4699999999993</v>
      </c>
      <c r="H351" s="18">
        <v>214.89</v>
      </c>
      <c r="I351" s="18">
        <v>67077.440000000002</v>
      </c>
      <c r="J351" s="18">
        <v>661.11</v>
      </c>
      <c r="K351" s="18">
        <v>121.18</v>
      </c>
      <c r="L351" s="19">
        <f>SUM(F351:K351)</f>
        <v>126086.65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82850.2</v>
      </c>
      <c r="G352" s="18">
        <v>13406.69</v>
      </c>
      <c r="H352" s="18">
        <v>310.58</v>
      </c>
      <c r="I352" s="18">
        <v>96947.1</v>
      </c>
      <c r="J352" s="18">
        <v>955.5</v>
      </c>
      <c r="K352" s="18">
        <v>175.15</v>
      </c>
      <c r="L352" s="19">
        <f>SUM(F352:K352)</f>
        <v>194645.22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212510.12</v>
      </c>
      <c r="G354" s="47">
        <f t="shared" si="22"/>
        <v>37064.68</v>
      </c>
      <c r="H354" s="47">
        <f t="shared" si="22"/>
        <v>915</v>
      </c>
      <c r="I354" s="47">
        <f t="shared" si="22"/>
        <v>285614.65000000002</v>
      </c>
      <c r="J354" s="47">
        <f t="shared" si="22"/>
        <v>2814.9900000000002</v>
      </c>
      <c r="K354" s="47">
        <f t="shared" si="22"/>
        <v>516</v>
      </c>
      <c r="L354" s="47">
        <f t="shared" si="22"/>
        <v>539435.44000000006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114572.11</v>
      </c>
      <c r="G359" s="18">
        <v>63205.82</v>
      </c>
      <c r="H359" s="18">
        <v>91351.46</v>
      </c>
      <c r="I359" s="56">
        <f>SUM(F359:H359)</f>
        <v>269129.39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7018</v>
      </c>
      <c r="G360" s="63">
        <v>3871.61</v>
      </c>
      <c r="H360" s="63">
        <v>5595.65</v>
      </c>
      <c r="I360" s="56">
        <f>SUM(F360:H360)</f>
        <v>16485.260000000002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121590.11</v>
      </c>
      <c r="G361" s="47">
        <f>SUM(G359:G360)</f>
        <v>67077.429999999993</v>
      </c>
      <c r="H361" s="47">
        <f>SUM(H359:H360)</f>
        <v>96947.11</v>
      </c>
      <c r="I361" s="47">
        <f>SUM(I359:I360)</f>
        <v>285614.65000000002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1261484</v>
      </c>
      <c r="I370" s="18"/>
      <c r="J370" s="18"/>
      <c r="K370" s="18"/>
      <c r="L370" s="13">
        <f t="shared" si="23"/>
        <v>1261484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1471700</v>
      </c>
      <c r="I371" s="18"/>
      <c r="J371" s="18"/>
      <c r="K371" s="18"/>
      <c r="L371" s="13">
        <f t="shared" si="23"/>
        <v>1471700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v>39027.5</v>
      </c>
      <c r="I372" s="18"/>
      <c r="J372" s="18"/>
      <c r="K372" s="18"/>
      <c r="L372" s="13">
        <f t="shared" si="23"/>
        <v>39027.5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2772211.5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2772211.5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200000</v>
      </c>
      <c r="H381" s="18">
        <v>2011.98</v>
      </c>
      <c r="I381" s="18"/>
      <c r="J381" s="24" t="s">
        <v>312</v>
      </c>
      <c r="K381" s="24" t="s">
        <v>312</v>
      </c>
      <c r="L381" s="56">
        <f t="shared" si="25"/>
        <v>202011.98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152000</v>
      </c>
      <c r="H384" s="18">
        <v>377.94</v>
      </c>
      <c r="I384" s="18">
        <v>658.58</v>
      </c>
      <c r="J384" s="24" t="s">
        <v>312</v>
      </c>
      <c r="K384" s="24" t="s">
        <v>312</v>
      </c>
      <c r="L384" s="56">
        <f t="shared" si="25"/>
        <v>153036.51999999999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352000</v>
      </c>
      <c r="H385" s="139">
        <f>SUM(H379:H384)</f>
        <v>2389.92</v>
      </c>
      <c r="I385" s="65">
        <f>SUM(I379:I384)</f>
        <v>658.58</v>
      </c>
      <c r="J385" s="45" t="s">
        <v>312</v>
      </c>
      <c r="K385" s="45" t="s">
        <v>312</v>
      </c>
      <c r="L385" s="47">
        <f>SUM(L379:L384)</f>
        <v>355048.5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352000</v>
      </c>
      <c r="H400" s="47">
        <f>H385+H393+H399</f>
        <v>2389.92</v>
      </c>
      <c r="I400" s="47">
        <f>I385+I393+I399</f>
        <v>658.58</v>
      </c>
      <c r="J400" s="24" t="s">
        <v>312</v>
      </c>
      <c r="K400" s="24" t="s">
        <v>312</v>
      </c>
      <c r="L400" s="47">
        <f>L385+L393+L399</f>
        <v>355048.5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178377.35</v>
      </c>
      <c r="L407" s="56">
        <f t="shared" si="27"/>
        <v>178377.35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41471.83</v>
      </c>
      <c r="I410" s="18"/>
      <c r="J410" s="18"/>
      <c r="K410" s="18"/>
      <c r="L410" s="56">
        <f t="shared" si="27"/>
        <v>41471.83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41471.83</v>
      </c>
      <c r="I411" s="139">
        <f t="shared" si="28"/>
        <v>0</v>
      </c>
      <c r="J411" s="139">
        <f t="shared" si="28"/>
        <v>0</v>
      </c>
      <c r="K411" s="139">
        <f t="shared" si="28"/>
        <v>178377.35</v>
      </c>
      <c r="L411" s="47">
        <f t="shared" si="28"/>
        <v>219849.18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41471.83</v>
      </c>
      <c r="I426" s="47">
        <f t="shared" si="32"/>
        <v>0</v>
      </c>
      <c r="J426" s="47">
        <f t="shared" si="32"/>
        <v>0</v>
      </c>
      <c r="K426" s="47">
        <f t="shared" si="32"/>
        <v>178377.35</v>
      </c>
      <c r="L426" s="47">
        <f t="shared" si="32"/>
        <v>219849.18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795868.5</v>
      </c>
      <c r="H432" s="18"/>
      <c r="I432" s="56">
        <f t="shared" si="33"/>
        <v>795868.5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795868.5</v>
      </c>
      <c r="H438" s="13">
        <f>SUM(H431:H437)</f>
        <v>0</v>
      </c>
      <c r="I438" s="13">
        <f>SUM(I431:I437)</f>
        <v>795868.5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>
        <v>165015.46</v>
      </c>
      <c r="H442" s="18"/>
      <c r="I442" s="56">
        <f>SUM(F442:H442)</f>
        <v>165015.46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165015.46</v>
      </c>
      <c r="H444" s="72">
        <f>SUM(H440:H443)</f>
        <v>0</v>
      </c>
      <c r="I444" s="72">
        <f>SUM(I440:I443)</f>
        <v>165015.46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630853.04</v>
      </c>
      <c r="H449" s="18"/>
      <c r="I449" s="56">
        <f>SUM(F449:H449)</f>
        <v>630853.04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630853.04</v>
      </c>
      <c r="H450" s="83">
        <f>SUM(H446:H449)</f>
        <v>0</v>
      </c>
      <c r="I450" s="83">
        <f>SUM(I446:I449)</f>
        <v>630853.04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795868.5</v>
      </c>
      <c r="H451" s="42">
        <f>H444+H450</f>
        <v>0</v>
      </c>
      <c r="I451" s="42">
        <f>I444+I450</f>
        <v>795868.5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1046384.52</v>
      </c>
      <c r="G455" s="18">
        <v>31039.45</v>
      </c>
      <c r="H455" s="18">
        <v>0</v>
      </c>
      <c r="I455" s="18">
        <v>39554.089999999997</v>
      </c>
      <c r="J455" s="18">
        <v>495653.72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21688181.98</v>
      </c>
      <c r="G458" s="18">
        <v>568642.63</v>
      </c>
      <c r="H458" s="18">
        <v>1500158.44</v>
      </c>
      <c r="I458" s="18">
        <v>3519417.8</v>
      </c>
      <c r="J458" s="18">
        <v>355048.5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21688181.98</v>
      </c>
      <c r="G460" s="53">
        <f>SUM(G458:G459)</f>
        <v>568642.63</v>
      </c>
      <c r="H460" s="53">
        <f>SUM(H458:H459)</f>
        <v>1500158.44</v>
      </c>
      <c r="I460" s="53">
        <f>SUM(I458:I459)</f>
        <v>3519417.8</v>
      </c>
      <c r="J460" s="53">
        <f>SUM(J458:J459)</f>
        <v>355048.5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21320403.16</v>
      </c>
      <c r="G462" s="18">
        <v>539435.43999999994</v>
      </c>
      <c r="H462" s="18">
        <v>1500158.44</v>
      </c>
      <c r="I462" s="18">
        <v>2772211.5</v>
      </c>
      <c r="J462" s="18">
        <v>219849.18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21320403.16</v>
      </c>
      <c r="G464" s="53">
        <f>SUM(G462:G463)</f>
        <v>539435.43999999994</v>
      </c>
      <c r="H464" s="53">
        <f>SUM(H462:H463)</f>
        <v>1500158.44</v>
      </c>
      <c r="I464" s="53">
        <f>SUM(I462:I463)</f>
        <v>2772211.5</v>
      </c>
      <c r="J464" s="53">
        <f>SUM(J462:J463)</f>
        <v>219849.18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1414163.3399999999</v>
      </c>
      <c r="G466" s="53">
        <f>(G455+G460)- G464</f>
        <v>60246.640000000014</v>
      </c>
      <c r="H466" s="53">
        <f>(H455+H460)- H464</f>
        <v>0</v>
      </c>
      <c r="I466" s="53">
        <f>(I455+I460)- I464</f>
        <v>786760.38999999966</v>
      </c>
      <c r="J466" s="53">
        <f>(J455+J460)- J464</f>
        <v>630853.04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13</v>
      </c>
      <c r="H480" s="154">
        <v>20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 t="s">
        <v>900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1150000</v>
      </c>
      <c r="G483" s="18">
        <v>7005000</v>
      </c>
      <c r="H483" s="18">
        <v>17000000</v>
      </c>
      <c r="I483" s="18">
        <v>3396240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7.1</v>
      </c>
      <c r="G484" s="18">
        <v>3.2</v>
      </c>
      <c r="H484" s="18">
        <v>4</v>
      </c>
      <c r="I484" s="18">
        <v>1.395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55000</v>
      </c>
      <c r="G485" s="18">
        <v>2935000</v>
      </c>
      <c r="H485" s="18">
        <v>11050000</v>
      </c>
      <c r="I485" s="18"/>
      <c r="J485" s="18"/>
      <c r="K485" s="53">
        <f>SUM(F485:J485)</f>
        <v>14040000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3396240</v>
      </c>
      <c r="J486" s="18"/>
      <c r="K486" s="53">
        <f t="shared" ref="K486:K493" si="34">SUM(F486:J486)</f>
        <v>3396240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55000</v>
      </c>
      <c r="G487" s="18">
        <v>540000</v>
      </c>
      <c r="H487" s="18">
        <v>0</v>
      </c>
      <c r="I487" s="18">
        <v>0</v>
      </c>
      <c r="J487" s="18"/>
      <c r="K487" s="53">
        <f t="shared" si="34"/>
        <v>595000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v>2395000</v>
      </c>
      <c r="H488" s="205">
        <v>10200000</v>
      </c>
      <c r="I488" s="205">
        <v>3396240</v>
      </c>
      <c r="J488" s="205"/>
      <c r="K488" s="206">
        <f t="shared" si="34"/>
        <v>15991240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219811.25</v>
      </c>
      <c r="H489" s="18">
        <v>2813925</v>
      </c>
      <c r="I489" s="18">
        <v>387119.59</v>
      </c>
      <c r="J489" s="18"/>
      <c r="K489" s="53">
        <f t="shared" si="34"/>
        <v>3420855.84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2614811.25</v>
      </c>
      <c r="H490" s="42">
        <f>SUM(H488:H489)</f>
        <v>13013925</v>
      </c>
      <c r="I490" s="42">
        <f>SUM(I488:I489)</f>
        <v>3783359.59</v>
      </c>
      <c r="J490" s="42">
        <f>SUM(J488:J489)</f>
        <v>0</v>
      </c>
      <c r="K490" s="42">
        <f t="shared" si="34"/>
        <v>19412095.84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530000</v>
      </c>
      <c r="H491" s="205">
        <v>850000</v>
      </c>
      <c r="I491" s="205">
        <v>230751.66</v>
      </c>
      <c r="J491" s="205"/>
      <c r="K491" s="206">
        <f t="shared" si="34"/>
        <v>1610751.66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>
        <v>80082.5</v>
      </c>
      <c r="H492" s="18">
        <v>437750</v>
      </c>
      <c r="I492" s="18">
        <v>50981.34</v>
      </c>
      <c r="J492" s="18"/>
      <c r="K492" s="53">
        <f t="shared" si="34"/>
        <v>568813.84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610082.5</v>
      </c>
      <c r="H493" s="42">
        <f>SUM(H491:H492)</f>
        <v>1287750</v>
      </c>
      <c r="I493" s="42">
        <f>SUM(I491:I492)</f>
        <v>281733</v>
      </c>
      <c r="J493" s="42">
        <f>SUM(J491:J492)</f>
        <v>0</v>
      </c>
      <c r="K493" s="42">
        <f t="shared" si="34"/>
        <v>2179565.5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947507.67</v>
      </c>
      <c r="G511" s="18">
        <v>295610.78999999998</v>
      </c>
      <c r="H511" s="18">
        <v>285882.77</v>
      </c>
      <c r="I511" s="18">
        <v>23591.55</v>
      </c>
      <c r="J511" s="18">
        <v>941.71</v>
      </c>
      <c r="K511" s="18">
        <v>7140.04</v>
      </c>
      <c r="L511" s="88">
        <f>SUM(F511:K511)</f>
        <v>1560674.53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379267.73</v>
      </c>
      <c r="G512" s="18">
        <v>135328.79999999999</v>
      </c>
      <c r="H512" s="18">
        <v>158556.57</v>
      </c>
      <c r="I512" s="18">
        <v>62132.35</v>
      </c>
      <c r="J512" s="18">
        <v>8900.2099999999991</v>
      </c>
      <c r="K512" s="18">
        <v>4207.74</v>
      </c>
      <c r="L512" s="88">
        <f>SUM(F512:K512)</f>
        <v>748393.39999999991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504565.26</v>
      </c>
      <c r="G513" s="18">
        <v>150416.24</v>
      </c>
      <c r="H513" s="18">
        <v>229146.18</v>
      </c>
      <c r="I513" s="18">
        <v>137967.35999999999</v>
      </c>
      <c r="J513" s="18">
        <v>2593.1</v>
      </c>
      <c r="K513" s="18">
        <v>7800.99</v>
      </c>
      <c r="L513" s="88">
        <f>SUM(F513:K513)</f>
        <v>1032489.1299999999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1831340.66</v>
      </c>
      <c r="G514" s="108">
        <f t="shared" ref="G514:L514" si="35">SUM(G511:G513)</f>
        <v>581355.82999999996</v>
      </c>
      <c r="H514" s="108">
        <f t="shared" si="35"/>
        <v>673585.52</v>
      </c>
      <c r="I514" s="108">
        <f t="shared" si="35"/>
        <v>223691.25999999998</v>
      </c>
      <c r="J514" s="108">
        <f t="shared" si="35"/>
        <v>12435.019999999999</v>
      </c>
      <c r="K514" s="108">
        <f t="shared" si="35"/>
        <v>19148.769999999997</v>
      </c>
      <c r="L514" s="89">
        <f t="shared" si="35"/>
        <v>3341557.0599999996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205212.63</v>
      </c>
      <c r="G516" s="18">
        <v>51024.33</v>
      </c>
      <c r="H516" s="18">
        <v>68637.08</v>
      </c>
      <c r="I516" s="18">
        <v>805.48</v>
      </c>
      <c r="J516" s="18">
        <v>1247.33</v>
      </c>
      <c r="K516" s="18">
        <v>0</v>
      </c>
      <c r="L516" s="88">
        <f>SUM(F516:K516)</f>
        <v>326926.85000000003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113209.34</v>
      </c>
      <c r="G517" s="18">
        <v>28148.52</v>
      </c>
      <c r="H517" s="18">
        <v>25412.58</v>
      </c>
      <c r="I517" s="18">
        <v>444.36</v>
      </c>
      <c r="J517" s="18">
        <v>688.11</v>
      </c>
      <c r="K517" s="18">
        <v>0</v>
      </c>
      <c r="L517" s="88">
        <f>SUM(F517:K517)</f>
        <v>167902.90999999997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163621.60999999999</v>
      </c>
      <c r="G518" s="18">
        <v>40683.089999999997</v>
      </c>
      <c r="H518" s="18">
        <v>32775.82</v>
      </c>
      <c r="I518" s="18">
        <v>642.23</v>
      </c>
      <c r="J518" s="18">
        <v>994.53</v>
      </c>
      <c r="K518" s="18">
        <v>0</v>
      </c>
      <c r="L518" s="88">
        <f>SUM(F518:K518)</f>
        <v>238717.28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482043.57999999996</v>
      </c>
      <c r="G519" s="89">
        <f t="shared" ref="G519:L519" si="36">SUM(G516:G518)</f>
        <v>119855.94</v>
      </c>
      <c r="H519" s="89">
        <f t="shared" si="36"/>
        <v>126825.48000000001</v>
      </c>
      <c r="I519" s="89">
        <f t="shared" si="36"/>
        <v>1892.0700000000002</v>
      </c>
      <c r="J519" s="89">
        <f t="shared" si="36"/>
        <v>2929.9700000000003</v>
      </c>
      <c r="K519" s="89">
        <f t="shared" si="36"/>
        <v>0</v>
      </c>
      <c r="L519" s="89">
        <f t="shared" si="36"/>
        <v>733547.04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92662.22</v>
      </c>
      <c r="G521" s="18">
        <v>30222.1</v>
      </c>
      <c r="H521" s="18">
        <v>20466.349999999999</v>
      </c>
      <c r="I521" s="18"/>
      <c r="J521" s="18">
        <v>18433.28</v>
      </c>
      <c r="K521" s="18"/>
      <c r="L521" s="88">
        <f>SUM(F521:K521)</f>
        <v>161783.95000000001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51118.83</v>
      </c>
      <c r="G522" s="18">
        <v>16672.580000000002</v>
      </c>
      <c r="H522" s="18">
        <v>11290.64</v>
      </c>
      <c r="I522" s="18"/>
      <c r="J522" s="18">
        <v>10169.06</v>
      </c>
      <c r="K522" s="18"/>
      <c r="L522" s="88">
        <f>SUM(F522:K522)</f>
        <v>89251.11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73882.11</v>
      </c>
      <c r="G523" s="18">
        <v>24096.9</v>
      </c>
      <c r="H523" s="18">
        <v>16318.38</v>
      </c>
      <c r="I523" s="18"/>
      <c r="J523" s="18">
        <v>14697.35</v>
      </c>
      <c r="K523" s="18"/>
      <c r="L523" s="88">
        <f>SUM(F523:K523)</f>
        <v>128994.74000000002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217663.15999999997</v>
      </c>
      <c r="G524" s="89">
        <f t="shared" ref="G524:L524" si="37">SUM(G521:G523)</f>
        <v>70991.58</v>
      </c>
      <c r="H524" s="89">
        <f t="shared" si="37"/>
        <v>48075.369999999995</v>
      </c>
      <c r="I524" s="89">
        <f t="shared" si="37"/>
        <v>0</v>
      </c>
      <c r="J524" s="89">
        <f t="shared" si="37"/>
        <v>43299.689999999995</v>
      </c>
      <c r="K524" s="89">
        <f t="shared" si="37"/>
        <v>0</v>
      </c>
      <c r="L524" s="89">
        <f t="shared" si="37"/>
        <v>380029.80000000005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20466.349999999999</v>
      </c>
      <c r="I526" s="18"/>
      <c r="J526" s="18"/>
      <c r="K526" s="18"/>
      <c r="L526" s="88">
        <f>SUM(F526:K526)</f>
        <v>20466.349999999999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11290.64</v>
      </c>
      <c r="I527" s="18"/>
      <c r="J527" s="18"/>
      <c r="K527" s="18"/>
      <c r="L527" s="88">
        <f>SUM(F527:K527)</f>
        <v>11290.64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16318.38</v>
      </c>
      <c r="I528" s="18"/>
      <c r="J528" s="18"/>
      <c r="K528" s="18"/>
      <c r="L528" s="88">
        <f>SUM(F528:K528)</f>
        <v>16318.38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48075.369999999995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48075.369999999995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62081.93</v>
      </c>
      <c r="I531" s="18"/>
      <c r="J531" s="18"/>
      <c r="K531" s="18"/>
      <c r="L531" s="88">
        <f>SUM(F531:K531)</f>
        <v>62081.93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34248.65</v>
      </c>
      <c r="I532" s="18"/>
      <c r="J532" s="18"/>
      <c r="K532" s="18"/>
      <c r="L532" s="88">
        <f>SUM(F532:K532)</f>
        <v>34248.65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49499.62</v>
      </c>
      <c r="I533" s="18"/>
      <c r="J533" s="18"/>
      <c r="K533" s="18"/>
      <c r="L533" s="88">
        <f>SUM(F533:K533)</f>
        <v>49499.62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145830.20000000001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145830.20000000001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2531047.4</v>
      </c>
      <c r="G535" s="89">
        <f t="shared" ref="G535:L535" si="40">G514+G519+G524+G529+G534</f>
        <v>772203.35</v>
      </c>
      <c r="H535" s="89">
        <f t="shared" si="40"/>
        <v>1042391.94</v>
      </c>
      <c r="I535" s="89">
        <f t="shared" si="40"/>
        <v>225583.33</v>
      </c>
      <c r="J535" s="89">
        <f t="shared" si="40"/>
        <v>58664.679999999993</v>
      </c>
      <c r="K535" s="89">
        <f t="shared" si="40"/>
        <v>19148.769999999997</v>
      </c>
      <c r="L535" s="89">
        <f t="shared" si="40"/>
        <v>4649039.47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1560674.53</v>
      </c>
      <c r="G539" s="87">
        <f>L516</f>
        <v>326926.85000000003</v>
      </c>
      <c r="H539" s="87">
        <f>L521</f>
        <v>161783.95000000001</v>
      </c>
      <c r="I539" s="87">
        <f>L526</f>
        <v>20466.349999999999</v>
      </c>
      <c r="J539" s="87">
        <f>L531</f>
        <v>62081.93</v>
      </c>
      <c r="K539" s="87">
        <f>SUM(F539:J539)</f>
        <v>2131933.6100000003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748393.39999999991</v>
      </c>
      <c r="G540" s="87">
        <f>L517</f>
        <v>167902.90999999997</v>
      </c>
      <c r="H540" s="87">
        <f>L522</f>
        <v>89251.11</v>
      </c>
      <c r="I540" s="87">
        <f>L527</f>
        <v>11290.64</v>
      </c>
      <c r="J540" s="87">
        <f>L532</f>
        <v>34248.65</v>
      </c>
      <c r="K540" s="87">
        <f>SUM(F540:J540)</f>
        <v>1051086.7099999997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1032489.1299999999</v>
      </c>
      <c r="G541" s="87">
        <f>L518</f>
        <v>238717.28</v>
      </c>
      <c r="H541" s="87">
        <f>L523</f>
        <v>128994.74000000002</v>
      </c>
      <c r="I541" s="87">
        <f>L528</f>
        <v>16318.38</v>
      </c>
      <c r="J541" s="87">
        <f>L533</f>
        <v>49499.62</v>
      </c>
      <c r="K541" s="87">
        <f>SUM(F541:J541)</f>
        <v>1466019.15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3341557.0599999996</v>
      </c>
      <c r="G542" s="89">
        <f t="shared" si="41"/>
        <v>733547.04</v>
      </c>
      <c r="H542" s="89">
        <f t="shared" si="41"/>
        <v>380029.80000000005</v>
      </c>
      <c r="I542" s="89">
        <f t="shared" si="41"/>
        <v>48075.369999999995</v>
      </c>
      <c r="J542" s="89">
        <f t="shared" si="41"/>
        <v>145830.20000000001</v>
      </c>
      <c r="K542" s="89">
        <f t="shared" si="41"/>
        <v>4649039.4700000007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19184.11</v>
      </c>
      <c r="G547" s="18">
        <v>6444.91</v>
      </c>
      <c r="H547" s="18"/>
      <c r="I547" s="18">
        <v>172.34</v>
      </c>
      <c r="J547" s="18"/>
      <c r="K547" s="18"/>
      <c r="L547" s="88">
        <f>SUM(F547:K547)</f>
        <v>25801.360000000001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10583.27</v>
      </c>
      <c r="G548" s="18">
        <v>3555.45</v>
      </c>
      <c r="H548" s="18"/>
      <c r="I548" s="18">
        <v>95.07</v>
      </c>
      <c r="J548" s="18"/>
      <c r="K548" s="18"/>
      <c r="L548" s="88">
        <f>SUM(F548:K548)</f>
        <v>14233.79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15296.02</v>
      </c>
      <c r="G549" s="18">
        <v>5138.7</v>
      </c>
      <c r="H549" s="18"/>
      <c r="I549" s="18">
        <v>137.41</v>
      </c>
      <c r="J549" s="18"/>
      <c r="K549" s="18"/>
      <c r="L549" s="88">
        <f>SUM(F549:K549)</f>
        <v>20572.13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45063.4</v>
      </c>
      <c r="G550" s="108">
        <f t="shared" si="42"/>
        <v>15139.060000000001</v>
      </c>
      <c r="H550" s="108">
        <f t="shared" si="42"/>
        <v>0</v>
      </c>
      <c r="I550" s="108">
        <f t="shared" si="42"/>
        <v>404.81999999999994</v>
      </c>
      <c r="J550" s="108">
        <f t="shared" si="42"/>
        <v>0</v>
      </c>
      <c r="K550" s="108">
        <f t="shared" si="42"/>
        <v>0</v>
      </c>
      <c r="L550" s="89">
        <f t="shared" si="42"/>
        <v>60607.28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20931.07</v>
      </c>
      <c r="G557" s="18">
        <v>8950.51</v>
      </c>
      <c r="H557" s="18"/>
      <c r="I557" s="18">
        <v>815</v>
      </c>
      <c r="J557" s="18"/>
      <c r="K557" s="18"/>
      <c r="L557" s="88">
        <f>SUM(F557:K557)</f>
        <v>30696.58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11547.01</v>
      </c>
      <c r="G558" s="18">
        <v>4937.72</v>
      </c>
      <c r="H558" s="18"/>
      <c r="I558" s="18">
        <v>449.61</v>
      </c>
      <c r="J558" s="18"/>
      <c r="K558" s="18"/>
      <c r="L558" s="88">
        <f>SUM(F558:K558)</f>
        <v>16934.34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16688.91</v>
      </c>
      <c r="G559" s="18">
        <v>7136.49</v>
      </c>
      <c r="H559" s="18"/>
      <c r="I559" s="18">
        <v>649.82000000000005</v>
      </c>
      <c r="J559" s="18"/>
      <c r="K559" s="18"/>
      <c r="L559" s="88">
        <f>SUM(F559:K559)</f>
        <v>24475.22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49166.990000000005</v>
      </c>
      <c r="G560" s="194">
        <f t="shared" ref="G560:L560" si="44">SUM(G557:G559)</f>
        <v>21024.720000000001</v>
      </c>
      <c r="H560" s="194">
        <f t="shared" si="44"/>
        <v>0</v>
      </c>
      <c r="I560" s="194">
        <f t="shared" si="44"/>
        <v>1914.4300000000003</v>
      </c>
      <c r="J560" s="194">
        <f t="shared" si="44"/>
        <v>0</v>
      </c>
      <c r="K560" s="194">
        <f t="shared" si="44"/>
        <v>0</v>
      </c>
      <c r="L560" s="194">
        <f t="shared" si="44"/>
        <v>72106.14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94230.390000000014</v>
      </c>
      <c r="G561" s="89">
        <f t="shared" ref="G561:L561" si="45">G550+G555+G560</f>
        <v>36163.78</v>
      </c>
      <c r="H561" s="89">
        <f t="shared" si="45"/>
        <v>0</v>
      </c>
      <c r="I561" s="89">
        <f t="shared" si="45"/>
        <v>2319.25</v>
      </c>
      <c r="J561" s="89">
        <f t="shared" si="45"/>
        <v>0</v>
      </c>
      <c r="K561" s="89">
        <f t="shared" si="45"/>
        <v>0</v>
      </c>
      <c r="L561" s="89">
        <f t="shared" si="45"/>
        <v>132713.41999999998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40913.4</v>
      </c>
      <c r="I565" s="87">
        <f>SUM(F565:H565)</f>
        <v>40913.4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11938</v>
      </c>
      <c r="G569" s="18">
        <v>17949.36</v>
      </c>
      <c r="H569" s="18">
        <v>30973.040000000001</v>
      </c>
      <c r="I569" s="87">
        <f t="shared" si="46"/>
        <v>60860.4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v>300</v>
      </c>
      <c r="H572" s="18">
        <v>344919.26</v>
      </c>
      <c r="I572" s="87">
        <f t="shared" si="46"/>
        <v>345219.26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44802.55</v>
      </c>
      <c r="I574" s="87">
        <f t="shared" si="46"/>
        <v>44802.55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255882.67</v>
      </c>
      <c r="I581" s="18">
        <v>141162.41</v>
      </c>
      <c r="J581" s="18">
        <v>204022.21</v>
      </c>
      <c r="K581" s="104">
        <f t="shared" ref="K581:K587" si="47">SUM(H581:J581)</f>
        <v>601067.29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62081.93</v>
      </c>
      <c r="I582" s="18">
        <v>34248.65</v>
      </c>
      <c r="J582" s="18">
        <v>49499.62</v>
      </c>
      <c r="K582" s="104">
        <f t="shared" si="47"/>
        <v>145830.20000000001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32782.6</v>
      </c>
      <c r="K583" s="104">
        <f t="shared" si="47"/>
        <v>32782.6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15519.5</v>
      </c>
      <c r="J584" s="18">
        <v>36619.440000000002</v>
      </c>
      <c r="K584" s="104">
        <f t="shared" si="47"/>
        <v>52138.94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11502.17</v>
      </c>
      <c r="I585" s="18">
        <v>4168.01</v>
      </c>
      <c r="J585" s="18">
        <v>7363.69</v>
      </c>
      <c r="K585" s="104">
        <f t="shared" si="47"/>
        <v>23033.87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329466.77</v>
      </c>
      <c r="I588" s="108">
        <f>SUM(I581:I587)</f>
        <v>195098.57</v>
      </c>
      <c r="J588" s="108">
        <f>SUM(J581:J587)</f>
        <v>330287.56</v>
      </c>
      <c r="K588" s="108">
        <f>SUM(K581:K587)</f>
        <v>854852.9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86985.04</v>
      </c>
      <c r="I594" s="18">
        <v>97509.48</v>
      </c>
      <c r="J594" s="18">
        <v>86777.53</v>
      </c>
      <c r="K594" s="104">
        <f>SUM(H594:J594)</f>
        <v>271272.05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86985.04</v>
      </c>
      <c r="I595" s="108">
        <f>SUM(I592:I594)</f>
        <v>97509.48</v>
      </c>
      <c r="J595" s="108">
        <f>SUM(J592:J594)</f>
        <v>86777.53</v>
      </c>
      <c r="K595" s="108">
        <f>SUM(K592:K594)</f>
        <v>271272.05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2575.5700000000002</v>
      </c>
      <c r="G601" s="18">
        <v>308.18</v>
      </c>
      <c r="H601" s="18"/>
      <c r="I601" s="18">
        <v>288.43</v>
      </c>
      <c r="J601" s="18"/>
      <c r="K601" s="18"/>
      <c r="L601" s="88">
        <f>SUM(F601:K601)</f>
        <v>3172.18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1420.86</v>
      </c>
      <c r="G602" s="18">
        <v>170.01</v>
      </c>
      <c r="H602" s="18"/>
      <c r="I602" s="18">
        <v>159.12</v>
      </c>
      <c r="J602" s="18"/>
      <c r="K602" s="18"/>
      <c r="L602" s="88">
        <f>SUM(F602:K602)</f>
        <v>1749.9899999999998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2053.5700000000002</v>
      </c>
      <c r="G603" s="18">
        <v>245.72</v>
      </c>
      <c r="H603" s="18"/>
      <c r="I603" s="18">
        <v>229.98</v>
      </c>
      <c r="J603" s="18"/>
      <c r="K603" s="18"/>
      <c r="L603" s="88">
        <f>SUM(F603:K603)</f>
        <v>2529.27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6050</v>
      </c>
      <c r="G604" s="108">
        <f t="shared" si="48"/>
        <v>723.91</v>
      </c>
      <c r="H604" s="108">
        <f t="shared" si="48"/>
        <v>0</v>
      </c>
      <c r="I604" s="108">
        <f t="shared" si="48"/>
        <v>677.53</v>
      </c>
      <c r="J604" s="108">
        <f t="shared" si="48"/>
        <v>0</v>
      </c>
      <c r="K604" s="108">
        <f t="shared" si="48"/>
        <v>0</v>
      </c>
      <c r="L604" s="89">
        <f t="shared" si="48"/>
        <v>7451.4400000000005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1769873.0599999998</v>
      </c>
      <c r="H607" s="109">
        <f>SUM(F44)</f>
        <v>1769873.0599999998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68032.039999999994</v>
      </c>
      <c r="H608" s="109">
        <f>SUM(G44)</f>
        <v>68032.039999999994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634380.51</v>
      </c>
      <c r="H609" s="109">
        <f>SUM(H44)</f>
        <v>634380.51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855918.61</v>
      </c>
      <c r="H610" s="109">
        <f>SUM(I44)</f>
        <v>855918.61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795868.5</v>
      </c>
      <c r="H611" s="109">
        <f>SUM(J44)</f>
        <v>795868.5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1414163.3399999999</v>
      </c>
      <c r="H612" s="109">
        <f>F466</f>
        <v>1414163.3399999999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60246.64</v>
      </c>
      <c r="H613" s="109">
        <f>G466</f>
        <v>60246.640000000014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786760.39</v>
      </c>
      <c r="H615" s="109">
        <f>I466</f>
        <v>786760.38999999966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630853.04</v>
      </c>
      <c r="H616" s="109">
        <f>J466</f>
        <v>630853.04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21688181.98</v>
      </c>
      <c r="H617" s="104">
        <f>SUM(F458)</f>
        <v>21688181.98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568642.63</v>
      </c>
      <c r="H618" s="104">
        <f>SUM(G458)</f>
        <v>568642.63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1500158.44</v>
      </c>
      <c r="H619" s="104">
        <f>SUM(H458)</f>
        <v>1500158.44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3519417.8</v>
      </c>
      <c r="H620" s="104">
        <f>SUM(I458)</f>
        <v>3519417.8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355048.5</v>
      </c>
      <c r="H621" s="104">
        <f>SUM(J458)</f>
        <v>355048.5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21320403.16</v>
      </c>
      <c r="H622" s="104">
        <f>SUM(F462)</f>
        <v>21320403.16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1500158.4400000002</v>
      </c>
      <c r="H623" s="104">
        <f>SUM(H462)</f>
        <v>1500158.44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285614.65000000002</v>
      </c>
      <c r="H624" s="104">
        <f>I361</f>
        <v>285614.65000000002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539435.44000000006</v>
      </c>
      <c r="H625" s="104">
        <f>SUM(G462)</f>
        <v>539435.43999999994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2772211.5</v>
      </c>
      <c r="H626" s="104">
        <f>SUM(I462)</f>
        <v>2772211.5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355048.5</v>
      </c>
      <c r="H627" s="164">
        <f>SUM(J458)</f>
        <v>355048.5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219849.18</v>
      </c>
      <c r="H628" s="164">
        <f>SUM(J462)</f>
        <v>219849.18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795868.5</v>
      </c>
      <c r="H630" s="104">
        <f>SUM(G451)</f>
        <v>795868.5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795868.5</v>
      </c>
      <c r="H632" s="104">
        <f>SUM(I451)</f>
        <v>795868.5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2389.92</v>
      </c>
      <c r="H634" s="104">
        <f>H400</f>
        <v>2389.92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352000</v>
      </c>
      <c r="H635" s="104">
        <f>G400</f>
        <v>352000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355048.5</v>
      </c>
      <c r="H636" s="104">
        <f>L400</f>
        <v>355048.5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854852.9</v>
      </c>
      <c r="H637" s="104">
        <f>L200+L218+L236</f>
        <v>854852.90000000014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271272.05</v>
      </c>
      <c r="H638" s="104">
        <f>(J249+J330)-(J247+J328)</f>
        <v>271272.05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329466.77</v>
      </c>
      <c r="H639" s="104">
        <f>H588</f>
        <v>329466.77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195098.57</v>
      </c>
      <c r="H640" s="104">
        <f>I588</f>
        <v>195098.57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330287.56</v>
      </c>
      <c r="H641" s="104">
        <f>J588</f>
        <v>330287.56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122760</v>
      </c>
      <c r="H644" s="104">
        <f>K257+K338</f>
        <v>122760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352000</v>
      </c>
      <c r="H645" s="104">
        <f>K258+K339</f>
        <v>352000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8708124.1499999985</v>
      </c>
      <c r="G650" s="19">
        <f>(L221+L301+L351)</f>
        <v>5237425.07</v>
      </c>
      <c r="H650" s="19">
        <f>(L239+L320+L352)</f>
        <v>6853277.3799999999</v>
      </c>
      <c r="I650" s="19">
        <f>SUM(F650:H650)</f>
        <v>20798826.599999998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131174.54283978857</v>
      </c>
      <c r="G651" s="19">
        <f>(L351/IF(SUM(L350:L352)=0,1,SUM(L350:L352))*(SUM(G89:G102)))</f>
        <v>75624.548204450548</v>
      </c>
      <c r="H651" s="19">
        <f>(L352/IF(SUM(L350:L352)=0,1,SUM(L350:L352))*(SUM(G89:G102)))</f>
        <v>116744.76895576085</v>
      </c>
      <c r="I651" s="19">
        <f>SUM(F651:H651)</f>
        <v>323543.86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329466.77</v>
      </c>
      <c r="G652" s="19">
        <f>(L218+L298)-(J218+J298)</f>
        <v>195098.57</v>
      </c>
      <c r="H652" s="19">
        <f>(L236+L317)-(J236+J317)</f>
        <v>330287.56</v>
      </c>
      <c r="I652" s="19">
        <f>SUM(F652:H652)</f>
        <v>854852.90000000014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102095.21999999999</v>
      </c>
      <c r="G653" s="200">
        <f>SUM(G565:G577)+SUM(I592:I594)+L602</f>
        <v>117508.83</v>
      </c>
      <c r="H653" s="200">
        <f>SUM(H565:H577)+SUM(J592:J594)+L603</f>
        <v>550915.05000000005</v>
      </c>
      <c r="I653" s="19">
        <f>SUM(F653:H653)</f>
        <v>770519.10000000009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8145387.6171602104</v>
      </c>
      <c r="G654" s="19">
        <f>G650-SUM(G651:G653)</f>
        <v>4849193.12179555</v>
      </c>
      <c r="H654" s="19">
        <f>H650-SUM(H651:H653)</f>
        <v>5855330.0010442389</v>
      </c>
      <c r="I654" s="19">
        <f>I650-SUM(I651:I653)</f>
        <v>18849910.739999998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632.29999999999995</v>
      </c>
      <c r="G655" s="249">
        <v>348.82</v>
      </c>
      <c r="H655" s="249">
        <v>504.15</v>
      </c>
      <c r="I655" s="19">
        <f>SUM(F655:H655)</f>
        <v>1485.27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12882.16</v>
      </c>
      <c r="G657" s="19">
        <f>ROUND(G654/G655,2)</f>
        <v>13901.71</v>
      </c>
      <c r="H657" s="19">
        <f>ROUND(H654/H655,2)</f>
        <v>11614.26</v>
      </c>
      <c r="I657" s="19">
        <f>ROUND(I654/I655,2)</f>
        <v>12691.24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-2.66</v>
      </c>
      <c r="I660" s="19">
        <f>SUM(F660:H660)</f>
        <v>-2.66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12882.16</v>
      </c>
      <c r="G662" s="19">
        <f>ROUND((G654+G659)/(G655+G660),2)</f>
        <v>13901.71</v>
      </c>
      <c r="H662" s="19">
        <f>ROUND((H654+H659)/(H655+H660),2)</f>
        <v>11675.87</v>
      </c>
      <c r="I662" s="19">
        <f>ROUND((I654+I659)/(I655+I660),2)</f>
        <v>12714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C9CD-6F03-4869-80FF-EF3EFF0E7DFE}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Winnisquam Reg.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5366449.3699999992</v>
      </c>
      <c r="C9" s="230">
        <f>'DOE25'!G189+'DOE25'!G207+'DOE25'!G225+'DOE25'!G268+'DOE25'!G287+'DOE25'!G306</f>
        <v>1973760.6000000003</v>
      </c>
    </row>
    <row r="10" spans="1:3" x14ac:dyDescent="0.2">
      <c r="A10" t="s">
        <v>813</v>
      </c>
      <c r="B10" s="241">
        <v>4883825.99</v>
      </c>
      <c r="C10" s="241">
        <v>1796122.15</v>
      </c>
    </row>
    <row r="11" spans="1:3" x14ac:dyDescent="0.2">
      <c r="A11" t="s">
        <v>814</v>
      </c>
      <c r="B11" s="241">
        <v>4024.54</v>
      </c>
      <c r="C11" s="241"/>
    </row>
    <row r="12" spans="1:3" x14ac:dyDescent="0.2">
      <c r="A12" t="s">
        <v>815</v>
      </c>
      <c r="B12" s="241">
        <v>478598.84</v>
      </c>
      <c r="C12" s="241">
        <v>177638.45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5366449.37</v>
      </c>
      <c r="C13" s="232">
        <f>SUM(C10:C12)</f>
        <v>1973760.5999999999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1715958.2</v>
      </c>
      <c r="C18" s="230">
        <f>'DOE25'!G190+'DOE25'!G208+'DOE25'!G226+'DOE25'!G269+'DOE25'!G288+'DOE25'!G307</f>
        <v>686681.94000000006</v>
      </c>
    </row>
    <row r="19" spans="1:3" x14ac:dyDescent="0.2">
      <c r="A19" t="s">
        <v>813</v>
      </c>
      <c r="B19" s="241">
        <v>943359.43</v>
      </c>
      <c r="C19" s="241">
        <v>508144.64000000001</v>
      </c>
    </row>
    <row r="20" spans="1:3" x14ac:dyDescent="0.2">
      <c r="A20" t="s">
        <v>814</v>
      </c>
      <c r="B20" s="241">
        <v>772598.77</v>
      </c>
      <c r="C20" s="241">
        <v>178537.3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1715958.2000000002</v>
      </c>
      <c r="C22" s="232">
        <f>SUM(C19:C21)</f>
        <v>686681.94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222046.49</v>
      </c>
      <c r="C27" s="235">
        <f>'DOE25'!G191+'DOE25'!G209+'DOE25'!G227+'DOE25'!G270+'DOE25'!G289+'DOE25'!G308</f>
        <v>104499.06000000001</v>
      </c>
    </row>
    <row r="28" spans="1:3" x14ac:dyDescent="0.2">
      <c r="A28" t="s">
        <v>813</v>
      </c>
      <c r="B28" s="241">
        <v>197931.95</v>
      </c>
      <c r="C28" s="241">
        <v>94049.15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24114.54</v>
      </c>
      <c r="C30" s="241">
        <v>10449.91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222046.49000000002</v>
      </c>
      <c r="C31" s="232">
        <f>SUM(C28:C30)</f>
        <v>104499.06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216601.08</v>
      </c>
      <c r="C36" s="236">
        <f>'DOE25'!G192+'DOE25'!G210+'DOE25'!G228+'DOE25'!G271+'DOE25'!G290+'DOE25'!G309</f>
        <v>56043.040000000001</v>
      </c>
    </row>
    <row r="37" spans="1:3" x14ac:dyDescent="0.2">
      <c r="A37" t="s">
        <v>813</v>
      </c>
      <c r="B37" s="241">
        <v>7151.45</v>
      </c>
      <c r="C37" s="241">
        <v>1681.29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209449.63</v>
      </c>
      <c r="C39" s="241">
        <v>54361.75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216601.08000000002</v>
      </c>
      <c r="C40" s="232">
        <f>SUM(C37:C39)</f>
        <v>56043.040000000001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42E1-6556-4F53-887F-A777F39F5F41}">
  <sheetPr>
    <tabColor indexed="11"/>
  </sheetPr>
  <dimension ref="A1:I51"/>
  <sheetViews>
    <sheetView workbookViewId="0">
      <pane ySplit="4" topLeftCell="A5" activePane="bottomLeft" state="frozen"/>
      <selection pane="bottomLeft" activeCell="E38" sqref="E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Winnisquam Reg.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10856592.059999999</v>
      </c>
      <c r="D5" s="20">
        <f>SUM('DOE25'!L189:L192)+SUM('DOE25'!L207:L210)+SUM('DOE25'!L225:L228)-F5-G5</f>
        <v>10797036.309999999</v>
      </c>
      <c r="E5" s="244"/>
      <c r="F5" s="256">
        <f>SUM('DOE25'!J189:J192)+SUM('DOE25'!J207:J210)+SUM('DOE25'!J225:J228)</f>
        <v>26407.19</v>
      </c>
      <c r="G5" s="53">
        <f>SUM('DOE25'!K189:K192)+SUM('DOE25'!K207:K210)+SUM('DOE25'!K225:K228)</f>
        <v>33148.559999999998</v>
      </c>
      <c r="H5" s="260"/>
    </row>
    <row r="6" spans="1:9" x14ac:dyDescent="0.2">
      <c r="A6" s="32">
        <v>2100</v>
      </c>
      <c r="B6" t="s">
        <v>835</v>
      </c>
      <c r="C6" s="246">
        <f t="shared" si="0"/>
        <v>1496480.42</v>
      </c>
      <c r="D6" s="20">
        <f>'DOE25'!L194+'DOE25'!L212+'DOE25'!L230-F6-G6</f>
        <v>1492880.14</v>
      </c>
      <c r="E6" s="244"/>
      <c r="F6" s="256">
        <f>'DOE25'!J194+'DOE25'!J212+'DOE25'!J230</f>
        <v>3315.2799999999997</v>
      </c>
      <c r="G6" s="53">
        <f>'DOE25'!K194+'DOE25'!K212+'DOE25'!K230</f>
        <v>285</v>
      </c>
      <c r="H6" s="260"/>
    </row>
    <row r="7" spans="1:9" x14ac:dyDescent="0.2">
      <c r="A7" s="32">
        <v>2200</v>
      </c>
      <c r="B7" t="s">
        <v>868</v>
      </c>
      <c r="C7" s="246">
        <f t="shared" si="0"/>
        <v>507321.55</v>
      </c>
      <c r="D7" s="20">
        <f>'DOE25'!L195+'DOE25'!L213+'DOE25'!L231-F7-G7</f>
        <v>502144.08999999997</v>
      </c>
      <c r="E7" s="244"/>
      <c r="F7" s="256">
        <f>'DOE25'!J195+'DOE25'!J213+'DOE25'!J231</f>
        <v>4302.46</v>
      </c>
      <c r="G7" s="53">
        <f>'DOE25'!K195+'DOE25'!K213+'DOE25'!K231</f>
        <v>875</v>
      </c>
      <c r="H7" s="260"/>
    </row>
    <row r="8" spans="1:9" x14ac:dyDescent="0.2">
      <c r="A8" s="32">
        <v>2300</v>
      </c>
      <c r="B8" t="s">
        <v>836</v>
      </c>
      <c r="C8" s="246">
        <f t="shared" si="0"/>
        <v>992389.73999999987</v>
      </c>
      <c r="D8" s="244"/>
      <c r="E8" s="20">
        <f>'DOE25'!L196+'DOE25'!L214+'DOE25'!L232-F8-G8-D9-D11</f>
        <v>889374.32999999984</v>
      </c>
      <c r="F8" s="256">
        <f>'DOE25'!J196+'DOE25'!J214+'DOE25'!J232</f>
        <v>93084.82</v>
      </c>
      <c r="G8" s="53">
        <f>'DOE25'!K196+'DOE25'!K214+'DOE25'!K232</f>
        <v>9930.59</v>
      </c>
      <c r="H8" s="260"/>
    </row>
    <row r="9" spans="1:9" x14ac:dyDescent="0.2">
      <c r="A9" s="32">
        <v>2310</v>
      </c>
      <c r="B9" t="s">
        <v>852</v>
      </c>
      <c r="C9" s="246">
        <f t="shared" si="0"/>
        <v>379834.4</v>
      </c>
      <c r="D9" s="245">
        <v>379834.4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20304</v>
      </c>
      <c r="D10" s="244"/>
      <c r="E10" s="245">
        <v>20304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221053.95</v>
      </c>
      <c r="D11" s="245">
        <v>221053.95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1210985.42</v>
      </c>
      <c r="D12" s="20">
        <f>'DOE25'!L197+'DOE25'!L215+'DOE25'!L233-F12-G12</f>
        <v>1189953.71</v>
      </c>
      <c r="E12" s="244"/>
      <c r="F12" s="256">
        <f>'DOE25'!J197+'DOE25'!J215+'DOE25'!J233</f>
        <v>8879.2899999999991</v>
      </c>
      <c r="G12" s="53">
        <f>'DOE25'!K197+'DOE25'!K215+'DOE25'!K233</f>
        <v>12152.42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285210.23999999999</v>
      </c>
      <c r="D13" s="244"/>
      <c r="E13" s="20">
        <f>'DOE25'!L198+'DOE25'!L216+'DOE25'!L234-F13-G13</f>
        <v>285210.23999999999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1994323.13</v>
      </c>
      <c r="D14" s="20">
        <f>'DOE25'!L199+'DOE25'!L217+'DOE25'!L235-F14-G14</f>
        <v>1960001.15</v>
      </c>
      <c r="E14" s="244"/>
      <c r="F14" s="256">
        <f>'DOE25'!J199+'DOE25'!J217+'DOE25'!J235</f>
        <v>34321.979999999996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854852.90000000014</v>
      </c>
      <c r="D15" s="20">
        <f>'DOE25'!L200+'DOE25'!L218+'DOE25'!L236-F15-G15</f>
        <v>854852.90000000014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14999.35</v>
      </c>
      <c r="D22" s="244"/>
      <c r="E22" s="244"/>
      <c r="F22" s="256">
        <f>'DOE25'!L247+'DOE25'!L328</f>
        <v>14999.35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2031600</v>
      </c>
      <c r="D25" s="244"/>
      <c r="E25" s="244"/>
      <c r="F25" s="259"/>
      <c r="G25" s="257"/>
      <c r="H25" s="258">
        <f>'DOE25'!L252+'DOE25'!L253+'DOE25'!L333+'DOE25'!L334</f>
        <v>2031600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270306.05000000005</v>
      </c>
      <c r="D29" s="20">
        <f>'DOE25'!L350+'DOE25'!L351+'DOE25'!L352-'DOE25'!I359-F29-G29</f>
        <v>266975.06000000006</v>
      </c>
      <c r="E29" s="244"/>
      <c r="F29" s="256">
        <f>'DOE25'!J350+'DOE25'!J351+'DOE25'!J352</f>
        <v>2814.9900000000002</v>
      </c>
      <c r="G29" s="53">
        <f>'DOE25'!K350+'DOE25'!K351+'DOE25'!K352</f>
        <v>516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1460347.35</v>
      </c>
      <c r="D31" s="20">
        <f>'DOE25'!L282+'DOE25'!L301+'DOE25'!L320+'DOE25'!L325+'DOE25'!L326+'DOE25'!L327-F31-G31</f>
        <v>1339228.1500000001</v>
      </c>
      <c r="E31" s="244"/>
      <c r="F31" s="256">
        <f>'DOE25'!J282+'DOE25'!J301+'DOE25'!J320+'DOE25'!J325+'DOE25'!J326+'DOE25'!J327</f>
        <v>100961.03</v>
      </c>
      <c r="G31" s="53">
        <f>'DOE25'!K282+'DOE25'!K301+'DOE25'!K320+'DOE25'!K325+'DOE25'!K326+'DOE25'!K327</f>
        <v>20158.169999999998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19003959.859999996</v>
      </c>
      <c r="E33" s="247">
        <f>SUM(E5:E31)</f>
        <v>1194888.5699999998</v>
      </c>
      <c r="F33" s="247">
        <f>SUM(F5:F31)</f>
        <v>289086.39</v>
      </c>
      <c r="G33" s="247">
        <f>SUM(G5:G31)</f>
        <v>77065.739999999991</v>
      </c>
      <c r="H33" s="247">
        <f>SUM(H5:H31)</f>
        <v>2031600</v>
      </c>
    </row>
    <row r="35" spans="2:8" ht="12" thickBot="1" x14ac:dyDescent="0.25">
      <c r="B35" s="254" t="s">
        <v>881</v>
      </c>
      <c r="D35" s="255">
        <f>E33</f>
        <v>1194888.5699999998</v>
      </c>
      <c r="E35" s="250"/>
    </row>
    <row r="36" spans="2:8" ht="12" thickTop="1" x14ac:dyDescent="0.2">
      <c r="B36" t="s">
        <v>849</v>
      </c>
      <c r="D36" s="20">
        <f>D33</f>
        <v>19003959.859999996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C5E9-776A-49CC-8050-B735DA64299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Winnisquam Reg.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932685.31</v>
      </c>
      <c r="D9" s="95">
        <f>'DOE25'!G9</f>
        <v>6804.92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733158.61</v>
      </c>
      <c r="G10" s="95">
        <f>'DOE25'!J10</f>
        <v>795868.5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524226.9</v>
      </c>
      <c r="D12" s="95">
        <f>'DOE25'!G12</f>
        <v>11284.18</v>
      </c>
      <c r="E12" s="95">
        <f>'DOE25'!H12</f>
        <v>0</v>
      </c>
      <c r="F12" s="95">
        <f>'DOE25'!I12</f>
        <v>122760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62354.7</v>
      </c>
      <c r="D13" s="95">
        <f>'DOE25'!G13</f>
        <v>43886.080000000002</v>
      </c>
      <c r="E13" s="95">
        <f>'DOE25'!H13</f>
        <v>634380.51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189298.4</v>
      </c>
      <c r="D14" s="95">
        <f>'DOE25'!G14</f>
        <v>6056.86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61307.75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1769873.0599999998</v>
      </c>
      <c r="D19" s="41">
        <f>SUM(D9:D18)</f>
        <v>68032.039999999994</v>
      </c>
      <c r="E19" s="41">
        <f>SUM(E9:E18)</f>
        <v>634380.51</v>
      </c>
      <c r="F19" s="41">
        <f>SUM(F9:F18)</f>
        <v>855918.61</v>
      </c>
      <c r="G19" s="41">
        <f>SUM(G9:G18)</f>
        <v>795868.5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69158.22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618018.41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220931.56</v>
      </c>
      <c r="D24" s="95">
        <f>'DOE25'!G25</f>
        <v>362.17</v>
      </c>
      <c r="E24" s="95">
        <f>'DOE25'!H25</f>
        <v>9100</v>
      </c>
      <c r="F24" s="95">
        <f>'DOE25'!I25</f>
        <v>0</v>
      </c>
      <c r="G24" s="95">
        <f>'DOE25'!J25</f>
        <v>165015.46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65289.83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69488.33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7423.23</v>
      </c>
      <c r="E30" s="95">
        <f>'DOE25'!H31</f>
        <v>7262.1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355709.72000000003</v>
      </c>
      <c r="D32" s="41">
        <f>SUM(D22:D31)</f>
        <v>7785.4</v>
      </c>
      <c r="E32" s="41">
        <f>SUM(E22:E31)</f>
        <v>634380.51</v>
      </c>
      <c r="F32" s="41">
        <f>SUM(F22:F31)</f>
        <v>69158.22</v>
      </c>
      <c r="G32" s="41">
        <f>SUM(G22:G31)</f>
        <v>165015.46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341812.52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60246.64</v>
      </c>
      <c r="E40" s="95">
        <f>'DOE25'!H41</f>
        <v>0</v>
      </c>
      <c r="F40" s="95">
        <f>'DOE25'!I41</f>
        <v>786760.39</v>
      </c>
      <c r="G40" s="95">
        <f>'DOE25'!J41</f>
        <v>630853.04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822350.82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1414163.3399999999</v>
      </c>
      <c r="D42" s="41">
        <f>SUM(D34:D41)</f>
        <v>60246.64</v>
      </c>
      <c r="E42" s="41">
        <f>SUM(E34:E41)</f>
        <v>0</v>
      </c>
      <c r="F42" s="41">
        <f>SUM(F34:F41)</f>
        <v>786760.39</v>
      </c>
      <c r="G42" s="41">
        <f>SUM(G34:G41)</f>
        <v>630853.04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1769873.0599999998</v>
      </c>
      <c r="D43" s="41">
        <f>D42+D32</f>
        <v>68032.039999999994</v>
      </c>
      <c r="E43" s="41">
        <f>E42+E32</f>
        <v>634380.51</v>
      </c>
      <c r="F43" s="41">
        <f>F42+F32</f>
        <v>855918.61</v>
      </c>
      <c r="G43" s="41">
        <f>G42+G32</f>
        <v>795868.5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10878321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69768.44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17400.37</v>
      </c>
      <c r="D51" s="95">
        <f>'DOE25'!G88</f>
        <v>111.57</v>
      </c>
      <c r="E51" s="95">
        <f>'DOE25'!H88</f>
        <v>0</v>
      </c>
      <c r="F51" s="95">
        <f>'DOE25'!I88</f>
        <v>417.8</v>
      </c>
      <c r="G51" s="95">
        <f>'DOE25'!J88</f>
        <v>2389.92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323543.86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68814.959999999992</v>
      </c>
      <c r="D53" s="95">
        <f>SUM('DOE25'!G90:G102)</f>
        <v>0</v>
      </c>
      <c r="E53" s="95">
        <f>SUM('DOE25'!H90:H102)</f>
        <v>7241</v>
      </c>
      <c r="F53" s="95">
        <f>SUM('DOE25'!I90:I102)</f>
        <v>0</v>
      </c>
      <c r="G53" s="95">
        <f>SUM('DOE25'!J90:J102)</f>
        <v>658.58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155983.76999999999</v>
      </c>
      <c r="D54" s="130">
        <f>SUM(D49:D53)</f>
        <v>323655.43</v>
      </c>
      <c r="E54" s="130">
        <f>SUM(E49:E53)</f>
        <v>7241</v>
      </c>
      <c r="F54" s="130">
        <f>SUM(F49:F53)</f>
        <v>417.8</v>
      </c>
      <c r="G54" s="130">
        <f>SUM(G49:G53)</f>
        <v>3048.5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11034304.77</v>
      </c>
      <c r="D55" s="22">
        <f>D48+D54</f>
        <v>323655.43</v>
      </c>
      <c r="E55" s="22">
        <f>E48+E54</f>
        <v>7241</v>
      </c>
      <c r="F55" s="22">
        <f>F48+F54</f>
        <v>417.8</v>
      </c>
      <c r="G55" s="22">
        <f>G48+G54</f>
        <v>3048.5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4461049.13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3050338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1711565.87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9222953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745077.95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81628.12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103766.56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10950</v>
      </c>
      <c r="D69" s="95">
        <f>SUM('DOE25'!G123:G127)</f>
        <v>8203.7900000000009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941422.62999999989</v>
      </c>
      <c r="D70" s="130">
        <f>SUM(D64:D69)</f>
        <v>8203.7900000000009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21063.68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10164375.629999999</v>
      </c>
      <c r="D73" s="130">
        <f>SUM(D71:D72)+D70+D62</f>
        <v>8203.7900000000009</v>
      </c>
      <c r="E73" s="130">
        <f>SUM(E71:E72)+E70+E62</f>
        <v>21063.68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271313.14</v>
      </c>
      <c r="D80" s="95">
        <f>SUM('DOE25'!G145:G153)</f>
        <v>236783.41</v>
      </c>
      <c r="E80" s="95">
        <f>SUM('DOE25'!H145:H153)</f>
        <v>1471853.76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271313.14</v>
      </c>
      <c r="D83" s="131">
        <f>SUM(D77:D82)</f>
        <v>236783.41</v>
      </c>
      <c r="E83" s="131">
        <f>SUM(E77:E82)</f>
        <v>1471853.76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3396240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122760</v>
      </c>
      <c r="G88" s="95">
        <f>'DOE25'!J171</f>
        <v>352000</v>
      </c>
    </row>
    <row r="89" spans="1:7" x14ac:dyDescent="0.2">
      <c r="A89" t="s">
        <v>790</v>
      </c>
      <c r="B89" s="32" t="s">
        <v>211</v>
      </c>
      <c r="C89" s="95">
        <f>SUM('DOE25'!F172:F173)</f>
        <v>39811.089999999997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178377.35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218188.44</v>
      </c>
      <c r="D95" s="86">
        <f>SUM(D85:D94)</f>
        <v>0</v>
      </c>
      <c r="E95" s="86">
        <f>SUM(E85:E94)</f>
        <v>0</v>
      </c>
      <c r="F95" s="86">
        <f>SUM(F85:F94)</f>
        <v>3519000</v>
      </c>
      <c r="G95" s="86">
        <f>SUM(G85:G94)</f>
        <v>352000</v>
      </c>
    </row>
    <row r="96" spans="1:7" ht="12.75" thickTop="1" thickBot="1" x14ac:dyDescent="0.25">
      <c r="A96" s="33" t="s">
        <v>797</v>
      </c>
      <c r="C96" s="86">
        <f>C55+C73+C83+C95</f>
        <v>21688181.98</v>
      </c>
      <c r="D96" s="86">
        <f>D55+D73+D83+D95</f>
        <v>568642.63</v>
      </c>
      <c r="E96" s="86">
        <f>E55+E73+E83+E95</f>
        <v>1500158.44</v>
      </c>
      <c r="F96" s="86">
        <f>F55+F73+F83+F95</f>
        <v>3519417.8</v>
      </c>
      <c r="G96" s="86">
        <f>G55+G73+G95</f>
        <v>355048.5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7329620.7799999993</v>
      </c>
      <c r="D101" s="24" t="s">
        <v>312</v>
      </c>
      <c r="E101" s="95">
        <f>('DOE25'!L268)+('DOE25'!L287)+('DOE25'!L306)</f>
        <v>725876.42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2794610.09</v>
      </c>
      <c r="D102" s="24" t="s">
        <v>312</v>
      </c>
      <c r="E102" s="95">
        <f>('DOE25'!L269)+('DOE25'!L288)+('DOE25'!L307)</f>
        <v>363054.3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381057.25</v>
      </c>
      <c r="D103" s="24" t="s">
        <v>312</v>
      </c>
      <c r="E103" s="95">
        <f>('DOE25'!L270)+('DOE25'!L289)+('DOE25'!L308)</f>
        <v>41961.79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351303.94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10856592.059999999</v>
      </c>
      <c r="D107" s="86">
        <f>SUM(D101:D106)</f>
        <v>0</v>
      </c>
      <c r="E107" s="86">
        <f>SUM(E101:E106)</f>
        <v>1130892.51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1496480.42</v>
      </c>
      <c r="D110" s="24" t="s">
        <v>312</v>
      </c>
      <c r="E110" s="95">
        <f>+('DOE25'!L273)+('DOE25'!L292)+('DOE25'!L311)</f>
        <v>86612.069999999992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507321.55</v>
      </c>
      <c r="D111" s="24" t="s">
        <v>312</v>
      </c>
      <c r="E111" s="95">
        <f>+('DOE25'!L274)+('DOE25'!L293)+('DOE25'!L312)</f>
        <v>183363.67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1593278.0899999999</v>
      </c>
      <c r="D112" s="24" t="s">
        <v>312</v>
      </c>
      <c r="E112" s="95">
        <f>+('DOE25'!L275)+('DOE25'!L294)+('DOE25'!L313)</f>
        <v>59479.1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1210985.42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285210.23999999999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1994323.13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854852.90000000014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539435.44000000006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7942451.75</v>
      </c>
      <c r="D120" s="86">
        <f>SUM(D110:D119)</f>
        <v>539435.44000000006</v>
      </c>
      <c r="E120" s="86">
        <f>SUM(E110:E119)</f>
        <v>329454.83999999997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14999.35</v>
      </c>
      <c r="D122" s="24" t="s">
        <v>312</v>
      </c>
      <c r="E122" s="129">
        <f>'DOE25'!L328</f>
        <v>0</v>
      </c>
      <c r="F122" s="129">
        <f>SUM('DOE25'!L366:'DOE25'!L372)</f>
        <v>2772211.5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1445000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586600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39811.089999999997</v>
      </c>
      <c r="F126" s="95">
        <f>'DOE25'!K373</f>
        <v>0</v>
      </c>
      <c r="G126" s="95">
        <f>'DOE25'!K426</f>
        <v>178377.35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122760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355048.5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-3048.5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2521359.35</v>
      </c>
      <c r="D136" s="141">
        <f>SUM(D122:D135)</f>
        <v>0</v>
      </c>
      <c r="E136" s="141">
        <f>SUM(E122:E135)</f>
        <v>39811.089999999997</v>
      </c>
      <c r="F136" s="141">
        <f>SUM(F122:F135)</f>
        <v>2772211.5</v>
      </c>
      <c r="G136" s="141">
        <f>SUM(G122:G135)</f>
        <v>178377.35</v>
      </c>
    </row>
    <row r="137" spans="1:9" ht="12.75" thickTop="1" thickBot="1" x14ac:dyDescent="0.25">
      <c r="A137" s="33" t="s">
        <v>267</v>
      </c>
      <c r="C137" s="86">
        <f>(C107+C120+C136)</f>
        <v>21320403.16</v>
      </c>
      <c r="D137" s="86">
        <f>(D107+D120+D136)</f>
        <v>539435.44000000006</v>
      </c>
      <c r="E137" s="86">
        <f>(E107+E120+E136)</f>
        <v>1500158.4400000002</v>
      </c>
      <c r="F137" s="86">
        <f>(F107+F120+F136)</f>
        <v>2772211.5</v>
      </c>
      <c r="G137" s="86">
        <f>(G107+G120+G136)</f>
        <v>178377.35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13</v>
      </c>
      <c r="D143" s="153">
        <f>'DOE25'!H480</f>
        <v>20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01/91</v>
      </c>
      <c r="C144" s="152" t="str">
        <f>'DOE25'!G481</f>
        <v>01/03</v>
      </c>
      <c r="D144" s="152" t="str">
        <f>'DOE25'!H481</f>
        <v>02/02</v>
      </c>
      <c r="E144" s="152" t="str">
        <f>'DOE25'!I481</f>
        <v>11/24/2009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07/10</v>
      </c>
      <c r="C145" s="152" t="str">
        <f>'DOE25'!G482</f>
        <v>01/15</v>
      </c>
      <c r="D145" s="152" t="str">
        <f>'DOE25'!H482</f>
        <v>08/21</v>
      </c>
      <c r="E145" s="152" t="str">
        <f>'DOE25'!I482</f>
        <v>12/15/2024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1150000</v>
      </c>
      <c r="C146" s="137">
        <f>'DOE25'!G483</f>
        <v>7005000</v>
      </c>
      <c r="D146" s="137">
        <f>'DOE25'!H483</f>
        <v>17000000</v>
      </c>
      <c r="E146" s="137">
        <f>'DOE25'!I483</f>
        <v>3396240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7.1</v>
      </c>
      <c r="C147" s="137">
        <f>'DOE25'!G484</f>
        <v>3.2</v>
      </c>
      <c r="D147" s="137">
        <f>'DOE25'!H484</f>
        <v>4</v>
      </c>
      <c r="E147" s="137">
        <f>'DOE25'!I484</f>
        <v>1.395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55000</v>
      </c>
      <c r="C148" s="137">
        <f>'DOE25'!G485</f>
        <v>2935000</v>
      </c>
      <c r="D148" s="137">
        <f>'DOE25'!H485</f>
        <v>11050000</v>
      </c>
      <c r="E148" s="137">
        <f>'DOE25'!I485</f>
        <v>0</v>
      </c>
      <c r="F148" s="137">
        <f>'DOE25'!J485</f>
        <v>0</v>
      </c>
      <c r="G148" s="138">
        <f>SUM(B148:F148)</f>
        <v>14040000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3396240</v>
      </c>
      <c r="F149" s="137">
        <f>'DOE25'!J486</f>
        <v>0</v>
      </c>
      <c r="G149" s="138">
        <f t="shared" ref="G149:G156" si="0">SUM(B149:F149)</f>
        <v>3396240</v>
      </c>
    </row>
    <row r="150" spans="1:7" x14ac:dyDescent="0.2">
      <c r="A150" s="22" t="s">
        <v>34</v>
      </c>
      <c r="B150" s="137">
        <f>'DOE25'!F487</f>
        <v>55000</v>
      </c>
      <c r="C150" s="137">
        <f>'DOE25'!G487</f>
        <v>540000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595000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2395000</v>
      </c>
      <c r="D151" s="137">
        <f>'DOE25'!H488</f>
        <v>10200000</v>
      </c>
      <c r="E151" s="137">
        <f>'DOE25'!I488</f>
        <v>3396240</v>
      </c>
      <c r="F151" s="137">
        <f>'DOE25'!J488</f>
        <v>0</v>
      </c>
      <c r="G151" s="138">
        <f t="shared" si="0"/>
        <v>15991240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219811.25</v>
      </c>
      <c r="D152" s="137">
        <f>'DOE25'!H489</f>
        <v>2813925</v>
      </c>
      <c r="E152" s="137">
        <f>'DOE25'!I489</f>
        <v>387119.59</v>
      </c>
      <c r="F152" s="137">
        <f>'DOE25'!J489</f>
        <v>0</v>
      </c>
      <c r="G152" s="138">
        <f t="shared" si="0"/>
        <v>3420855.84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2614811.25</v>
      </c>
      <c r="D153" s="137">
        <f>'DOE25'!H490</f>
        <v>13013925</v>
      </c>
      <c r="E153" s="137">
        <f>'DOE25'!I490</f>
        <v>3783359.59</v>
      </c>
      <c r="F153" s="137">
        <f>'DOE25'!J490</f>
        <v>0</v>
      </c>
      <c r="G153" s="138">
        <f t="shared" si="0"/>
        <v>19412095.84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530000</v>
      </c>
      <c r="D154" s="137">
        <f>'DOE25'!H491</f>
        <v>850000</v>
      </c>
      <c r="E154" s="137">
        <f>'DOE25'!I491</f>
        <v>230751.66</v>
      </c>
      <c r="F154" s="137">
        <f>'DOE25'!J491</f>
        <v>0</v>
      </c>
      <c r="G154" s="138">
        <f t="shared" si="0"/>
        <v>1610751.66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80082.5</v>
      </c>
      <c r="D155" s="137">
        <f>'DOE25'!H492</f>
        <v>437750</v>
      </c>
      <c r="E155" s="137">
        <f>'DOE25'!I492</f>
        <v>50981.34</v>
      </c>
      <c r="F155" s="137">
        <f>'DOE25'!J492</f>
        <v>0</v>
      </c>
      <c r="G155" s="138">
        <f t="shared" si="0"/>
        <v>568813.84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610082.5</v>
      </c>
      <c r="D156" s="137">
        <f>'DOE25'!H493</f>
        <v>1287750</v>
      </c>
      <c r="E156" s="137">
        <f>'DOE25'!I493</f>
        <v>281733</v>
      </c>
      <c r="F156" s="137">
        <f>'DOE25'!J493</f>
        <v>0</v>
      </c>
      <c r="G156" s="138">
        <f t="shared" si="0"/>
        <v>2179565.5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675D-7EDB-4B3D-A11A-2089AEB3D4A4}">
  <sheetPr codeName="Sheet3">
    <tabColor indexed="43"/>
  </sheetPr>
  <dimension ref="A1:D42"/>
  <sheetViews>
    <sheetView topLeftCell="A13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Winnisquam Reg.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12882</v>
      </c>
    </row>
    <row r="5" spans="1:4" x14ac:dyDescent="0.2">
      <c r="B5" t="s">
        <v>735</v>
      </c>
      <c r="C5" s="179">
        <f>IF('DOE25'!G655+'DOE25'!G660=0,0,ROUND('DOE25'!G662,0))</f>
        <v>13902</v>
      </c>
    </row>
    <row r="6" spans="1:4" x14ac:dyDescent="0.2">
      <c r="B6" t="s">
        <v>62</v>
      </c>
      <c r="C6" s="179">
        <f>IF('DOE25'!H655+'DOE25'!H660=0,0,ROUND('DOE25'!H662,0))</f>
        <v>11676</v>
      </c>
    </row>
    <row r="7" spans="1:4" x14ac:dyDescent="0.2">
      <c r="B7" t="s">
        <v>736</v>
      </c>
      <c r="C7" s="179">
        <f>IF('DOE25'!I655+'DOE25'!I660=0,0,ROUND('DOE25'!I662,0))</f>
        <v>12714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8055497</v>
      </c>
      <c r="D10" s="182">
        <f>ROUND((C10/$C$28)*100,1)</f>
        <v>38.200000000000003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3157664</v>
      </c>
      <c r="D11" s="182">
        <f>ROUND((C11/$C$28)*100,1)</f>
        <v>15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423019</v>
      </c>
      <c r="D12" s="182">
        <f>ROUND((C12/$C$28)*100,1)</f>
        <v>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351304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1583092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690685</v>
      </c>
      <c r="D16" s="182">
        <f t="shared" si="0"/>
        <v>3.3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1652757</v>
      </c>
      <c r="D17" s="182">
        <f t="shared" si="0"/>
        <v>7.8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1210985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285210</v>
      </c>
      <c r="D19" s="182">
        <f t="shared" si="0"/>
        <v>1.4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1994323</v>
      </c>
      <c r="D20" s="182">
        <f t="shared" si="0"/>
        <v>9.5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854853</v>
      </c>
      <c r="D21" s="182">
        <f t="shared" si="0"/>
        <v>4.0999999999999996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586600</v>
      </c>
      <c r="D25" s="182">
        <f t="shared" si="0"/>
        <v>2.8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215891.14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21061880.140000001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2787211</v>
      </c>
    </row>
    <row r="30" spans="1:4" x14ac:dyDescent="0.2">
      <c r="B30" s="187" t="s">
        <v>760</v>
      </c>
      <c r="C30" s="180">
        <f>SUM(C28:C29)</f>
        <v>23849091.140000001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1445000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10878321</v>
      </c>
      <c r="D35" s="182">
        <f t="shared" ref="D35:D40" si="1">ROUND((C35/$C$41)*100,1)</f>
        <v>46.9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166802.6400000006</v>
      </c>
      <c r="D36" s="182">
        <f t="shared" si="1"/>
        <v>0.7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7511387</v>
      </c>
      <c r="D37" s="182">
        <f t="shared" si="1"/>
        <v>32.4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2682256</v>
      </c>
      <c r="D38" s="182">
        <f t="shared" si="1"/>
        <v>11.6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1979950</v>
      </c>
      <c r="D39" s="182">
        <f t="shared" si="1"/>
        <v>8.5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23218716.640000001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3396240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896E-DC29-41D7-BE8B-30C2B29DEBF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Winnisquam Reg.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2010-09-03T17:44:17Z</cp:lastPrinted>
  <dcterms:created xsi:type="dcterms:W3CDTF">1997-12-04T19:04:30Z</dcterms:created>
  <dcterms:modified xsi:type="dcterms:W3CDTF">2025-01-09T20:15:39Z</dcterms:modified>
</cp:coreProperties>
</file>