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D17612D7-DE31-43E2-8E15-BCF1BE460FB4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821C75A3-814A-4777-BFE4-BBD84C550B9E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0" i="1" l="1"/>
  <c r="C11" i="12"/>
  <c r="C10" i="12"/>
  <c r="G388" i="1"/>
  <c r="L388" i="1" s="1"/>
  <c r="L393" i="1" s="1"/>
  <c r="C131" i="2" s="1"/>
  <c r="C37" i="10"/>
  <c r="C60" i="2"/>
  <c r="B2" i="13"/>
  <c r="F8" i="13"/>
  <c r="G8" i="13"/>
  <c r="L196" i="1"/>
  <c r="C17" i="10" s="1"/>
  <c r="L214" i="1"/>
  <c r="L232" i="1"/>
  <c r="D39" i="13"/>
  <c r="F13" i="13"/>
  <c r="G13" i="13"/>
  <c r="L198" i="1"/>
  <c r="E13" i="13" s="1"/>
  <c r="C13" i="13" s="1"/>
  <c r="L216" i="1"/>
  <c r="L234" i="1"/>
  <c r="C19" i="10" s="1"/>
  <c r="F16" i="13"/>
  <c r="G16" i="13"/>
  <c r="E16" i="13" s="1"/>
  <c r="C16" i="13" s="1"/>
  <c r="L201" i="1"/>
  <c r="L219" i="1"/>
  <c r="L237" i="1"/>
  <c r="C117" i="2" s="1"/>
  <c r="F5" i="13"/>
  <c r="G5" i="13"/>
  <c r="L189" i="1"/>
  <c r="L190" i="1"/>
  <c r="L191" i="1"/>
  <c r="C12" i="10" s="1"/>
  <c r="L192" i="1"/>
  <c r="L207" i="1"/>
  <c r="L208" i="1"/>
  <c r="L209" i="1"/>
  <c r="L221" i="1" s="1"/>
  <c r="L210" i="1"/>
  <c r="L225" i="1"/>
  <c r="C10" i="10" s="1"/>
  <c r="L226" i="1"/>
  <c r="C102" i="2" s="1"/>
  <c r="L227" i="1"/>
  <c r="L228" i="1"/>
  <c r="F6" i="13"/>
  <c r="G6" i="13"/>
  <c r="G33" i="13" s="1"/>
  <c r="L194" i="1"/>
  <c r="L212" i="1"/>
  <c r="C15" i="10" s="1"/>
  <c r="L230" i="1"/>
  <c r="F7" i="13"/>
  <c r="G7" i="13"/>
  <c r="L195" i="1"/>
  <c r="C111" i="2" s="1"/>
  <c r="D7" i="13"/>
  <c r="C7" i="13" s="1"/>
  <c r="L213" i="1"/>
  <c r="L231" i="1"/>
  <c r="F12" i="13"/>
  <c r="G12" i="13"/>
  <c r="L197" i="1"/>
  <c r="L215" i="1"/>
  <c r="D12" i="13" s="1"/>
  <c r="C12" i="13" s="1"/>
  <c r="L233" i="1"/>
  <c r="F14" i="13"/>
  <c r="G14" i="13"/>
  <c r="L199" i="1"/>
  <c r="C20" i="10" s="1"/>
  <c r="L217" i="1"/>
  <c r="C115" i="2" s="1"/>
  <c r="L235" i="1"/>
  <c r="F15" i="13"/>
  <c r="G15" i="13"/>
  <c r="L200" i="1"/>
  <c r="L218" i="1"/>
  <c r="C21" i="10" s="1"/>
  <c r="L236" i="1"/>
  <c r="H652" i="1"/>
  <c r="F17" i="13"/>
  <c r="G17" i="13"/>
  <c r="L243" i="1"/>
  <c r="D17" i="13" s="1"/>
  <c r="C17" i="13" s="1"/>
  <c r="F18" i="13"/>
  <c r="G18" i="13"/>
  <c r="L244" i="1"/>
  <c r="F19" i="13"/>
  <c r="G19" i="13"/>
  <c r="L245" i="1"/>
  <c r="D19" i="13"/>
  <c r="C19" i="13" s="1"/>
  <c r="F29" i="13"/>
  <c r="G29" i="13"/>
  <c r="L350" i="1"/>
  <c r="D119" i="2" s="1"/>
  <c r="D120" i="2" s="1"/>
  <c r="D137" i="2" s="1"/>
  <c r="L354" i="1"/>
  <c r="C27" i="10" s="1"/>
  <c r="L351" i="1"/>
  <c r="G651" i="1" s="1"/>
  <c r="L352" i="1"/>
  <c r="I359" i="1"/>
  <c r="J282" i="1"/>
  <c r="J301" i="1"/>
  <c r="J320" i="1"/>
  <c r="F31" i="13" s="1"/>
  <c r="K282" i="1"/>
  <c r="G31" i="13" s="1"/>
  <c r="K301" i="1"/>
  <c r="K320" i="1"/>
  <c r="L268" i="1"/>
  <c r="E101" i="2" s="1"/>
  <c r="E107" i="2" s="1"/>
  <c r="L269" i="1"/>
  <c r="L270" i="1"/>
  <c r="E103" i="2" s="1"/>
  <c r="L271" i="1"/>
  <c r="E104" i="2" s="1"/>
  <c r="L273" i="1"/>
  <c r="E110" i="2" s="1"/>
  <c r="L274" i="1"/>
  <c r="L275" i="1"/>
  <c r="L276" i="1"/>
  <c r="E113" i="2" s="1"/>
  <c r="L277" i="1"/>
  <c r="E114" i="2" s="1"/>
  <c r="L278" i="1"/>
  <c r="L279" i="1"/>
  <c r="E116" i="2" s="1"/>
  <c r="L280" i="1"/>
  <c r="L287" i="1"/>
  <c r="L288" i="1"/>
  <c r="L289" i="1"/>
  <c r="L301" i="1" s="1"/>
  <c r="L290" i="1"/>
  <c r="C13" i="10" s="1"/>
  <c r="L292" i="1"/>
  <c r="L293" i="1"/>
  <c r="L294" i="1"/>
  <c r="E112" i="2" s="1"/>
  <c r="L295" i="1"/>
  <c r="L296" i="1"/>
  <c r="L297" i="1"/>
  <c r="L298" i="1"/>
  <c r="L299" i="1"/>
  <c r="L306" i="1"/>
  <c r="L307" i="1"/>
  <c r="L320" i="1"/>
  <c r="L308" i="1"/>
  <c r="L309" i="1"/>
  <c r="L311" i="1"/>
  <c r="L312" i="1"/>
  <c r="L313" i="1"/>
  <c r="L314" i="1"/>
  <c r="L315" i="1"/>
  <c r="L316" i="1"/>
  <c r="L317" i="1"/>
  <c r="L318" i="1"/>
  <c r="L325" i="1"/>
  <c r="E106" i="2"/>
  <c r="L326" i="1"/>
  <c r="L327" i="1"/>
  <c r="L252" i="1"/>
  <c r="C123" i="2" s="1"/>
  <c r="L253" i="1"/>
  <c r="C124" i="2" s="1"/>
  <c r="H25" i="13"/>
  <c r="H33" i="13" s="1"/>
  <c r="L333" i="1"/>
  <c r="L334" i="1"/>
  <c r="L247" i="1"/>
  <c r="L328" i="1"/>
  <c r="F22" i="13"/>
  <c r="C22" i="13" s="1"/>
  <c r="C11" i="13"/>
  <c r="C10" i="13"/>
  <c r="C9" i="13"/>
  <c r="L353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A13" i="12" s="1"/>
  <c r="C9" i="12"/>
  <c r="C13" i="12"/>
  <c r="B18" i="12"/>
  <c r="A22" i="12" s="1"/>
  <c r="B22" i="12"/>
  <c r="C18" i="12"/>
  <c r="C22" i="12"/>
  <c r="B1" i="12"/>
  <c r="L379" i="1"/>
  <c r="L380" i="1"/>
  <c r="L385" i="1" s="1"/>
  <c r="L381" i="1"/>
  <c r="L382" i="1"/>
  <c r="L383" i="1"/>
  <c r="L384" i="1"/>
  <c r="L387" i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G48" i="2"/>
  <c r="G55" i="2" s="1"/>
  <c r="G51" i="2"/>
  <c r="G53" i="2"/>
  <c r="G54" i="2"/>
  <c r="G69" i="2"/>
  <c r="G70" i="2"/>
  <c r="G61" i="2"/>
  <c r="G62" i="2"/>
  <c r="G73" i="2" s="1"/>
  <c r="G88" i="2"/>
  <c r="G89" i="2"/>
  <c r="G90" i="2"/>
  <c r="G95" i="2"/>
  <c r="F2" i="11"/>
  <c r="L603" i="1"/>
  <c r="H653" i="1" s="1"/>
  <c r="L602" i="1"/>
  <c r="G653" i="1"/>
  <c r="L601" i="1"/>
  <c r="F653" i="1" s="1"/>
  <c r="C40" i="10"/>
  <c r="F52" i="1"/>
  <c r="C35" i="10" s="1"/>
  <c r="C48" i="2"/>
  <c r="G52" i="1"/>
  <c r="D48" i="2" s="1"/>
  <c r="D55" i="2" s="1"/>
  <c r="H52" i="1"/>
  <c r="E48" i="2"/>
  <c r="I52" i="1"/>
  <c r="F71" i="1"/>
  <c r="F104" i="1" s="1"/>
  <c r="F86" i="1"/>
  <c r="C50" i="2"/>
  <c r="F103" i="1"/>
  <c r="G103" i="1"/>
  <c r="H71" i="1"/>
  <c r="H104" i="1" s="1"/>
  <c r="H185" i="1" s="1"/>
  <c r="G619" i="1" s="1"/>
  <c r="J619" i="1" s="1"/>
  <c r="H86" i="1"/>
  <c r="H103" i="1"/>
  <c r="I103" i="1"/>
  <c r="I104" i="1"/>
  <c r="J103" i="1"/>
  <c r="J104" i="1" s="1"/>
  <c r="F113" i="1"/>
  <c r="F128" i="1"/>
  <c r="F132" i="1"/>
  <c r="G113" i="1"/>
  <c r="G132" i="1" s="1"/>
  <c r="G128" i="1"/>
  <c r="H113" i="1"/>
  <c r="H128" i="1"/>
  <c r="H132" i="1"/>
  <c r="I113" i="1"/>
  <c r="I132" i="1" s="1"/>
  <c r="I185" i="1" s="1"/>
  <c r="G620" i="1" s="1"/>
  <c r="J620" i="1" s="1"/>
  <c r="I128" i="1"/>
  <c r="J113" i="1"/>
  <c r="J128" i="1"/>
  <c r="J132" i="1"/>
  <c r="F139" i="1"/>
  <c r="F161" i="1" s="1"/>
  <c r="F154" i="1"/>
  <c r="G139" i="1"/>
  <c r="G154" i="1"/>
  <c r="G161" i="1" s="1"/>
  <c r="H139" i="1"/>
  <c r="H161" i="1" s="1"/>
  <c r="H154" i="1"/>
  <c r="I139" i="1"/>
  <c r="I154" i="1"/>
  <c r="I161" i="1"/>
  <c r="L242" i="1"/>
  <c r="L324" i="1"/>
  <c r="L246" i="1"/>
  <c r="C25" i="10"/>
  <c r="L260" i="1"/>
  <c r="C134" i="2" s="1"/>
  <c r="L261" i="1"/>
  <c r="C135" i="2" s="1"/>
  <c r="L341" i="1"/>
  <c r="L342" i="1"/>
  <c r="E135" i="2"/>
  <c r="I655" i="1"/>
  <c r="I660" i="1"/>
  <c r="G652" i="1"/>
  <c r="I652" i="1" s="1"/>
  <c r="I659" i="1"/>
  <c r="C6" i="10"/>
  <c r="C5" i="10"/>
  <c r="C42" i="10"/>
  <c r="C32" i="10"/>
  <c r="L366" i="1"/>
  <c r="C29" i="10" s="1"/>
  <c r="L367" i="1"/>
  <c r="L368" i="1"/>
  <c r="L369" i="1"/>
  <c r="L370" i="1"/>
  <c r="L374" i="1" s="1"/>
  <c r="G626" i="1" s="1"/>
  <c r="J626" i="1" s="1"/>
  <c r="L371" i="1"/>
  <c r="L372" i="1"/>
  <c r="B2" i="10"/>
  <c r="L336" i="1"/>
  <c r="E126" i="2" s="1"/>
  <c r="L337" i="1"/>
  <c r="L338" i="1"/>
  <c r="E129" i="2" s="1"/>
  <c r="L339" i="1"/>
  <c r="K343" i="1"/>
  <c r="L511" i="1"/>
  <c r="F539" i="1"/>
  <c r="L512" i="1"/>
  <c r="L514" i="1" s="1"/>
  <c r="L513" i="1"/>
  <c r="F541" i="1" s="1"/>
  <c r="K541" i="1" s="1"/>
  <c r="L516" i="1"/>
  <c r="G539" i="1"/>
  <c r="L517" i="1"/>
  <c r="G540" i="1" s="1"/>
  <c r="G542" i="1" s="1"/>
  <c r="L518" i="1"/>
  <c r="G541" i="1" s="1"/>
  <c r="L521" i="1"/>
  <c r="H539" i="1"/>
  <c r="L522" i="1"/>
  <c r="H540" i="1" s="1"/>
  <c r="L523" i="1"/>
  <c r="H541" i="1"/>
  <c r="L526" i="1"/>
  <c r="I539" i="1"/>
  <c r="L527" i="1"/>
  <c r="I540" i="1" s="1"/>
  <c r="L528" i="1"/>
  <c r="I541" i="1"/>
  <c r="L531" i="1"/>
  <c r="J539" i="1"/>
  <c r="J542" i="1" s="1"/>
  <c r="L532" i="1"/>
  <c r="J540" i="1"/>
  <c r="L533" i="1"/>
  <c r="L534" i="1" s="1"/>
  <c r="J541" i="1"/>
  <c r="E124" i="2"/>
  <c r="E123" i="2"/>
  <c r="K262" i="1"/>
  <c r="J262" i="1"/>
  <c r="I262" i="1"/>
  <c r="H262" i="1"/>
  <c r="G262" i="1"/>
  <c r="F262" i="1"/>
  <c r="L262" i="1" s="1"/>
  <c r="A1" i="2"/>
  <c r="A2" i="2"/>
  <c r="C9" i="2"/>
  <c r="D9" i="2"/>
  <c r="D19" i="2" s="1"/>
  <c r="E9" i="2"/>
  <c r="E19" i="2" s="1"/>
  <c r="F9" i="2"/>
  <c r="I431" i="1"/>
  <c r="J9" i="1"/>
  <c r="G9" i="2" s="1"/>
  <c r="C10" i="2"/>
  <c r="D10" i="2"/>
  <c r="E10" i="2"/>
  <c r="F10" i="2"/>
  <c r="I432" i="1"/>
  <c r="J10" i="1"/>
  <c r="G10" i="2"/>
  <c r="C11" i="2"/>
  <c r="C12" i="2"/>
  <c r="D12" i="2"/>
  <c r="E12" i="2"/>
  <c r="F12" i="2"/>
  <c r="F19" i="2" s="1"/>
  <c r="I433" i="1"/>
  <c r="J12" i="1"/>
  <c r="G12" i="2" s="1"/>
  <c r="C13" i="2"/>
  <c r="D13" i="2"/>
  <c r="E13" i="2"/>
  <c r="F13" i="2"/>
  <c r="I434" i="1"/>
  <c r="J13" i="1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C22" i="2"/>
  <c r="D22" i="2"/>
  <c r="D32" i="2" s="1"/>
  <c r="E22" i="2"/>
  <c r="F22" i="2"/>
  <c r="I440" i="1"/>
  <c r="J23" i="1"/>
  <c r="G22" i="2"/>
  <c r="C23" i="2"/>
  <c r="C32" i="2" s="1"/>
  <c r="D23" i="2"/>
  <c r="E23" i="2"/>
  <c r="F23" i="2"/>
  <c r="I441" i="1"/>
  <c r="I444" i="1" s="1"/>
  <c r="I451" i="1" s="1"/>
  <c r="H632" i="1" s="1"/>
  <c r="C24" i="2"/>
  <c r="D24" i="2"/>
  <c r="E24" i="2"/>
  <c r="F24" i="2"/>
  <c r="I442" i="1"/>
  <c r="J25" i="1" s="1"/>
  <c r="G24" i="2" s="1"/>
  <c r="C25" i="2"/>
  <c r="D25" i="2"/>
  <c r="E25" i="2"/>
  <c r="F25" i="2"/>
  <c r="F32" i="2" s="1"/>
  <c r="C26" i="2"/>
  <c r="F26" i="2"/>
  <c r="C27" i="2"/>
  <c r="F27" i="2"/>
  <c r="C28" i="2"/>
  <c r="C29" i="2"/>
  <c r="C30" i="2"/>
  <c r="C31" i="2"/>
  <c r="D28" i="2"/>
  <c r="E28" i="2"/>
  <c r="F28" i="2"/>
  <c r="D29" i="2"/>
  <c r="E29" i="2"/>
  <c r="F29" i="2"/>
  <c r="D30" i="2"/>
  <c r="E30" i="2"/>
  <c r="F30" i="2"/>
  <c r="D31" i="2"/>
  <c r="E31" i="2"/>
  <c r="F31" i="2"/>
  <c r="I443" i="1"/>
  <c r="J32" i="1"/>
  <c r="G31" i="2"/>
  <c r="C34" i="2"/>
  <c r="D34" i="2"/>
  <c r="D42" i="2" s="1"/>
  <c r="E34" i="2"/>
  <c r="F34" i="2"/>
  <c r="C35" i="2"/>
  <c r="D35" i="2"/>
  <c r="E35" i="2"/>
  <c r="E42" i="2" s="1"/>
  <c r="E43" i="2" s="1"/>
  <c r="F35" i="2"/>
  <c r="F42" i="2" s="1"/>
  <c r="F43" i="2" s="1"/>
  <c r="C36" i="2"/>
  <c r="D36" i="2"/>
  <c r="E36" i="2"/>
  <c r="F36" i="2"/>
  <c r="I446" i="1"/>
  <c r="I450" i="1" s="1"/>
  <c r="J37" i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F48" i="2"/>
  <c r="F55" i="2" s="1"/>
  <c r="C49" i="2"/>
  <c r="C54" i="2" s="1"/>
  <c r="C55" i="2" s="1"/>
  <c r="E50" i="2"/>
  <c r="C51" i="2"/>
  <c r="D51" i="2"/>
  <c r="E51" i="2"/>
  <c r="F51" i="2"/>
  <c r="F53" i="2"/>
  <c r="F54" i="2"/>
  <c r="F64" i="2"/>
  <c r="F65" i="2"/>
  <c r="F68" i="2"/>
  <c r="F70" i="2" s="1"/>
  <c r="F73" i="2" s="1"/>
  <c r="F69" i="2"/>
  <c r="F61" i="2"/>
  <c r="F62" i="2" s="1"/>
  <c r="F77" i="2"/>
  <c r="F83" i="2" s="1"/>
  <c r="F79" i="2"/>
  <c r="F80" i="2"/>
  <c r="F81" i="2"/>
  <c r="F85" i="2"/>
  <c r="F95" i="2" s="1"/>
  <c r="F86" i="2"/>
  <c r="F88" i="2"/>
  <c r="F89" i="2"/>
  <c r="F91" i="2"/>
  <c r="F92" i="2"/>
  <c r="F93" i="2"/>
  <c r="F94" i="2"/>
  <c r="D52" i="2"/>
  <c r="C53" i="2"/>
  <c r="D53" i="2"/>
  <c r="E53" i="2"/>
  <c r="C58" i="2"/>
  <c r="C62" i="2" s="1"/>
  <c r="C59" i="2"/>
  <c r="C61" i="2"/>
  <c r="D61" i="2"/>
  <c r="E61" i="2"/>
  <c r="E62" i="2"/>
  <c r="D62" i="2"/>
  <c r="C64" i="2"/>
  <c r="C70" i="2" s="1"/>
  <c r="C65" i="2"/>
  <c r="C66" i="2"/>
  <c r="C67" i="2"/>
  <c r="C68" i="2"/>
  <c r="C69" i="2"/>
  <c r="E68" i="2"/>
  <c r="E70" i="2" s="1"/>
  <c r="E73" i="2" s="1"/>
  <c r="D69" i="2"/>
  <c r="D70" i="2" s="1"/>
  <c r="D73" i="2" s="1"/>
  <c r="D71" i="2"/>
  <c r="E69" i="2"/>
  <c r="C71" i="2"/>
  <c r="E71" i="2"/>
  <c r="E72" i="2"/>
  <c r="C72" i="2"/>
  <c r="C77" i="2"/>
  <c r="D77" i="2"/>
  <c r="C79" i="2"/>
  <c r="C83" i="2" s="1"/>
  <c r="E79" i="2"/>
  <c r="C80" i="2"/>
  <c r="D80" i="2"/>
  <c r="E80" i="2"/>
  <c r="C81" i="2"/>
  <c r="D81" i="2"/>
  <c r="D83" i="2" s="1"/>
  <c r="E81" i="2"/>
  <c r="C82" i="2"/>
  <c r="C85" i="2"/>
  <c r="C86" i="2"/>
  <c r="D88" i="2"/>
  <c r="E88" i="2"/>
  <c r="E95" i="2" s="1"/>
  <c r="C89" i="2"/>
  <c r="D89" i="2"/>
  <c r="D95" i="2" s="1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C104" i="2"/>
  <c r="C105" i="2"/>
  <c r="C106" i="2"/>
  <c r="D107" i="2"/>
  <c r="F107" i="2"/>
  <c r="G107" i="2"/>
  <c r="E111" i="2"/>
  <c r="E115" i="2"/>
  <c r="E117" i="2"/>
  <c r="F120" i="2"/>
  <c r="G120" i="2"/>
  <c r="C122" i="2"/>
  <c r="E122" i="2"/>
  <c r="E136" i="2" s="1"/>
  <c r="D126" i="2"/>
  <c r="D136" i="2" s="1"/>
  <c r="F126" i="2"/>
  <c r="K411" i="1"/>
  <c r="K419" i="1"/>
  <c r="K425" i="1"/>
  <c r="K426" i="1"/>
  <c r="G126" i="2" s="1"/>
  <c r="G136" i="2" s="1"/>
  <c r="G137" i="2" s="1"/>
  <c r="L255" i="1"/>
  <c r="C127" i="2"/>
  <c r="E127" i="2"/>
  <c r="E134" i="2"/>
  <c r="L256" i="1"/>
  <c r="C128" i="2" s="1"/>
  <c r="L257" i="1"/>
  <c r="C129" i="2" s="1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C149" i="2"/>
  <c r="G149" i="2" s="1"/>
  <c r="D149" i="2"/>
  <c r="E149" i="2"/>
  <c r="F149" i="2"/>
  <c r="B150" i="2"/>
  <c r="C150" i="2"/>
  <c r="D150" i="2"/>
  <c r="E150" i="2"/>
  <c r="F150" i="2"/>
  <c r="G150" i="2"/>
  <c r="B151" i="2"/>
  <c r="C151" i="2"/>
  <c r="G151" i="2" s="1"/>
  <c r="D151" i="2"/>
  <c r="E151" i="2"/>
  <c r="F151" i="2"/>
  <c r="B152" i="2"/>
  <c r="C152" i="2"/>
  <c r="D152" i="2"/>
  <c r="E152" i="2"/>
  <c r="F152" i="2"/>
  <c r="G152" i="2"/>
  <c r="F490" i="1"/>
  <c r="B153" i="2"/>
  <c r="E153" i="2"/>
  <c r="F153" i="2"/>
  <c r="G490" i="1"/>
  <c r="C153" i="2" s="1"/>
  <c r="H490" i="1"/>
  <c r="D153" i="2" s="1"/>
  <c r="I490" i="1"/>
  <c r="J490" i="1"/>
  <c r="B154" i="2"/>
  <c r="C154" i="2"/>
  <c r="D154" i="2"/>
  <c r="G154" i="2" s="1"/>
  <c r="E154" i="2"/>
  <c r="F154" i="2"/>
  <c r="B155" i="2"/>
  <c r="C155" i="2"/>
  <c r="D155" i="2"/>
  <c r="E155" i="2"/>
  <c r="F155" i="2"/>
  <c r="F493" i="1"/>
  <c r="B156" i="2"/>
  <c r="C156" i="2"/>
  <c r="E156" i="2"/>
  <c r="G493" i="1"/>
  <c r="H493" i="1"/>
  <c r="D156" i="2" s="1"/>
  <c r="I493" i="1"/>
  <c r="K493" i="1" s="1"/>
  <c r="J493" i="1"/>
  <c r="F156" i="2" s="1"/>
  <c r="F19" i="1"/>
  <c r="G607" i="1" s="1"/>
  <c r="G19" i="1"/>
  <c r="G608" i="1"/>
  <c r="J608" i="1" s="1"/>
  <c r="H19" i="1"/>
  <c r="G609" i="1" s="1"/>
  <c r="I19" i="1"/>
  <c r="G610" i="1" s="1"/>
  <c r="J610" i="1" s="1"/>
  <c r="F33" i="1"/>
  <c r="G33" i="1"/>
  <c r="H33" i="1"/>
  <c r="I33" i="1"/>
  <c r="F43" i="1"/>
  <c r="G612" i="1" s="1"/>
  <c r="J612" i="1" s="1"/>
  <c r="G43" i="1"/>
  <c r="G44" i="1" s="1"/>
  <c r="H608" i="1" s="1"/>
  <c r="H43" i="1"/>
  <c r="I43" i="1"/>
  <c r="F169" i="1"/>
  <c r="F184" i="1" s="1"/>
  <c r="I169" i="1"/>
  <c r="F175" i="1"/>
  <c r="G175" i="1"/>
  <c r="H175" i="1"/>
  <c r="H184" i="1" s="1"/>
  <c r="I175" i="1"/>
  <c r="I184" i="1" s="1"/>
  <c r="J175" i="1"/>
  <c r="J184" i="1" s="1"/>
  <c r="F180" i="1"/>
  <c r="G180" i="1"/>
  <c r="G184" i="1" s="1"/>
  <c r="H180" i="1"/>
  <c r="I180" i="1"/>
  <c r="F203" i="1"/>
  <c r="G203" i="1"/>
  <c r="H203" i="1"/>
  <c r="I203" i="1"/>
  <c r="I249" i="1" s="1"/>
  <c r="I263" i="1" s="1"/>
  <c r="J203" i="1"/>
  <c r="K203" i="1"/>
  <c r="K249" i="1" s="1"/>
  <c r="K263" i="1" s="1"/>
  <c r="F221" i="1"/>
  <c r="F249" i="1" s="1"/>
  <c r="F263" i="1" s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G249" i="1"/>
  <c r="G263" i="1"/>
  <c r="F282" i="1"/>
  <c r="F330" i="1" s="1"/>
  <c r="F344" i="1" s="1"/>
  <c r="G282" i="1"/>
  <c r="G330" i="1" s="1"/>
  <c r="G344" i="1" s="1"/>
  <c r="H282" i="1"/>
  <c r="I282" i="1"/>
  <c r="F301" i="1"/>
  <c r="G301" i="1"/>
  <c r="H301" i="1"/>
  <c r="I301" i="1"/>
  <c r="F320" i="1"/>
  <c r="G320" i="1"/>
  <c r="H320" i="1"/>
  <c r="I320" i="1"/>
  <c r="I330" i="1" s="1"/>
  <c r="I344" i="1" s="1"/>
  <c r="F329" i="1"/>
  <c r="L329" i="1" s="1"/>
  <c r="G329" i="1"/>
  <c r="H329" i="1"/>
  <c r="I329" i="1"/>
  <c r="J329" i="1"/>
  <c r="K329" i="1"/>
  <c r="K330" i="1" s="1"/>
  <c r="K344" i="1" s="1"/>
  <c r="F354" i="1"/>
  <c r="G354" i="1"/>
  <c r="H354" i="1"/>
  <c r="I354" i="1"/>
  <c r="G624" i="1"/>
  <c r="J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I400" i="1" s="1"/>
  <c r="F393" i="1"/>
  <c r="G393" i="1"/>
  <c r="H393" i="1"/>
  <c r="H400" i="1" s="1"/>
  <c r="H634" i="1" s="1"/>
  <c r="I393" i="1"/>
  <c r="F399" i="1"/>
  <c r="G399" i="1"/>
  <c r="H399" i="1"/>
  <c r="I399" i="1"/>
  <c r="F400" i="1"/>
  <c r="H633" i="1" s="1"/>
  <c r="J633" i="1" s="1"/>
  <c r="L405" i="1"/>
  <c r="L411" i="1" s="1"/>
  <c r="L406" i="1"/>
  <c r="L407" i="1"/>
  <c r="L408" i="1"/>
  <c r="L409" i="1"/>
  <c r="L410" i="1"/>
  <c r="F411" i="1"/>
  <c r="F426" i="1" s="1"/>
  <c r="G411" i="1"/>
  <c r="G426" i="1" s="1"/>
  <c r="H411" i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G425" i="1"/>
  <c r="H425" i="1"/>
  <c r="I425" i="1"/>
  <c r="J425" i="1"/>
  <c r="L425" i="1"/>
  <c r="H426" i="1"/>
  <c r="J426" i="1"/>
  <c r="F438" i="1"/>
  <c r="G438" i="1"/>
  <c r="G630" i="1"/>
  <c r="J630" i="1" s="1"/>
  <c r="H438" i="1"/>
  <c r="G631" i="1" s="1"/>
  <c r="I438" i="1"/>
  <c r="G632" i="1" s="1"/>
  <c r="F444" i="1"/>
  <c r="G444" i="1"/>
  <c r="G451" i="1" s="1"/>
  <c r="H630" i="1" s="1"/>
  <c r="H444" i="1"/>
  <c r="F450" i="1"/>
  <c r="G450" i="1"/>
  <c r="H450" i="1"/>
  <c r="F451" i="1"/>
  <c r="H629" i="1" s="1"/>
  <c r="H451" i="1"/>
  <c r="H631" i="1" s="1"/>
  <c r="F460" i="1"/>
  <c r="F466" i="1" s="1"/>
  <c r="H612" i="1" s="1"/>
  <c r="G460" i="1"/>
  <c r="H460" i="1"/>
  <c r="I460" i="1"/>
  <c r="I466" i="1" s="1"/>
  <c r="H615" i="1" s="1"/>
  <c r="J460" i="1"/>
  <c r="J466" i="1" s="1"/>
  <c r="H616" i="1" s="1"/>
  <c r="F464" i="1"/>
  <c r="G464" i="1"/>
  <c r="G466" i="1" s="1"/>
  <c r="H613" i="1" s="1"/>
  <c r="J613" i="1" s="1"/>
  <c r="H464" i="1"/>
  <c r="H466" i="1"/>
  <c r="H614" i="1" s="1"/>
  <c r="I464" i="1"/>
  <c r="J464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H514" i="1"/>
  <c r="H535" i="1" s="1"/>
  <c r="I514" i="1"/>
  <c r="I535" i="1" s="1"/>
  <c r="J514" i="1"/>
  <c r="J535" i="1" s="1"/>
  <c r="K514" i="1"/>
  <c r="F519" i="1"/>
  <c r="F535" i="1" s="1"/>
  <c r="G519" i="1"/>
  <c r="H519" i="1"/>
  <c r="I519" i="1"/>
  <c r="J519" i="1"/>
  <c r="K519" i="1"/>
  <c r="F524" i="1"/>
  <c r="G524" i="1"/>
  <c r="G535" i="1" s="1"/>
  <c r="H524" i="1"/>
  <c r="I524" i="1"/>
  <c r="J524" i="1"/>
  <c r="K524" i="1"/>
  <c r="K535" i="1" s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47" i="1"/>
  <c r="L548" i="1"/>
  <c r="L550" i="1" s="1"/>
  <c r="L561" i="1" s="1"/>
  <c r="L549" i="1"/>
  <c r="F550" i="1"/>
  <c r="F561" i="1" s="1"/>
  <c r="G550" i="1"/>
  <c r="H550" i="1"/>
  <c r="I550" i="1"/>
  <c r="J550" i="1"/>
  <c r="J561" i="1" s="1"/>
  <c r="K550" i="1"/>
  <c r="K561" i="1" s="1"/>
  <c r="L552" i="1"/>
  <c r="L553" i="1"/>
  <c r="L554" i="1"/>
  <c r="F555" i="1"/>
  <c r="G555" i="1"/>
  <c r="H555" i="1"/>
  <c r="H561" i="1" s="1"/>
  <c r="I555" i="1"/>
  <c r="J555" i="1"/>
  <c r="K555" i="1"/>
  <c r="L555" i="1"/>
  <c r="L557" i="1"/>
  <c r="L560" i="1" s="1"/>
  <c r="L558" i="1"/>
  <c r="L559" i="1"/>
  <c r="F560" i="1"/>
  <c r="G560" i="1"/>
  <c r="H560" i="1"/>
  <c r="I560" i="1"/>
  <c r="J560" i="1"/>
  <c r="K560" i="1"/>
  <c r="G561" i="1"/>
  <c r="I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8" i="1" s="1"/>
  <c r="G637" i="1" s="1"/>
  <c r="J637" i="1" s="1"/>
  <c r="K584" i="1"/>
  <c r="K585" i="1"/>
  <c r="K586" i="1"/>
  <c r="K587" i="1"/>
  <c r="H588" i="1"/>
  <c r="H639" i="1"/>
  <c r="I588" i="1"/>
  <c r="H640" i="1" s="1"/>
  <c r="J588" i="1"/>
  <c r="H641" i="1" s="1"/>
  <c r="K592" i="1"/>
  <c r="K595" i="1" s="1"/>
  <c r="G638" i="1" s="1"/>
  <c r="J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13" i="1"/>
  <c r="G614" i="1"/>
  <c r="J614" i="1" s="1"/>
  <c r="G615" i="1"/>
  <c r="J615" i="1" s="1"/>
  <c r="H617" i="1"/>
  <c r="H618" i="1"/>
  <c r="H619" i="1"/>
  <c r="H620" i="1"/>
  <c r="H621" i="1"/>
  <c r="H622" i="1"/>
  <c r="H623" i="1"/>
  <c r="H625" i="1"/>
  <c r="H626" i="1"/>
  <c r="H627" i="1"/>
  <c r="H628" i="1"/>
  <c r="G629" i="1"/>
  <c r="G633" i="1"/>
  <c r="G634" i="1"/>
  <c r="G635" i="1"/>
  <c r="J635" i="1" s="1"/>
  <c r="G639" i="1"/>
  <c r="J639" i="1" s="1"/>
  <c r="G640" i="1"/>
  <c r="G641" i="1"/>
  <c r="G642" i="1"/>
  <c r="H642" i="1"/>
  <c r="J642" i="1"/>
  <c r="G643" i="1"/>
  <c r="H643" i="1"/>
  <c r="J643" i="1"/>
  <c r="G644" i="1"/>
  <c r="J644" i="1" s="1"/>
  <c r="H644" i="1"/>
  <c r="G645" i="1"/>
  <c r="H645" i="1"/>
  <c r="E32" i="2"/>
  <c r="D18" i="13"/>
  <c r="C18" i="13"/>
  <c r="D15" i="13"/>
  <c r="C15" i="13" s="1"/>
  <c r="F122" i="2"/>
  <c r="F136" i="2" s="1"/>
  <c r="F137" i="2" s="1"/>
  <c r="H330" i="1"/>
  <c r="H344" i="1" s="1"/>
  <c r="J249" i="1"/>
  <c r="H638" i="1" s="1"/>
  <c r="J263" i="1"/>
  <c r="H249" i="1"/>
  <c r="H263" i="1" s="1"/>
  <c r="C42" i="2"/>
  <c r="C43" i="2" s="1"/>
  <c r="J330" i="1"/>
  <c r="J344" i="1" s="1"/>
  <c r="G36" i="2"/>
  <c r="G42" i="2" s="1"/>
  <c r="C23" i="10"/>
  <c r="E105" i="2"/>
  <c r="G155" i="2"/>
  <c r="C19" i="2"/>
  <c r="L343" i="1"/>
  <c r="H637" i="1"/>
  <c r="C116" i="2"/>
  <c r="C113" i="2"/>
  <c r="E102" i="2"/>
  <c r="F652" i="1"/>
  <c r="F651" i="1"/>
  <c r="I651" i="1" s="1"/>
  <c r="C16" i="10"/>
  <c r="I361" i="1"/>
  <c r="H624" i="1"/>
  <c r="D29" i="13"/>
  <c r="C29" i="13"/>
  <c r="H651" i="1"/>
  <c r="L282" i="1"/>
  <c r="C25" i="13"/>
  <c r="D14" i="13"/>
  <c r="C14" i="13"/>
  <c r="C11" i="10"/>
  <c r="D5" i="13"/>
  <c r="C5" i="13"/>
  <c r="D54" i="2"/>
  <c r="F44" i="1"/>
  <c r="H607" i="1" s="1"/>
  <c r="I44" i="1"/>
  <c r="H610" i="1"/>
  <c r="H44" i="1"/>
  <c r="H609" i="1" s="1"/>
  <c r="G400" i="1"/>
  <c r="H635" i="1" s="1"/>
  <c r="J645" i="1"/>
  <c r="A40" i="12"/>
  <c r="J634" i="1" l="1"/>
  <c r="J43" i="1"/>
  <c r="D43" i="2"/>
  <c r="G13" i="2"/>
  <c r="G19" i="2" s="1"/>
  <c r="J19" i="1"/>
  <c r="G611" i="1" s="1"/>
  <c r="C38" i="10"/>
  <c r="H542" i="1"/>
  <c r="C39" i="10"/>
  <c r="F185" i="1"/>
  <c r="G617" i="1" s="1"/>
  <c r="J617" i="1" s="1"/>
  <c r="G96" i="2"/>
  <c r="C136" i="2"/>
  <c r="G43" i="2"/>
  <c r="J629" i="1"/>
  <c r="J632" i="1"/>
  <c r="G156" i="2"/>
  <c r="E120" i="2"/>
  <c r="F33" i="13"/>
  <c r="G650" i="1"/>
  <c r="G654" i="1" s="1"/>
  <c r="J631" i="1"/>
  <c r="C73" i="2"/>
  <c r="C96" i="2"/>
  <c r="J185" i="1"/>
  <c r="L330" i="1"/>
  <c r="L344" i="1" s="1"/>
  <c r="G623" i="1" s="1"/>
  <c r="J623" i="1" s="1"/>
  <c r="L426" i="1"/>
  <c r="G628" i="1" s="1"/>
  <c r="J628" i="1" s="1"/>
  <c r="J609" i="1"/>
  <c r="F96" i="2"/>
  <c r="J33" i="1"/>
  <c r="D96" i="2"/>
  <c r="C130" i="2"/>
  <c r="C133" i="2" s="1"/>
  <c r="L400" i="1"/>
  <c r="E137" i="2"/>
  <c r="J607" i="1"/>
  <c r="C36" i="10"/>
  <c r="J641" i="1"/>
  <c r="G153" i="2"/>
  <c r="I542" i="1"/>
  <c r="J640" i="1"/>
  <c r="I653" i="1"/>
  <c r="J24" i="1"/>
  <c r="G23" i="2" s="1"/>
  <c r="G32" i="2" s="1"/>
  <c r="F540" i="1"/>
  <c r="E8" i="13"/>
  <c r="D31" i="13"/>
  <c r="C31" i="13" s="1"/>
  <c r="G625" i="1"/>
  <c r="J625" i="1" s="1"/>
  <c r="C18" i="10"/>
  <c r="C28" i="10" s="1"/>
  <c r="D6" i="13"/>
  <c r="C6" i="13" s="1"/>
  <c r="L519" i="1"/>
  <c r="L535" i="1" s="1"/>
  <c r="C103" i="2"/>
  <c r="E77" i="2"/>
  <c r="E83" i="2" s="1"/>
  <c r="L239" i="1"/>
  <c r="H650" i="1" s="1"/>
  <c r="H654" i="1" s="1"/>
  <c r="G104" i="1"/>
  <c r="G185" i="1" s="1"/>
  <c r="G618" i="1" s="1"/>
  <c r="J618" i="1" s="1"/>
  <c r="C114" i="2"/>
  <c r="C24" i="10"/>
  <c r="C101" i="2"/>
  <c r="K539" i="1"/>
  <c r="C112" i="2"/>
  <c r="L203" i="1"/>
  <c r="L524" i="1"/>
  <c r="E49" i="2"/>
  <c r="E54" i="2" s="1"/>
  <c r="E55" i="2" s="1"/>
  <c r="C26" i="10"/>
  <c r="C110" i="2"/>
  <c r="C120" i="2" s="1"/>
  <c r="C30" i="10" l="1"/>
  <c r="D22" i="10"/>
  <c r="D23" i="10"/>
  <c r="D11" i="10"/>
  <c r="D20" i="10"/>
  <c r="D27" i="10"/>
  <c r="D15" i="10"/>
  <c r="D13" i="10"/>
  <c r="D25" i="10"/>
  <c r="D19" i="10"/>
  <c r="D10" i="10"/>
  <c r="D12" i="10"/>
  <c r="D17" i="10"/>
  <c r="D21" i="10"/>
  <c r="D16" i="10"/>
  <c r="C107" i="2"/>
  <c r="C137" i="2" s="1"/>
  <c r="E33" i="13"/>
  <c r="D35" i="13" s="1"/>
  <c r="C8" i="13"/>
  <c r="D33" i="13"/>
  <c r="D36" i="13" s="1"/>
  <c r="D24" i="10"/>
  <c r="F542" i="1"/>
  <c r="K540" i="1"/>
  <c r="K542" i="1" s="1"/>
  <c r="D26" i="10"/>
  <c r="H636" i="1"/>
  <c r="G627" i="1"/>
  <c r="J627" i="1" s="1"/>
  <c r="D36" i="10"/>
  <c r="H657" i="1"/>
  <c r="H662" i="1"/>
  <c r="E96" i="2"/>
  <c r="L249" i="1"/>
  <c r="L263" i="1" s="1"/>
  <c r="G622" i="1" s="1"/>
  <c r="J622" i="1" s="1"/>
  <c r="F650" i="1"/>
  <c r="C41" i="10"/>
  <c r="G657" i="1"/>
  <c r="G662" i="1"/>
  <c r="G636" i="1"/>
  <c r="J636" i="1" s="1"/>
  <c r="G621" i="1"/>
  <c r="J621" i="1" s="1"/>
  <c r="D18" i="10"/>
  <c r="J44" i="1"/>
  <c r="H611" i="1" s="1"/>
  <c r="J611" i="1" s="1"/>
  <c r="G616" i="1"/>
  <c r="J616" i="1" s="1"/>
  <c r="D40" i="10" l="1"/>
  <c r="D37" i="10"/>
  <c r="D35" i="10"/>
  <c r="D28" i="10"/>
  <c r="H646" i="1"/>
  <c r="D39" i="10"/>
  <c r="F654" i="1"/>
  <c r="I650" i="1"/>
  <c r="I654" i="1" s="1"/>
  <c r="D38" i="10"/>
  <c r="I657" i="1" l="1"/>
  <c r="I662" i="1"/>
  <c r="C7" i="10" s="1"/>
  <c r="F657" i="1"/>
  <c r="F662" i="1"/>
  <c r="C4" i="10" s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7006307F-7F1C-4FA5-99B8-7FD65773EDEE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F75B318C-8F0A-4789-938B-BDAC38ED4043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3452FE27-32A4-4D7A-921E-FD7DF428FA29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729B0F4B-F93A-46FC-869C-BA5874A31DFA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462BC11A-BF17-4C10-A0E8-05C7B4030176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DAB5A12C-AFF5-4128-AF6F-A56A508E0D1C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2A8BE467-D63B-41E9-B82E-B6596EED892D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325898C1-C56B-4FCE-A273-DC722137A928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208FAB47-4492-4569-82DD-6B88683ED9B8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414C6660-7BA8-4FF2-B925-A2E119350410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0B37B672-335A-46B3-A612-8A14D8E9F72A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C2769763-4DF3-483C-8892-CA292A65653E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<sst xmlns="http://schemas.openxmlformats.org/spreadsheetml/2006/main" count="3860" uniqueCount="897">
  <si>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</si>
  <si>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</si>
  <si>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</si>
  <si>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</si>
  <si>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</si>
  <si>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</si>
  <si>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</si>
  <si>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</si>
  <si>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</si>
  <si>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</si>
  <si>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</si>
  <si>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</si>
  <si>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</si>
  <si>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</si>
  <si>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</si>
  <si>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</si>
  <si>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</si>
  <si>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</si>
  <si>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</si>
  <si>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</si>
  <si>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</si>
  <si>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</si>
  <si>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</si>
  <si>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</si>
  <si>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</si>
  <si>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</si>
  <si>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</si>
  <si>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</si>
  <si>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</si>
  <si>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</si>
  <si>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</si>
  <si>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</si>
  <si>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</si>
  <si>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</si>
  <si>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</si>
  <si>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</si>
  <si>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</si>
  <si>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</si>
  <si>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</si>
  <si>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</si>
  <si>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</si>
  <si>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</si>
  <si>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</si>
  <si>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</si>
  <si>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</si>
  <si>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</si>
  <si>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</si>
  <si>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</si>
  <si>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</si>
  <si>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</si>
  <si>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</si>
  <si>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</si>
  <si>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</si>
  <si>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</si>
  <si>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</si>
  <si>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</si>
  <si>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</si>
  <si>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</si>
  <si>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</si>
  <si>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</si>
  <si>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</si>
  <si>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</si>
  <si>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</si>
  <si>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</si>
  <si>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</si>
  <si>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</si>
  <si>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</si>
  <si>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</si>
  <si>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</si>
  <si>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</si>
  <si>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</si>
  <si>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</si>
  <si>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</si>
  <si>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</si>
  <si>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</si>
  <si>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</si>
  <si>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</si>
  <si>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</si>
  <si>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</si>
  <si>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</si>
  <si>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</si>
  <si>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</si>
  <si>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</si>
  <si>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</si>
  <si>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</si>
  <si>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</si>
  <si>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</si>
  <si>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</si>
  <si>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</si>
  <si>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</si>
  <si>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</si>
  <si>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</si>
  <si>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</si>
  <si>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</si>
  <si>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</si>
  <si>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</si>
  <si>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</si>
  <si>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</si>
  <si>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</si>
  <si>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</si>
  <si>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</si>
  <si>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</si>
  <si>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</si>
  <si>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</si>
  <si>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</si>
  <si>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</si>
  <si>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</si>
  <si>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</si>
  <si>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</si>
  <si>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</si>
  <si>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</si>
  <si>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</si>
  <si>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</si>
  <si>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</si>
  <si>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</si>
  <si>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</si>
  <si>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</si>
  <si>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</si>
  <si>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</si>
  <si>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</si>
  <si>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</si>
  <si>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</si>
  <si>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</si>
  <si>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</si>
  <si>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</si>
  <si>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</si>
  <si>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</si>
  <si>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</si>
  <si>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</si>
  <si>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</si>
  <si>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</si>
  <si>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</si>
  <si>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</si>
  <si>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</si>
  <si>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</si>
  <si>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</si>
  <si>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</si>
  <si>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</si>
  <si>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</si>
  <si>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</si>
  <si>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</si>
  <si>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</si>
  <si>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</si>
  <si>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</si>
  <si>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</si>
  <si>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</si>
  <si>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</si>
  <si>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</si>
  <si>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</si>
  <si>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</si>
  <si>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</si>
  <si>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</si>
  <si>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</si>
  <si>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</si>
  <si>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</si>
  <si>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</si>
  <si>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</si>
  <si>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</si>
  <si>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</si>
  <si>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</si>
  <si>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</si>
  <si>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</si>
  <si>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</si>
  <si>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</si>
  <si>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</si>
  <si>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</si>
  <si>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</si>
  <si>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</si>
  <si>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</si>
  <si>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</si>
  <si>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</si>
  <si>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</si>
  <si>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</si>
  <si>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</si>
  <si>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</si>
  <si>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</si>
  <si>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</si>
  <si>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</si>
  <si>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</si>
  <si>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</si>
  <si>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</si>
  <si>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</si>
  <si>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</si>
  <si>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</si>
  <si>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</si>
  <si>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</si>
  <si>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</si>
  <si>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</si>
  <si>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</si>
  <si>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</si>
  <si>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</si>
  <si>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</si>
  <si>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</si>
  <si>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</si>
  <si>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</si>
  <si>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</si>
  <si>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</si>
  <si>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</si>
  <si>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</si>
  <si>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</si>
  <si>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</si>
  <si>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</si>
  <si>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</si>
  <si>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</si>
  <si>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</si>
  <si>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</si>
  <si>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</si>
  <si>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</si>
  <si>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</si>
  <si>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</si>
  <si>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</si>
  <si>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</si>
  <si>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</si>
  <si>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</si>
  <si>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</si>
  <si>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</si>
  <si>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</si>
  <si>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</si>
  <si>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</si>
  <si>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</si>
  <si>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</si>
  <si>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</si>
  <si>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</si>
  <si>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</si>
  <si>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</si>
  <si>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</si>
  <si>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</si>
  <si>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</si>
  <si>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</si>
  <si>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</si>
  <si>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</si>
  <si>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</si>
  <si>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</si>
  <si>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</si>
  <si>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</si>
  <si>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</si>
  <si>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</si>
  <si>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</si>
  <si>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</si>
  <si>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</si>
  <si>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</si>
  <si>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</si>
  <si>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</si>
  <si>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</si>
  <si>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</si>
  <si>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</si>
  <si>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</si>
  <si>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</si>
  <si>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</si>
  <si>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</si>
  <si>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</si>
  <si>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</si>
  <si>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</si>
  <si>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</si>
  <si>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</si>
  <si>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</si>
  <si>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</si>
  <si>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</si>
  <si>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</si>
  <si>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</si>
  <si>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</si>
  <si>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</si>
  <si>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</si>
  <si>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</si>
  <si>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</si>
  <si>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</si>
  <si>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</si>
  <si>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</si>
  <si>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</si>
  <si>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</si>
  <si>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</si>
  <si>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</si>
  <si>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</si>
  <si>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</si>
  <si>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</si>
  <si>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</si>
  <si>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</si>
  <si>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</si>
  <si>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</si>
  <si>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</si>
  <si>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</si>
  <si>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</si>
  <si>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</si>
  <si>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</si>
  <si>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</si>
  <si>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</si>
  <si>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</si>
  <si>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</si>
  <si>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</si>
  <si>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</si>
  <si>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</si>
  <si>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</si>
  <si>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</si>
  <si>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</si>
  <si>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</si>
  <si>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</si>
  <si>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</si>
  <si>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</si>
  <si>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</si>
  <si>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</si>
  <si>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</si>
  <si>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</si>
  <si>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</si>
  <si>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</si>
  <si>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</si>
  <si>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</si>
  <si>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</si>
  <si>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</si>
  <si>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</si>
  <si>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</si>
  <si>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</si>
  <si>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</si>
  <si>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</si>
  <si>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</si>
  <si>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</si>
  <si>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</si>
  <si>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</si>
  <si>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</si>
  <si>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</si>
  <si>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</si>
  <si>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</si>
  <si>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</si>
  <si>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</si>
  <si>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</si>
  <si>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</si>
  <si>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</si>
  <si>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</si>
  <si>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</si>
  <si>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</si>
  <si>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</si>
  <si>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</si>
  <si>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</si>
  <si>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</si>
  <si>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</si>
  <si>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</si>
  <si>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</si>
  <si>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</si>
  <si>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</si>
  <si>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</si>
  <si>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</si>
  <si>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</si>
  <si>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</si>
  <si>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</si>
  <si>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</si>
  <si>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</si>
  <si>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</si>
  <si>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</si>
  <si>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</si>
  <si>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</si>
  <si>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</si>
  <si>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</si>
  <si>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</si>
  <si>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</si>
  <si>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</si>
  <si>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</si>
  <si>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</si>
  <si>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</si>
  <si>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</si>
  <si>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</si>
  <si>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</si>
  <si>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</si>
  <si>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</si>
  <si>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</si>
  <si>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</si>
  <si>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</si>
  <si>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</si>
  <si>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</si>
  <si>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</si>
  <si>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</si>
  <si>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</si>
  <si>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</si>
  <si>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</si>
  <si>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</si>
  <si>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</si>
  <si>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</si>
  <si>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</si>
  <si>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</si>
  <si>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</si>
  <si>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</si>
  <si>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</si>
  <si>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</si>
  <si>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</si>
  <si>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</si>
  <si>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</si>
  <si>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</si>
  <si>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</si>
  <si>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</si>
  <si>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</si>
  <si>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</si>
  <si>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</si>
  <si>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</si>
  <si>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</si>
  <si>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</si>
  <si>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</si>
  <si>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</si>
  <si>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</si>
  <si>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</si>
  <si>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</si>
  <si>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</si>
  <si>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</si>
  <si>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</si>
  <si>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</si>
  <si>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</si>
  <si>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</si>
  <si>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</si>
  <si>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</si>
  <si>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</si>
  <si>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</si>
  <si>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</si>
  <si>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</si>
  <si>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</si>
  <si>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</si>
  <si>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</si>
  <si>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</si>
  <si>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</si>
  <si>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</si>
  <si>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</si>
  <si>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</si>
  <si>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</si>
  <si>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</si>
  <si>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</si>
  <si>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</si>
  <si>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</si>
  <si>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</si>
  <si>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</si>
  <si>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</si>
  <si>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</si>
  <si>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</si>
  <si>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</si>
  <si>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</si>
  <si>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</si>
  <si>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</si>
  <si>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</si>
  <si>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</si>
  <si>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</si>
  <si>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</si>
  <si>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</si>
  <si>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</si>
  <si>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</si>
  <si>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</si>
  <si>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</si>
  <si>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</si>
  <si>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</si>
  <si>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</si>
  <si>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</si>
  <si>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</si>
  <si>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</si>
  <si>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</si>
  <si>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</si>
  <si>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</si>
  <si>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</si>
  <si>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</si>
  <si>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</si>
  <si>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</si>
  <si>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</si>
  <si>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</si>
  <si>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</si>
  <si>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</si>
  <si>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</si>
  <si>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</si>
  <si>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</si>
  <si>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</si>
  <si>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</si>
  <si>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</si>
  <si>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</si>
  <si>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</si>
  <si>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</si>
  <si>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</si>
  <si>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</si>
  <si>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</si>
  <si>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</si>
  <si>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</si>
  <si>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</si>
  <si>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</si>
  <si>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</si>
  <si>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</si>
  <si>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</si>
  <si>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</si>
  <si>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</si>
  <si>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</si>
  <si>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</si>
  <si>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</si>
  <si>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</si>
  <si>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</si>
  <si>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</si>
  <si>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</si>
  <si>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</si>
  <si>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</si>
  <si>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</si>
  <si>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</si>
  <si>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</si>
  <si>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</si>
  <si>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</si>
  <si>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</si>
  <si>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</si>
  <si>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</si>
  <si>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</si>
  <si>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</si>
  <si>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</si>
  <si>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</si>
  <si>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</si>
  <si>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</si>
  <si>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</si>
  <si>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</si>
  <si>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</si>
  <si>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</si>
  <si>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</si>
  <si>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</si>
  <si>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</si>
  <si>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</si>
  <si>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</si>
  <si>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</si>
  <si>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</si>
  <si>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</si>
  <si>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</si>
  <si>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</si>
  <si>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</si>
  <si>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</si>
  <si>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</si>
  <si>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</si>
  <si>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</si>
  <si>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</si>
  <si>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</si>
  <si>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</si>
  <si>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</si>
  <si>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</si>
  <si>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</si>
  <si>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</si>
  <si>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</si>
  <si>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</si>
  <si>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</si>
  <si>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</si>
  <si>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</si>
  <si>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</si>
  <si>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</si>
  <si>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</si>
  <si>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</si>
  <si>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</si>
  <si>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</si>
  <si>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</si>
  <si>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</si>
  <si>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</si>
  <si>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</si>
  <si>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</si>
  <si>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</si>
  <si>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</si>
  <si>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</si>
  <si>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</si>
  <si>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</si>
  <si>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</si>
  <si>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</si>
  <si>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</si>
  <si>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</si>
  <si>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</si>
  <si>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</si>
  <si>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</si>
  <si>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</si>
  <si>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</si>
  <si>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</si>
  <si>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</si>
  <si>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</si>
  <si>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</si>
  <si>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</si>
  <si>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</si>
  <si>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</si>
  <si>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</si>
  <si>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</si>
  <si>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</si>
  <si>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</si>
  <si>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</si>
  <si>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</si>
  <si>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</si>
  <si>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</si>
  <si>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</si>
  <si>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</si>
  <si>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</si>
  <si>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</si>
  <si>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</si>
  <si>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</si>
  <si>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</si>
  <si>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</si>
  <si>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</si>
  <si>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</si>
  <si>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</si>
  <si>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</si>
  <si>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</si>
  <si>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</si>
  <si>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</si>
  <si>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</si>
  <si>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</si>
  <si>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</si>
  <si>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</si>
  <si>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</si>
  <si>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</si>
  <si>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</si>
  <si>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</si>
  <si>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</si>
  <si>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</si>
  <si>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</si>
  <si>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</si>
  <si>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</si>
  <si>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</si>
  <si>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</si>
  <si>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</si>
  <si>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</si>
  <si>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</si>
  <si>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</si>
  <si>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</si>
  <si>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</si>
  <si>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</si>
  <si>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</si>
  <si>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</si>
  <si>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</si>
  <si>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</si>
  <si>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</si>
  <si>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</si>
  <si>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</si>
  <si>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</si>
  <si>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</si>
  <si>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</si>
  <si>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</si>
  <si>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</si>
  <si>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</si>
  <si>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</si>
  <si>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</si>
  <si>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</si>
  <si>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</si>
  <si>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</si>
  <si>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</si>
  <si>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</si>
  <si>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</si>
  <si>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</si>
  <si>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</si>
  <si>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</si>
  <si>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</si>
  <si>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</si>
  <si>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</si>
  <si>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</si>
  <si>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</si>
  <si>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</si>
  <si>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</si>
  <si>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</si>
  <si>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</si>
  <si>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</si>
  <si>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</si>
  <si>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</si>
  <si>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</si>
  <si>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</si>
  <si>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</si>
  <si>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</si>
  <si>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</si>
  <si>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</si>
  <si>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</si>
  <si>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</si>
  <si>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</si>
  <si>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</si>
  <si>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</si>
  <si>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</si>
  <si>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</si>
  <si>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</si>
  <si>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</si>
  <si>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</si>
  <si>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</si>
  <si>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</si>
  <si>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</si>
  <si>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</si>
  <si>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</si>
  <si>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</si>
  <si>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</si>
  <si>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</si>
  <si>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</si>
  <si>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</si>
  <si>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</si>
  <si>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</si>
  <si>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</si>
  <si>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</si>
  <si>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</si>
  <si>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</si>
  <si>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</si>
  <si>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</si>
  <si>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</si>
  <si>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</si>
  <si>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</si>
  <si>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</si>
  <si>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</si>
  <si>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</si>
  <si>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</si>
  <si>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</si>
  <si>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</si>
  <si>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</si>
  <si>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</si>
  <si>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</si>
  <si>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</si>
  <si>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</si>
  <si>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</si>
  <si>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</si>
  <si>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</si>
  <si>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</si>
  <si>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</si>
  <si>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</si>
  <si>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</si>
  <si>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</si>
  <si>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</si>
  <si>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</si>
  <si>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</si>
  <si>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</si>
  <si>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</si>
  <si>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</si>
  <si>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</si>
  <si>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</si>
  <si>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</si>
  <si>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</si>
  <si>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</si>
  <si>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</si>
  <si>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</si>
  <si>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</si>
  <si>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</si>
  <si>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</si>
  <si>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</si>
  <si>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</si>
  <si>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</si>
  <si>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</si>
  <si>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</si>
  <si>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</si>
  <si>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</si>
  <si>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</si>
  <si>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</si>
  <si>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</si>
  <si>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</si>
  <si>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</si>
  <si>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</si>
  <si>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</si>
  <si>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</si>
  <si>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</si>
  <si>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</si>
  <si>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</si>
  <si>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</si>
  <si>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</si>
  <si>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</si>
  <si>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</si>
  <si>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</si>
  <si>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</si>
  <si>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</si>
  <si>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</si>
  <si>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</si>
  <si>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</si>
  <si>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</si>
  <si>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</si>
  <si>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</si>
  <si>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</si>
  <si>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</si>
  <si>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</si>
  <si>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</si>
  <si>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</si>
  <si>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</si>
  <si>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</si>
  <si>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</si>
  <si>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</si>
  <si>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</si>
  <si>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</si>
  <si>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</si>
  <si>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</si>
  <si>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</si>
  <si>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</si>
  <si>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</si>
  <si>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</si>
  <si>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</si>
  <si>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</si>
  <si>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</si>
  <si>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</si>
  <si>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</si>
  <si>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</si>
  <si>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</si>
  <si>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</si>
  <si>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</si>
  <si>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</si>
  <si>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</si>
  <si>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</si>
  <si>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</si>
  <si>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</si>
  <si>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</si>
  <si>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</si>
  <si>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</si>
  <si>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</si>
  <si>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</si>
  <si>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</si>
  <si>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</si>
  <si>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</si>
  <si>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</si>
  <si>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</si>
  <si>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</si>
  <si>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</si>
  <si>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</si>
  <si>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</si>
  <si>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</si>
  <si>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</si>
  <si>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</si>
  <si>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</si>
  <si>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</si>
  <si>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</si>
  <si>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</si>
  <si>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</si>
  <si>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</si>
  <si>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</si>
  <si>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</si>
  <si>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</si>
  <si>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</si>
  <si>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</si>
  <si>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</si>
  <si>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</si>
  <si>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</si>
  <si>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</si>
  <si>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</si>
  <si>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</si>
  <si>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</si>
  <si>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</si>
  <si>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</si>
  <si>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</si>
  <si>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</si>
  <si>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</si>
  <si>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</si>
  <si>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</si>
  <si>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</si>
  <si>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</si>
  <si>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</si>
  <si>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</si>
  <si>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</si>
  <si>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</si>
  <si>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</si>
  <si>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</si>
  <si>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</si>
  <si>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</si>
  <si>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</si>
  <si>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</si>
  <si>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</si>
  <si>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</si>
  <si>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</si>
  <si>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</si>
  <si>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</si>
  <si>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</si>
  <si>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</si>
  <si>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</si>
  <si>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</si>
  <si>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</si>
  <si>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</si>
  <si>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</si>
  <si>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</si>
  <si>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</si>
  <si>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</si>
  <si>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</si>
  <si>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</si>
  <si>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</si>
  <si>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</si>
  <si>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</si>
  <si>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</si>
  <si>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</si>
  <si>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</si>
  <si>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</si>
  <si>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</si>
  <si>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</si>
  <si>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</si>
  <si>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</si>
  <si>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</si>
  <si>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</si>
  <si>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</si>
  <si>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</si>
  <si>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</si>
  <si>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</si>
  <si>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</si>
  <si>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</si>
  <si>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</si>
  <si>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</si>
  <si>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</si>
  <si>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</si>
  <si>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</si>
  <si>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</si>
  <si>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</si>
  <si>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</si>
  <si>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</si>
  <si>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</si>
  <si>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</si>
  <si>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</si>
  <si>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</si>
  <si>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</si>
  <si>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</si>
  <si>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</si>
  <si>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</si>
  <si>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</si>
  <si>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</si>
  <si>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</si>
  <si>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</si>
  <si>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</si>
  <si>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</si>
  <si>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</si>
  <si>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07/02</t>
  </si>
  <si>
    <t>08/12</t>
  </si>
  <si>
    <t>Alton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</si>
</sst>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19C1-1AE0-4C8E-9B19-BB9A6DA2F33C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15</v>
      </c>
      <c r="C2" s="21">
        <v>15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340165.28</v>
      </c>
      <c r="G9" s="18">
        <v>112</v>
      </c>
      <c r="H9" s="18">
        <v>0</v>
      </c>
      <c r="I9" s="18">
        <v>194874.83</v>
      </c>
      <c r="J9" s="67">
        <f>SUM(I431)</f>
        <v>930549.48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>
        <v>50048.05</v>
      </c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339690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69247.87</v>
      </c>
      <c r="G13" s="18">
        <v>7369.77</v>
      </c>
      <c r="H13" s="18">
        <v>166856.41</v>
      </c>
      <c r="I13" s="18">
        <v>0</v>
      </c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50000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799103.15</v>
      </c>
      <c r="G19" s="41">
        <f>SUM(G9:G18)</f>
        <v>57529.820000000007</v>
      </c>
      <c r="H19" s="41">
        <f>SUM(H9:H18)</f>
        <v>166856.41</v>
      </c>
      <c r="I19" s="41">
        <f>SUM(I9:I18)</f>
        <v>194874.83</v>
      </c>
      <c r="J19" s="41">
        <f>SUM(J9:J18)</f>
        <v>930549.48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43858.87</v>
      </c>
      <c r="H23" s="18">
        <v>153466.4</v>
      </c>
      <c r="I23" s="18">
        <v>142364.74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96718.36</v>
      </c>
      <c r="G25" s="18">
        <v>0</v>
      </c>
      <c r="H25" s="18">
        <v>7089.44</v>
      </c>
      <c r="I25" s="18">
        <v>0</v>
      </c>
      <c r="J25" s="67">
        <f>SUM(I442)</f>
        <v>46919.31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52416.82</v>
      </c>
      <c r="G29" s="18">
        <v>2567.39</v>
      </c>
      <c r="H29" s="18">
        <v>6300.57</v>
      </c>
      <c r="I29" s="18">
        <v>0</v>
      </c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149135.18</v>
      </c>
      <c r="G33" s="41">
        <f>SUM(G23:G32)</f>
        <v>46426.26</v>
      </c>
      <c r="H33" s="41">
        <f>SUM(H23:H32)</f>
        <v>166856.41</v>
      </c>
      <c r="I33" s="41">
        <f>SUM(I23:I32)</f>
        <v>142364.74</v>
      </c>
      <c r="J33" s="41">
        <f>SUM(J23:J32)</f>
        <v>46919.31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50000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11103.56</v>
      </c>
      <c r="H41" s="18">
        <v>0</v>
      </c>
      <c r="I41" s="18">
        <v>52510.09</v>
      </c>
      <c r="J41" s="13">
        <f>SUM(I449)</f>
        <v>883630.16999999993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599967.97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649967.97</v>
      </c>
      <c r="G43" s="41">
        <f>SUM(G35:G42)</f>
        <v>11103.56</v>
      </c>
      <c r="H43" s="41">
        <f>SUM(H35:H42)</f>
        <v>0</v>
      </c>
      <c r="I43" s="41">
        <f>SUM(I35:I42)</f>
        <v>52510.09</v>
      </c>
      <c r="J43" s="41">
        <f>SUM(J35:J42)</f>
        <v>883630.16999999993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799103.14999999991</v>
      </c>
      <c r="G44" s="41">
        <f>G43+G33</f>
        <v>57529.82</v>
      </c>
      <c r="H44" s="41">
        <f>H43+H33</f>
        <v>166856.41</v>
      </c>
      <c r="I44" s="41">
        <f>I43+I33</f>
        <v>194874.83</v>
      </c>
      <c r="J44" s="41">
        <f>J43+J33</f>
        <v>930549.48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7557771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7557771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840.1</v>
      </c>
      <c r="G88" s="18">
        <v>201.3</v>
      </c>
      <c r="H88" s="18"/>
      <c r="I88" s="18">
        <v>531.25</v>
      </c>
      <c r="J88" s="18">
        <v>5387.12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125641.66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2925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75979.73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79744.83</v>
      </c>
      <c r="G103" s="41">
        <f>SUM(G88:G102)</f>
        <v>125842.96</v>
      </c>
      <c r="H103" s="41">
        <f>SUM(H88:H102)</f>
        <v>0</v>
      </c>
      <c r="I103" s="41">
        <f>SUM(I88:I102)</f>
        <v>531.25</v>
      </c>
      <c r="J103" s="41">
        <f>SUM(J88:J102)</f>
        <v>5387.12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7637515.8300000001</v>
      </c>
      <c r="G104" s="41">
        <f>G52+G103</f>
        <v>125842.96</v>
      </c>
      <c r="H104" s="41">
        <f>H52+H71+H86+H103</f>
        <v>0</v>
      </c>
      <c r="I104" s="41">
        <f>I52+I103</f>
        <v>531.25</v>
      </c>
      <c r="J104" s="41">
        <f>J52+J103</f>
        <v>5387.12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3600436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3600436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391913.14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89874.77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2803.89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481787.91000000003</v>
      </c>
      <c r="G128" s="41">
        <f>SUM(G115:G127)</f>
        <v>2803.89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4082223.91</v>
      </c>
      <c r="G132" s="41">
        <f>G113+SUM(G128:G129)</f>
        <v>2803.89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>
        <v>9454.44</v>
      </c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>
        <v>3460.98</v>
      </c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12915.42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124277.84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77436.97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82827.42-2803.89</f>
        <v>80023.53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189992.68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159811.84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159811.84</v>
      </c>
      <c r="G154" s="41">
        <f>SUM(G142:G153)</f>
        <v>80023.53</v>
      </c>
      <c r="H154" s="41">
        <f>SUM(H142:H153)</f>
        <v>391707.49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159811.84</v>
      </c>
      <c r="G161" s="41">
        <f>G139+G154+SUM(G155:G160)</f>
        <v>92938.95</v>
      </c>
      <c r="H161" s="41">
        <f>H139+H154+SUM(H155:H160)</f>
        <v>391707.49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180000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180000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3491.95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3491.95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3491.95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180000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11883043.529999999</v>
      </c>
      <c r="G185" s="47">
        <f>G104+G132+G161+G184</f>
        <v>221585.8</v>
      </c>
      <c r="H185" s="47">
        <f>H104+H132+H161+H184</f>
        <v>391707.49</v>
      </c>
      <c r="I185" s="47">
        <f>I104+I132+I161+I184</f>
        <v>531.25</v>
      </c>
      <c r="J185" s="47">
        <f>J104+J132+J184</f>
        <v>185387.12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2220913.42</v>
      </c>
      <c r="G189" s="18">
        <v>884508.21</v>
      </c>
      <c r="H189" s="18">
        <v>38719.769999999997</v>
      </c>
      <c r="I189" s="18">
        <v>121003.63</v>
      </c>
      <c r="J189" s="18">
        <v>101080.77</v>
      </c>
      <c r="K189" s="18">
        <v>26992.26</v>
      </c>
      <c r="L189" s="19">
        <f>SUM(F189:K189)</f>
        <v>3393218.0599999996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889089.16</v>
      </c>
      <c r="G190" s="18">
        <v>392632.01</v>
      </c>
      <c r="H190" s="18">
        <v>151539.85</v>
      </c>
      <c r="I190" s="18">
        <v>17741.73</v>
      </c>
      <c r="J190" s="18">
        <v>8153.9</v>
      </c>
      <c r="K190" s="18">
        <v>2482.15</v>
      </c>
      <c r="L190" s="19">
        <f>SUM(F190:K190)</f>
        <v>1461638.7999999998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42074.33</v>
      </c>
      <c r="G192" s="18">
        <v>5547.71</v>
      </c>
      <c r="H192" s="18">
        <v>6054.9</v>
      </c>
      <c r="I192" s="18">
        <v>10467.629999999999</v>
      </c>
      <c r="J192" s="18">
        <v>2653.38</v>
      </c>
      <c r="K192" s="18">
        <v>1646</v>
      </c>
      <c r="L192" s="19">
        <f>SUM(F192:K192)</f>
        <v>68443.95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214138.19</v>
      </c>
      <c r="G194" s="18">
        <v>96900.29</v>
      </c>
      <c r="H194" s="18">
        <v>69840.03</v>
      </c>
      <c r="I194" s="18">
        <v>6692.41</v>
      </c>
      <c r="J194" s="18">
        <v>2378</v>
      </c>
      <c r="K194" s="18">
        <v>40</v>
      </c>
      <c r="L194" s="19">
        <f t="shared" ref="L194:L200" si="0">SUM(F194:K194)</f>
        <v>389988.92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85674.78</v>
      </c>
      <c r="G195" s="18">
        <v>81353.84</v>
      </c>
      <c r="H195" s="18">
        <v>12911.04</v>
      </c>
      <c r="I195" s="18">
        <v>11286</v>
      </c>
      <c r="J195" s="18">
        <v>2057.0100000000002</v>
      </c>
      <c r="K195" s="18">
        <v>6176.3</v>
      </c>
      <c r="L195" s="19">
        <f t="shared" si="0"/>
        <v>199458.97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61620.41</v>
      </c>
      <c r="G196" s="18">
        <v>24959.78</v>
      </c>
      <c r="H196" s="18">
        <v>150046.49</v>
      </c>
      <c r="I196" s="18">
        <v>6512.78</v>
      </c>
      <c r="J196" s="18">
        <v>990.29</v>
      </c>
      <c r="K196" s="18">
        <v>4729.1899999999996</v>
      </c>
      <c r="L196" s="19">
        <f t="shared" si="0"/>
        <v>248858.94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235247.11</v>
      </c>
      <c r="G197" s="18">
        <v>67998.990000000005</v>
      </c>
      <c r="H197" s="18">
        <v>15196.87</v>
      </c>
      <c r="I197" s="18">
        <v>5481.31</v>
      </c>
      <c r="J197" s="18">
        <v>274.97000000000003</v>
      </c>
      <c r="K197" s="18">
        <v>1373</v>
      </c>
      <c r="L197" s="19">
        <f t="shared" si="0"/>
        <v>325572.24999999994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60166.5</v>
      </c>
      <c r="G198" s="18">
        <v>32203.13</v>
      </c>
      <c r="H198" s="18">
        <v>4954.6400000000003</v>
      </c>
      <c r="I198" s="18">
        <v>1514</v>
      </c>
      <c r="J198" s="18">
        <v>0</v>
      </c>
      <c r="K198" s="18">
        <v>10174</v>
      </c>
      <c r="L198" s="19">
        <f t="shared" si="0"/>
        <v>109012.27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184973.4</v>
      </c>
      <c r="G199" s="18">
        <v>85104.68</v>
      </c>
      <c r="H199" s="18">
        <v>231779.52</v>
      </c>
      <c r="I199" s="18">
        <v>267170.21000000002</v>
      </c>
      <c r="J199" s="18">
        <v>33234.86</v>
      </c>
      <c r="K199" s="18">
        <v>0</v>
      </c>
      <c r="L199" s="19">
        <f t="shared" si="0"/>
        <v>802262.67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0</v>
      </c>
      <c r="G200" s="18">
        <v>0</v>
      </c>
      <c r="H200" s="18">
        <v>322450.78000000003</v>
      </c>
      <c r="I200" s="18">
        <v>0</v>
      </c>
      <c r="J200" s="18">
        <v>0</v>
      </c>
      <c r="K200" s="18">
        <v>0</v>
      </c>
      <c r="L200" s="19">
        <f t="shared" si="0"/>
        <v>322450.78000000003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3993897.3</v>
      </c>
      <c r="G203" s="41">
        <f t="shared" si="1"/>
        <v>1671208.64</v>
      </c>
      <c r="H203" s="41">
        <f t="shared" si="1"/>
        <v>1003493.89</v>
      </c>
      <c r="I203" s="41">
        <f t="shared" si="1"/>
        <v>447869.70000000007</v>
      </c>
      <c r="J203" s="41">
        <f t="shared" si="1"/>
        <v>150823.18</v>
      </c>
      <c r="K203" s="41">
        <f t="shared" si="1"/>
        <v>53612.9</v>
      </c>
      <c r="L203" s="41">
        <f t="shared" si="1"/>
        <v>7320905.6099999994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765</v>
      </c>
      <c r="G225" s="18">
        <v>58.52</v>
      </c>
      <c r="H225" s="18">
        <v>3309233.94</v>
      </c>
      <c r="I225" s="18">
        <v>0</v>
      </c>
      <c r="J225" s="18">
        <v>0</v>
      </c>
      <c r="K225" s="18">
        <v>0</v>
      </c>
      <c r="L225" s="19">
        <f>SUM(F225:K225)</f>
        <v>3310057.46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93847.76</v>
      </c>
      <c r="G226" s="18">
        <v>15804.34</v>
      </c>
      <c r="H226" s="18">
        <v>249182.15</v>
      </c>
      <c r="I226" s="18">
        <v>366.53</v>
      </c>
      <c r="J226" s="18">
        <v>20.45</v>
      </c>
      <c r="K226" s="18">
        <v>0</v>
      </c>
      <c r="L226" s="19">
        <f>SUM(F226:K226)</f>
        <v>359221.23000000004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>
        <v>6250</v>
      </c>
      <c r="K235" s="18"/>
      <c r="L235" s="19">
        <f t="shared" si="4"/>
        <v>6250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0</v>
      </c>
      <c r="G236" s="18">
        <v>0</v>
      </c>
      <c r="H236" s="18">
        <v>171067.64</v>
      </c>
      <c r="I236" s="18">
        <v>0</v>
      </c>
      <c r="J236" s="18">
        <v>0</v>
      </c>
      <c r="K236" s="18">
        <v>0</v>
      </c>
      <c r="L236" s="19">
        <f t="shared" si="4"/>
        <v>171067.64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94612.76</v>
      </c>
      <c r="G239" s="41">
        <f t="shared" si="5"/>
        <v>15862.86</v>
      </c>
      <c r="H239" s="41">
        <f t="shared" si="5"/>
        <v>3729483.73</v>
      </c>
      <c r="I239" s="41">
        <f t="shared" si="5"/>
        <v>366.53</v>
      </c>
      <c r="J239" s="41">
        <f t="shared" si="5"/>
        <v>6270.45</v>
      </c>
      <c r="K239" s="41">
        <f t="shared" si="5"/>
        <v>0</v>
      </c>
      <c r="L239" s="41">
        <f t="shared" si="5"/>
        <v>3846596.33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>
        <v>1750</v>
      </c>
      <c r="K247" s="18"/>
      <c r="L247" s="19">
        <f t="shared" si="6"/>
        <v>1750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1750</v>
      </c>
      <c r="K248" s="41">
        <f t="shared" si="7"/>
        <v>0</v>
      </c>
      <c r="L248" s="41">
        <f>SUM(F248:K248)</f>
        <v>1750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4088510.0599999996</v>
      </c>
      <c r="G249" s="41">
        <f t="shared" si="8"/>
        <v>1687071.5</v>
      </c>
      <c r="H249" s="41">
        <f t="shared" si="8"/>
        <v>4732977.62</v>
      </c>
      <c r="I249" s="41">
        <f t="shared" si="8"/>
        <v>448236.2300000001</v>
      </c>
      <c r="J249" s="41">
        <f t="shared" si="8"/>
        <v>158843.63</v>
      </c>
      <c r="K249" s="41">
        <f t="shared" si="8"/>
        <v>53612.9</v>
      </c>
      <c r="L249" s="41">
        <f t="shared" si="8"/>
        <v>11169251.939999999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963000</v>
      </c>
      <c r="L252" s="19">
        <f>SUM(F252:K252)</f>
        <v>963000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117967.5</v>
      </c>
      <c r="L253" s="19">
        <f>SUM(F253:K253)</f>
        <v>117967.5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180000</v>
      </c>
      <c r="L258" s="19">
        <f t="shared" si="9"/>
        <v>180000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1260967.5</v>
      </c>
      <c r="L262" s="41">
        <f t="shared" si="9"/>
        <v>1260967.5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4088510.0599999996</v>
      </c>
      <c r="G263" s="42">
        <f t="shared" si="11"/>
        <v>1687071.5</v>
      </c>
      <c r="H263" s="42">
        <f t="shared" si="11"/>
        <v>4732977.62</v>
      </c>
      <c r="I263" s="42">
        <f t="shared" si="11"/>
        <v>448236.2300000001</v>
      </c>
      <c r="J263" s="42">
        <f t="shared" si="11"/>
        <v>158843.63</v>
      </c>
      <c r="K263" s="42">
        <f t="shared" si="11"/>
        <v>1314580.3999999999</v>
      </c>
      <c r="L263" s="42">
        <f t="shared" si="11"/>
        <v>12430219.439999999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43452.34</v>
      </c>
      <c r="G268" s="18">
        <v>3073.97</v>
      </c>
      <c r="H268" s="18">
        <v>5933.16</v>
      </c>
      <c r="I268" s="18">
        <v>6597.62</v>
      </c>
      <c r="J268" s="18">
        <v>10647.87</v>
      </c>
      <c r="K268" s="18">
        <v>150</v>
      </c>
      <c r="L268" s="19">
        <f>SUM(F268:K268)</f>
        <v>69854.960000000006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129703.69</v>
      </c>
      <c r="G269" s="18">
        <v>6497.84</v>
      </c>
      <c r="H269" s="18">
        <v>6282.24</v>
      </c>
      <c r="I269" s="18">
        <v>25466.48</v>
      </c>
      <c r="J269" s="18">
        <v>38337.08</v>
      </c>
      <c r="K269" s="18">
        <v>0</v>
      </c>
      <c r="L269" s="19">
        <f>SUM(F269:K269)</f>
        <v>206287.33000000002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76134.149999999994</v>
      </c>
      <c r="I273" s="18"/>
      <c r="J273" s="18"/>
      <c r="K273" s="18"/>
      <c r="L273" s="19">
        <f t="shared" ref="L273:L279" si="12">SUM(F273:K273)</f>
        <v>76134.149999999994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2746.21</v>
      </c>
      <c r="G274" s="18">
        <v>3345</v>
      </c>
      <c r="H274" s="18">
        <v>32108.03</v>
      </c>
      <c r="I274" s="18">
        <v>691.81</v>
      </c>
      <c r="J274" s="18"/>
      <c r="K274" s="18"/>
      <c r="L274" s="19">
        <f t="shared" si="12"/>
        <v>38891.049999999996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540</v>
      </c>
      <c r="I279" s="18"/>
      <c r="J279" s="18"/>
      <c r="K279" s="18"/>
      <c r="L279" s="19">
        <f t="shared" si="12"/>
        <v>540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175902.24</v>
      </c>
      <c r="G282" s="42">
        <f t="shared" si="13"/>
        <v>12916.81</v>
      </c>
      <c r="H282" s="42">
        <f t="shared" si="13"/>
        <v>120997.57999999999</v>
      </c>
      <c r="I282" s="42">
        <f t="shared" si="13"/>
        <v>32755.91</v>
      </c>
      <c r="J282" s="42">
        <f t="shared" si="13"/>
        <v>48984.950000000004</v>
      </c>
      <c r="K282" s="42">
        <f t="shared" si="13"/>
        <v>150</v>
      </c>
      <c r="L282" s="41">
        <f t="shared" si="13"/>
        <v>391707.49000000005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175902.24</v>
      </c>
      <c r="G330" s="41">
        <f t="shared" si="20"/>
        <v>12916.81</v>
      </c>
      <c r="H330" s="41">
        <f t="shared" si="20"/>
        <v>120997.57999999999</v>
      </c>
      <c r="I330" s="41">
        <f t="shared" si="20"/>
        <v>32755.91</v>
      </c>
      <c r="J330" s="41">
        <f t="shared" si="20"/>
        <v>48984.950000000004</v>
      </c>
      <c r="K330" s="41">
        <f t="shared" si="20"/>
        <v>150</v>
      </c>
      <c r="L330" s="41">
        <f t="shared" si="20"/>
        <v>391707.49000000005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175902.24</v>
      </c>
      <c r="G344" s="41">
        <f>G330</f>
        <v>12916.81</v>
      </c>
      <c r="H344" s="41">
        <f>H330</f>
        <v>120997.57999999999</v>
      </c>
      <c r="I344" s="41">
        <f>I330</f>
        <v>32755.91</v>
      </c>
      <c r="J344" s="41">
        <f>J330</f>
        <v>48984.950000000004</v>
      </c>
      <c r="K344" s="47">
        <f>K330+K343</f>
        <v>150</v>
      </c>
      <c r="L344" s="41">
        <f>L330+L343</f>
        <v>391707.49000000005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96866.84</v>
      </c>
      <c r="G350" s="18">
        <v>35263.370000000003</v>
      </c>
      <c r="H350" s="18">
        <v>1835.55</v>
      </c>
      <c r="I350" s="18">
        <v>99204.7</v>
      </c>
      <c r="J350" s="18">
        <v>5136.59</v>
      </c>
      <c r="K350" s="18">
        <v>918</v>
      </c>
      <c r="L350" s="13">
        <f>SUM(F350:K350)</f>
        <v>239225.04999999996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96866.84</v>
      </c>
      <c r="G354" s="47">
        <f t="shared" si="22"/>
        <v>35263.370000000003</v>
      </c>
      <c r="H354" s="47">
        <f t="shared" si="22"/>
        <v>1835.55</v>
      </c>
      <c r="I354" s="47">
        <f t="shared" si="22"/>
        <v>99204.7</v>
      </c>
      <c r="J354" s="47">
        <f t="shared" si="22"/>
        <v>5136.59</v>
      </c>
      <c r="K354" s="47">
        <f t="shared" si="22"/>
        <v>918</v>
      </c>
      <c r="L354" s="47">
        <f t="shared" si="22"/>
        <v>239225.04999999996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90940</v>
      </c>
      <c r="G359" s="18"/>
      <c r="H359" s="18"/>
      <c r="I359" s="56">
        <f>SUM(F359:H359)</f>
        <v>90940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8264.7000000000007</v>
      </c>
      <c r="G360" s="63"/>
      <c r="H360" s="63"/>
      <c r="I360" s="56">
        <f>SUM(F360:H360)</f>
        <v>8264.7000000000007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99204.7</v>
      </c>
      <c r="G361" s="47">
        <f>SUM(G359:G360)</f>
        <v>0</v>
      </c>
      <c r="H361" s="47">
        <f>SUM(H359:H360)</f>
        <v>0</v>
      </c>
      <c r="I361" s="47">
        <f>SUM(I359:I360)</f>
        <v>99204.7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937.76</v>
      </c>
      <c r="I381" s="18"/>
      <c r="J381" s="24" t="s">
        <v>312</v>
      </c>
      <c r="K381" s="24" t="s">
        <v>312</v>
      </c>
      <c r="L381" s="56">
        <f t="shared" si="25"/>
        <v>937.76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937.76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937.76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f>170000</f>
        <v>170000</v>
      </c>
      <c r="H388" s="18">
        <v>3546.43</v>
      </c>
      <c r="I388" s="18"/>
      <c r="J388" s="24" t="s">
        <v>312</v>
      </c>
      <c r="K388" s="24" t="s">
        <v>312</v>
      </c>
      <c r="L388" s="56">
        <f t="shared" si="26"/>
        <v>173546.43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898.87</v>
      </c>
      <c r="I389" s="18"/>
      <c r="J389" s="24" t="s">
        <v>312</v>
      </c>
      <c r="K389" s="24" t="s">
        <v>312</v>
      </c>
      <c r="L389" s="56">
        <f t="shared" si="26"/>
        <v>898.87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v>10000</v>
      </c>
      <c r="H392" s="18">
        <v>4.0599999999999996</v>
      </c>
      <c r="I392" s="18"/>
      <c r="J392" s="24" t="s">
        <v>312</v>
      </c>
      <c r="K392" s="24" t="s">
        <v>312</v>
      </c>
      <c r="L392" s="56">
        <f t="shared" si="26"/>
        <v>10004.06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180000</v>
      </c>
      <c r="H393" s="47">
        <f>SUM(H387:H392)</f>
        <v>4449.3600000000006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184449.36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180000</v>
      </c>
      <c r="H400" s="47">
        <f>H385+H393+H399</f>
        <v>5387.1200000000008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185387.12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>
        <v>289538.31</v>
      </c>
      <c r="I414" s="18"/>
      <c r="J414" s="18"/>
      <c r="K414" s="18">
        <v>3491.95</v>
      </c>
      <c r="L414" s="56">
        <f t="shared" si="29"/>
        <v>293030.26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289538.31</v>
      </c>
      <c r="I419" s="47">
        <f t="shared" si="30"/>
        <v>0</v>
      </c>
      <c r="J419" s="47">
        <f t="shared" si="30"/>
        <v>0</v>
      </c>
      <c r="K419" s="47">
        <f t="shared" si="30"/>
        <v>3491.95</v>
      </c>
      <c r="L419" s="47">
        <f t="shared" si="30"/>
        <v>293030.26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289538.31</v>
      </c>
      <c r="I426" s="47">
        <f t="shared" si="32"/>
        <v>0</v>
      </c>
      <c r="J426" s="47">
        <f t="shared" si="32"/>
        <v>0</v>
      </c>
      <c r="K426" s="47">
        <f t="shared" si="32"/>
        <v>3491.95</v>
      </c>
      <c r="L426" s="47">
        <f t="shared" si="32"/>
        <v>293030.26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317420.03000000003</v>
      </c>
      <c r="G431" s="18">
        <v>613129.44999999995</v>
      </c>
      <c r="H431" s="18">
        <v>0</v>
      </c>
      <c r="I431" s="56">
        <f t="shared" ref="I431:I437" si="33">SUM(F431:H431)</f>
        <v>930549.48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317420.03000000003</v>
      </c>
      <c r="G438" s="13">
        <f>SUM(G431:G437)</f>
        <v>613129.44999999995</v>
      </c>
      <c r="H438" s="13">
        <f>SUM(H431:H437)</f>
        <v>0</v>
      </c>
      <c r="I438" s="13">
        <f>SUM(I431:I437)</f>
        <v>930549.48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>
        <v>46919.31</v>
      </c>
      <c r="G442" s="18"/>
      <c r="H442" s="18"/>
      <c r="I442" s="56">
        <f>SUM(F442:H442)</f>
        <v>46919.31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46919.31</v>
      </c>
      <c r="G444" s="72">
        <f>SUM(G440:G443)</f>
        <v>0</v>
      </c>
      <c r="H444" s="72">
        <f>SUM(H440:H443)</f>
        <v>0</v>
      </c>
      <c r="I444" s="72">
        <f>SUM(I440:I443)</f>
        <v>46919.31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270500.71999999997</v>
      </c>
      <c r="G449" s="18">
        <v>613129.44999999995</v>
      </c>
      <c r="H449" s="18"/>
      <c r="I449" s="56">
        <f>SUM(F449:H449)</f>
        <v>883630.16999999993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270500.71999999997</v>
      </c>
      <c r="G450" s="83">
        <f>SUM(G446:G449)</f>
        <v>613129.44999999995</v>
      </c>
      <c r="H450" s="83">
        <f>SUM(H446:H449)</f>
        <v>0</v>
      </c>
      <c r="I450" s="83">
        <f>SUM(I446:I449)</f>
        <v>883630.16999999993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317420.02999999997</v>
      </c>
      <c r="G451" s="42">
        <f>G444+G450</f>
        <v>613129.44999999995</v>
      </c>
      <c r="H451" s="42">
        <f>H444+H450</f>
        <v>0</v>
      </c>
      <c r="I451" s="42">
        <f>I444+I450</f>
        <v>930549.48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1147143.8799999999</v>
      </c>
      <c r="G455" s="18">
        <v>28742.81</v>
      </c>
      <c r="H455" s="18">
        <v>0</v>
      </c>
      <c r="I455" s="18">
        <v>51978.84</v>
      </c>
      <c r="J455" s="18">
        <v>1000203.31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11883043.529999999</v>
      </c>
      <c r="G458" s="18">
        <v>221585.8</v>
      </c>
      <c r="H458" s="18">
        <v>391707.49</v>
      </c>
      <c r="I458" s="18">
        <v>531.25</v>
      </c>
      <c r="J458" s="18">
        <v>185387.12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50000</v>
      </c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11933043.529999999</v>
      </c>
      <c r="G460" s="53">
        <f>SUM(G458:G459)</f>
        <v>221585.8</v>
      </c>
      <c r="H460" s="53">
        <f>SUM(H458:H459)</f>
        <v>391707.49</v>
      </c>
      <c r="I460" s="53">
        <f>SUM(I458:I459)</f>
        <v>531.25</v>
      </c>
      <c r="J460" s="53">
        <f>SUM(J458:J459)</f>
        <v>185387.12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12430219.439999999</v>
      </c>
      <c r="G462" s="18">
        <v>239225.05</v>
      </c>
      <c r="H462" s="18">
        <v>391707.49</v>
      </c>
      <c r="I462" s="18">
        <v>0</v>
      </c>
      <c r="J462" s="18">
        <v>293030.26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>
        <v>8930</v>
      </c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12430219.439999999</v>
      </c>
      <c r="G464" s="53">
        <f>SUM(G462:G463)</f>
        <v>239225.05</v>
      </c>
      <c r="H464" s="53">
        <f>SUM(H462:H463)</f>
        <v>391707.49</v>
      </c>
      <c r="I464" s="53">
        <f>SUM(I462:I463)</f>
        <v>0</v>
      </c>
      <c r="J464" s="53">
        <f>SUM(J462:J463)</f>
        <v>301960.26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649967.97000000067</v>
      </c>
      <c r="G466" s="53">
        <f>(G455+G460)- G464</f>
        <v>11103.559999999998</v>
      </c>
      <c r="H466" s="53">
        <f>(H455+H460)- H464</f>
        <v>0</v>
      </c>
      <c r="I466" s="53">
        <f>(I455+I460)- I464</f>
        <v>52510.09</v>
      </c>
      <c r="J466" s="53">
        <f>(J455+J460)- J464</f>
        <v>883630.17000000016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9633000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4.9000000000000004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2889000</v>
      </c>
      <c r="G485" s="18"/>
      <c r="H485" s="18"/>
      <c r="I485" s="18"/>
      <c r="J485" s="18"/>
      <c r="K485" s="53">
        <f>SUM(F485:J485)</f>
        <v>2889000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963000</v>
      </c>
      <c r="G487" s="18"/>
      <c r="H487" s="18"/>
      <c r="I487" s="18"/>
      <c r="J487" s="18"/>
      <c r="K487" s="53">
        <f t="shared" si="34"/>
        <v>963000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1926000</v>
      </c>
      <c r="G488" s="205"/>
      <c r="H488" s="205"/>
      <c r="I488" s="205"/>
      <c r="J488" s="205"/>
      <c r="K488" s="206">
        <f t="shared" si="34"/>
        <v>1926000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94374</v>
      </c>
      <c r="G489" s="18"/>
      <c r="H489" s="18"/>
      <c r="I489" s="18"/>
      <c r="J489" s="18"/>
      <c r="K489" s="53">
        <f t="shared" si="34"/>
        <v>94374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2020374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2020374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963000</v>
      </c>
      <c r="G491" s="205"/>
      <c r="H491" s="205"/>
      <c r="I491" s="205"/>
      <c r="J491" s="205"/>
      <c r="K491" s="206">
        <f t="shared" si="34"/>
        <v>963000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70780.5</v>
      </c>
      <c r="G492" s="18"/>
      <c r="H492" s="18"/>
      <c r="I492" s="18"/>
      <c r="J492" s="18"/>
      <c r="K492" s="53">
        <f t="shared" si="34"/>
        <v>70780.5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1033780.5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1033780.5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757056.96</v>
      </c>
      <c r="G511" s="18">
        <v>323831.8</v>
      </c>
      <c r="H511" s="18">
        <v>147387.19</v>
      </c>
      <c r="I511" s="18">
        <v>19259.29</v>
      </c>
      <c r="J511" s="18">
        <v>43586.559999999998</v>
      </c>
      <c r="K511" s="18">
        <v>871</v>
      </c>
      <c r="L511" s="88">
        <f>SUM(F511:K511)</f>
        <v>1291992.8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93847.76</v>
      </c>
      <c r="G513" s="18">
        <v>15804.34</v>
      </c>
      <c r="H513" s="18">
        <v>249182.15</v>
      </c>
      <c r="I513" s="18">
        <v>366.53</v>
      </c>
      <c r="J513" s="18">
        <v>20.45</v>
      </c>
      <c r="K513" s="18">
        <v>0</v>
      </c>
      <c r="L513" s="88">
        <f>SUM(F513:K513)</f>
        <v>359221.23000000004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850904.72</v>
      </c>
      <c r="G514" s="108">
        <f t="shared" ref="G514:L514" si="35">SUM(G511:G513)</f>
        <v>339636.14</v>
      </c>
      <c r="H514" s="108">
        <f t="shared" si="35"/>
        <v>396569.33999999997</v>
      </c>
      <c r="I514" s="108">
        <f t="shared" si="35"/>
        <v>19625.82</v>
      </c>
      <c r="J514" s="108">
        <f t="shared" si="35"/>
        <v>43607.009999999995</v>
      </c>
      <c r="K514" s="108">
        <f t="shared" si="35"/>
        <v>871</v>
      </c>
      <c r="L514" s="89">
        <f t="shared" si="35"/>
        <v>1651214.03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30772.38</v>
      </c>
      <c r="G516" s="18">
        <v>5371.63</v>
      </c>
      <c r="H516" s="18">
        <v>136434.15</v>
      </c>
      <c r="I516" s="18">
        <v>1208.6099999999999</v>
      </c>
      <c r="J516" s="18">
        <v>839.5</v>
      </c>
      <c r="K516" s="18">
        <v>0</v>
      </c>
      <c r="L516" s="88">
        <f>SUM(F516:K516)</f>
        <v>174626.27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30772.38</v>
      </c>
      <c r="G519" s="89">
        <f t="shared" ref="G519:L519" si="36">SUM(G516:G518)</f>
        <v>5371.63</v>
      </c>
      <c r="H519" s="89">
        <f t="shared" si="36"/>
        <v>136434.15</v>
      </c>
      <c r="I519" s="89">
        <f t="shared" si="36"/>
        <v>1208.6099999999999</v>
      </c>
      <c r="J519" s="89">
        <f t="shared" si="36"/>
        <v>839.5</v>
      </c>
      <c r="K519" s="89">
        <f t="shared" si="36"/>
        <v>0</v>
      </c>
      <c r="L519" s="89">
        <f t="shared" si="36"/>
        <v>174626.27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106306.87</v>
      </c>
      <c r="G521" s="18">
        <v>51317.85</v>
      </c>
      <c r="H521" s="18"/>
      <c r="I521" s="18"/>
      <c r="J521" s="18"/>
      <c r="K521" s="18"/>
      <c r="L521" s="88">
        <f>SUM(F521:K521)</f>
        <v>157624.72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106306.87</v>
      </c>
      <c r="G524" s="89">
        <f t="shared" ref="G524:L524" si="37">SUM(G521:G523)</f>
        <v>51317.85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157624.72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83931.61</v>
      </c>
      <c r="I531" s="18"/>
      <c r="J531" s="18"/>
      <c r="K531" s="18"/>
      <c r="L531" s="88">
        <f>SUM(F531:K531)</f>
        <v>83931.61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79700.22</v>
      </c>
      <c r="I533" s="18"/>
      <c r="J533" s="18"/>
      <c r="K533" s="18"/>
      <c r="L533" s="88">
        <f>SUM(F533:K533)</f>
        <v>79700.22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163631.83000000002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163631.83000000002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987983.97</v>
      </c>
      <c r="G535" s="89">
        <f t="shared" ref="G535:L535" si="40">G514+G519+G524+G529+G534</f>
        <v>396325.62</v>
      </c>
      <c r="H535" s="89">
        <f t="shared" si="40"/>
        <v>696635.32000000007</v>
      </c>
      <c r="I535" s="89">
        <f t="shared" si="40"/>
        <v>20834.43</v>
      </c>
      <c r="J535" s="89">
        <f t="shared" si="40"/>
        <v>44446.509999999995</v>
      </c>
      <c r="K535" s="89">
        <f t="shared" si="40"/>
        <v>871</v>
      </c>
      <c r="L535" s="89">
        <f t="shared" si="40"/>
        <v>2147096.85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1291992.8</v>
      </c>
      <c r="G539" s="87">
        <f>L516</f>
        <v>174626.27</v>
      </c>
      <c r="H539" s="87">
        <f>L521</f>
        <v>157624.72</v>
      </c>
      <c r="I539" s="87">
        <f>L526</f>
        <v>0</v>
      </c>
      <c r="J539" s="87">
        <f>L531</f>
        <v>83931.61</v>
      </c>
      <c r="K539" s="87">
        <f>SUM(F539:J539)</f>
        <v>1708175.4000000001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359221.23000000004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79700.22</v>
      </c>
      <c r="K541" s="87">
        <f>SUM(F541:J541)</f>
        <v>438921.45000000007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1651214.03</v>
      </c>
      <c r="G542" s="89">
        <f t="shared" si="41"/>
        <v>174626.27</v>
      </c>
      <c r="H542" s="89">
        <f t="shared" si="41"/>
        <v>157624.72</v>
      </c>
      <c r="I542" s="89">
        <f t="shared" si="41"/>
        <v>0</v>
      </c>
      <c r="J542" s="89">
        <f t="shared" si="41"/>
        <v>163631.83000000002</v>
      </c>
      <c r="K542" s="89">
        <f t="shared" si="41"/>
        <v>2147096.85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63805.2</v>
      </c>
      <c r="G557" s="18">
        <v>21843.79</v>
      </c>
      <c r="H557" s="18">
        <v>6561.56</v>
      </c>
      <c r="I557" s="18">
        <v>1333.97</v>
      </c>
      <c r="J557" s="18">
        <v>0</v>
      </c>
      <c r="K557" s="18">
        <v>1611.15</v>
      </c>
      <c r="L557" s="88">
        <f>SUM(F557:K557)</f>
        <v>95155.669999999984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63805.2</v>
      </c>
      <c r="G560" s="194">
        <f t="shared" ref="G560:L560" si="44">SUM(G557:G559)</f>
        <v>21843.79</v>
      </c>
      <c r="H560" s="194">
        <f t="shared" si="44"/>
        <v>6561.56</v>
      </c>
      <c r="I560" s="194">
        <f t="shared" si="44"/>
        <v>1333.97</v>
      </c>
      <c r="J560" s="194">
        <f t="shared" si="44"/>
        <v>0</v>
      </c>
      <c r="K560" s="194">
        <f t="shared" si="44"/>
        <v>1611.15</v>
      </c>
      <c r="L560" s="194">
        <f t="shared" si="44"/>
        <v>95155.669999999984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63805.2</v>
      </c>
      <c r="G561" s="89">
        <f t="shared" ref="G561:L561" si="45">G550+G555+G560</f>
        <v>21843.79</v>
      </c>
      <c r="H561" s="89">
        <f t="shared" si="45"/>
        <v>6561.56</v>
      </c>
      <c r="I561" s="89">
        <f t="shared" si="45"/>
        <v>1333.97</v>
      </c>
      <c r="J561" s="89">
        <f t="shared" si="45"/>
        <v>0</v>
      </c>
      <c r="K561" s="89">
        <f t="shared" si="45"/>
        <v>1611.15</v>
      </c>
      <c r="L561" s="89">
        <f t="shared" si="45"/>
        <v>95155.669999999984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3309233.94</v>
      </c>
      <c r="I567" s="87">
        <f t="shared" si="46"/>
        <v>3309233.94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43524.01</v>
      </c>
      <c r="G572" s="18"/>
      <c r="H572" s="18">
        <v>157604.10999999999</v>
      </c>
      <c r="I572" s="87">
        <f t="shared" si="46"/>
        <v>201128.12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218284.08</v>
      </c>
      <c r="I581" s="18"/>
      <c r="J581" s="18">
        <v>91367.42</v>
      </c>
      <c r="K581" s="104">
        <f t="shared" ref="K581:K587" si="47">SUM(H581:J581)</f>
        <v>309651.5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83591.61</v>
      </c>
      <c r="I582" s="18"/>
      <c r="J582" s="18">
        <v>79700.22</v>
      </c>
      <c r="K582" s="104">
        <f t="shared" si="47"/>
        <v>163291.83000000002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12565.09</v>
      </c>
      <c r="I584" s="18"/>
      <c r="J584" s="18"/>
      <c r="K584" s="104">
        <f t="shared" si="47"/>
        <v>12565.09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8010</v>
      </c>
      <c r="I585" s="18"/>
      <c r="J585" s="18"/>
      <c r="K585" s="104">
        <f t="shared" si="47"/>
        <v>8010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322450.78000000003</v>
      </c>
      <c r="I588" s="108">
        <f>SUM(I581:I587)</f>
        <v>0</v>
      </c>
      <c r="J588" s="108">
        <f>SUM(J581:J587)</f>
        <v>171067.64</v>
      </c>
      <c r="K588" s="108">
        <f>SUM(K581:K587)</f>
        <v>493518.42000000004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199808.13</v>
      </c>
      <c r="I594" s="18"/>
      <c r="J594" s="18">
        <v>6270.45</v>
      </c>
      <c r="K594" s="104">
        <f>SUM(H594:J594)</f>
        <v>206078.58000000002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199808.13</v>
      </c>
      <c r="I595" s="108">
        <f>SUM(I592:I594)</f>
        <v>0</v>
      </c>
      <c r="J595" s="108">
        <f>SUM(J592:J594)</f>
        <v>6270.45</v>
      </c>
      <c r="K595" s="108">
        <f>SUM(K592:K594)</f>
        <v>206078.58000000002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10414.32</v>
      </c>
      <c r="G601" s="18">
        <v>1777.36</v>
      </c>
      <c r="H601" s="18">
        <v>0</v>
      </c>
      <c r="I601" s="18">
        <v>311.48</v>
      </c>
      <c r="J601" s="18">
        <v>0</v>
      </c>
      <c r="K601" s="18">
        <v>0</v>
      </c>
      <c r="L601" s="88">
        <f>SUM(F601:K601)</f>
        <v>12503.16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10414.32</v>
      </c>
      <c r="G604" s="108">
        <f t="shared" si="48"/>
        <v>1777.36</v>
      </c>
      <c r="H604" s="108">
        <f t="shared" si="48"/>
        <v>0</v>
      </c>
      <c r="I604" s="108">
        <f t="shared" si="48"/>
        <v>311.48</v>
      </c>
      <c r="J604" s="108">
        <f t="shared" si="48"/>
        <v>0</v>
      </c>
      <c r="K604" s="108">
        <f t="shared" si="48"/>
        <v>0</v>
      </c>
      <c r="L604" s="89">
        <f t="shared" si="48"/>
        <v>12503.16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799103.15</v>
      </c>
      <c r="H607" s="109">
        <f>SUM(F44)</f>
        <v>799103.14999999991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57529.820000000007</v>
      </c>
      <c r="H608" s="109">
        <f>SUM(G44)</f>
        <v>57529.82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166856.41</v>
      </c>
      <c r="H609" s="109">
        <f>SUM(H44)</f>
        <v>166856.41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194874.83</v>
      </c>
      <c r="H610" s="109">
        <f>SUM(I44)</f>
        <v>194874.83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930549.48</v>
      </c>
      <c r="H611" s="109">
        <f>SUM(J44)</f>
        <v>930549.48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649967.97</v>
      </c>
      <c r="H612" s="109">
        <f>F466</f>
        <v>649967.97000000067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11103.56</v>
      </c>
      <c r="H613" s="109">
        <f>G466</f>
        <v>11103.559999999998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52510.09</v>
      </c>
      <c r="H615" s="109">
        <f>I466</f>
        <v>52510.09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883630.16999999993</v>
      </c>
      <c r="H616" s="109">
        <f>J466</f>
        <v>883630.17000000016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11883043.529999999</v>
      </c>
      <c r="H617" s="104">
        <f>SUM(F458)</f>
        <v>11883043.529999999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221585.8</v>
      </c>
      <c r="H618" s="104">
        <f>SUM(G458)</f>
        <v>221585.8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391707.49</v>
      </c>
      <c r="H619" s="104">
        <f>SUM(H458)</f>
        <v>391707.49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531.25</v>
      </c>
      <c r="H620" s="104">
        <f>SUM(I458)</f>
        <v>531.25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185387.12</v>
      </c>
      <c r="H621" s="104">
        <f>SUM(J458)</f>
        <v>185387.12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12430219.439999999</v>
      </c>
      <c r="H622" s="104">
        <f>SUM(F462)</f>
        <v>12430219.439999999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391707.49000000005</v>
      </c>
      <c r="H623" s="104">
        <f>SUM(H462)</f>
        <v>391707.49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99204.7</v>
      </c>
      <c r="H624" s="104">
        <f>I361</f>
        <v>99204.7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239225.04999999996</v>
      </c>
      <c r="H625" s="104">
        <f>SUM(G462)</f>
        <v>239225.05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185387.12</v>
      </c>
      <c r="H627" s="164">
        <f>SUM(J458)</f>
        <v>185387.12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293030.26</v>
      </c>
      <c r="H628" s="164">
        <f>SUM(J462)</f>
        <v>293030.26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317420.03000000003</v>
      </c>
      <c r="H629" s="104">
        <f>SUM(F451)</f>
        <v>317420.02999999997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613129.44999999995</v>
      </c>
      <c r="H630" s="104">
        <f>SUM(G451)</f>
        <v>613129.44999999995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930549.48</v>
      </c>
      <c r="H632" s="104">
        <f>SUM(I451)</f>
        <v>930549.48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5387.12</v>
      </c>
      <c r="H634" s="104">
        <f>H400</f>
        <v>5387.1200000000008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180000</v>
      </c>
      <c r="H635" s="104">
        <f>G400</f>
        <v>180000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185387.12</v>
      </c>
      <c r="H636" s="104">
        <f>L400</f>
        <v>185387.12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493518.42000000004</v>
      </c>
      <c r="H637" s="104">
        <f>L200+L218+L236</f>
        <v>493518.42000000004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206078.58000000002</v>
      </c>
      <c r="H638" s="104">
        <f>(J249+J330)-(J247+J328)</f>
        <v>206078.58000000002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322450.78000000003</v>
      </c>
      <c r="H639" s="104">
        <f>H588</f>
        <v>322450.78000000003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171067.64</v>
      </c>
      <c r="H641" s="104">
        <f>J588</f>
        <v>171067.64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180000</v>
      </c>
      <c r="H645" s="104">
        <f>K258+K339</f>
        <v>180000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7951838.1499999994</v>
      </c>
      <c r="G650" s="19">
        <f>(L221+L301+L351)</f>
        <v>0</v>
      </c>
      <c r="H650" s="19">
        <f>(L239+L320+L352)</f>
        <v>3846596.33</v>
      </c>
      <c r="I650" s="19">
        <f>SUM(F650:H650)</f>
        <v>11798434.48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125641.66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125641.66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322990.78000000003</v>
      </c>
      <c r="G652" s="19">
        <f>(L218+L298)-(J218+J298)</f>
        <v>0</v>
      </c>
      <c r="H652" s="19">
        <f>(L236+L317)-(J236+J317)</f>
        <v>171067.64</v>
      </c>
      <c r="I652" s="19">
        <f>SUM(F652:H652)</f>
        <v>494058.42000000004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255835.30000000002</v>
      </c>
      <c r="G653" s="200">
        <f>SUM(G565:G577)+SUM(I592:I594)+L602</f>
        <v>0</v>
      </c>
      <c r="H653" s="200">
        <f>SUM(H565:H577)+SUM(J592:J594)+L603</f>
        <v>3473108.5</v>
      </c>
      <c r="I653" s="19">
        <f>SUM(F653:H653)</f>
        <v>3728943.8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7247370.4099999992</v>
      </c>
      <c r="G654" s="19">
        <f>G650-SUM(G651:G653)</f>
        <v>0</v>
      </c>
      <c r="H654" s="19">
        <f>H650-SUM(H651:H653)</f>
        <v>202420.18999999994</v>
      </c>
      <c r="I654" s="19">
        <f>I650-SUM(I651:I653)</f>
        <v>7449790.6000000006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514.69000000000005</v>
      </c>
      <c r="G655" s="249"/>
      <c r="H655" s="249"/>
      <c r="I655" s="19">
        <f>SUM(F655:H655)</f>
        <v>514.69000000000005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14081.04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14474.33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-202420.19</v>
      </c>
      <c r="I659" s="19">
        <f>SUM(F659:H659)</f>
        <v>-202420.19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14081.04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14081.04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51050-EB37-4788-BE58-1B92FDF68805}">
  <sheetPr>
    <tabColor indexed="20"/>
  </sheetPr>
  <dimension ref="A1:C52"/>
  <sheetViews>
    <sheetView topLeftCell="A31" workbookViewId="0">
      <selection activeCell="B38" sqref="B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Alton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2265130.7599999998</v>
      </c>
      <c r="C9" s="230">
        <f>'DOE25'!G189+'DOE25'!G207+'DOE25'!G225+'DOE25'!G268+'DOE25'!G287+'DOE25'!G306</f>
        <v>887640.7</v>
      </c>
    </row>
    <row r="10" spans="1:3" x14ac:dyDescent="0.2">
      <c r="A10" t="s">
        <v>810</v>
      </c>
      <c r="B10" s="241">
        <v>2028877.33</v>
      </c>
      <c r="C10" s="241">
        <f>317925.09+335267</f>
        <v>653192.09000000008</v>
      </c>
    </row>
    <row r="11" spans="1:3" x14ac:dyDescent="0.2">
      <c r="A11" t="s">
        <v>811</v>
      </c>
      <c r="B11" s="241">
        <v>143430.85999999999</v>
      </c>
      <c r="C11" s="241">
        <f>24110.73+195792.58</f>
        <v>219903.31</v>
      </c>
    </row>
    <row r="12" spans="1:3" x14ac:dyDescent="0.2">
      <c r="A12" t="s">
        <v>812</v>
      </c>
      <c r="B12" s="241">
        <v>92822.57</v>
      </c>
      <c r="C12" s="241">
        <v>14545.3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2265130.7599999998</v>
      </c>
      <c r="C13" s="232">
        <f>SUM(C10:C12)</f>
        <v>887640.70000000019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1112640.6100000001</v>
      </c>
      <c r="C18" s="230">
        <f>'DOE25'!G190+'DOE25'!G208+'DOE25'!G226+'DOE25'!G269+'DOE25'!G288+'DOE25'!G307</f>
        <v>414934.19000000006</v>
      </c>
    </row>
    <row r="19" spans="1:3" x14ac:dyDescent="0.2">
      <c r="A19" t="s">
        <v>810</v>
      </c>
      <c r="B19" s="241">
        <v>601102.56000000006</v>
      </c>
      <c r="C19" s="241">
        <v>210431.32</v>
      </c>
    </row>
    <row r="20" spans="1:3" x14ac:dyDescent="0.2">
      <c r="A20" t="s">
        <v>811</v>
      </c>
      <c r="B20" s="241">
        <v>502062.43</v>
      </c>
      <c r="C20" s="241">
        <v>202492.72</v>
      </c>
    </row>
    <row r="21" spans="1:3" x14ac:dyDescent="0.2">
      <c r="A21" t="s">
        <v>812</v>
      </c>
      <c r="B21" s="241">
        <v>9475.6200000000008</v>
      </c>
      <c r="C21" s="241">
        <v>2010.15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1112640.6100000001</v>
      </c>
      <c r="C22" s="232">
        <f>SUM(C19:C21)</f>
        <v>414934.19000000006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42074.33</v>
      </c>
      <c r="C36" s="236">
        <f>'DOE25'!G192+'DOE25'!G210+'DOE25'!G228+'DOE25'!G271+'DOE25'!G290+'DOE25'!G309</f>
        <v>5547.71</v>
      </c>
    </row>
    <row r="37" spans="1:3" x14ac:dyDescent="0.2">
      <c r="A37" t="s">
        <v>810</v>
      </c>
      <c r="B37" s="241">
        <v>10768.75</v>
      </c>
      <c r="C37" s="241">
        <v>1687.47</v>
      </c>
    </row>
    <row r="38" spans="1:3" x14ac:dyDescent="0.2">
      <c r="A38" t="s">
        <v>811</v>
      </c>
      <c r="B38" s="241">
        <v>3445.57</v>
      </c>
      <c r="C38" s="241">
        <v>579.21</v>
      </c>
    </row>
    <row r="39" spans="1:3" x14ac:dyDescent="0.2">
      <c r="A39" t="s">
        <v>812</v>
      </c>
      <c r="B39" s="241">
        <v>27860.01</v>
      </c>
      <c r="C39" s="241">
        <v>3281.03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42074.33</v>
      </c>
      <c r="C40" s="232">
        <f>SUM(C37:C39)</f>
        <v>5547.7100000000009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BB96-CBB0-45F4-81B2-52E7100DE882}">
  <sheetPr>
    <tabColor indexed="11"/>
  </sheetPr>
  <dimension ref="A1:I51"/>
  <sheetViews>
    <sheetView workbookViewId="0">
      <pane ySplit="4" topLeftCell="A18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Alton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8592579.5</v>
      </c>
      <c r="D5" s="20">
        <f>SUM('DOE25'!L189:L192)+SUM('DOE25'!L207:L210)+SUM('DOE25'!L225:L228)-F5-G5</f>
        <v>8449550.5899999999</v>
      </c>
      <c r="E5" s="244"/>
      <c r="F5" s="256">
        <f>SUM('DOE25'!J189:J192)+SUM('DOE25'!J207:J210)+SUM('DOE25'!J225:J228)</f>
        <v>111908.5</v>
      </c>
      <c r="G5" s="53">
        <f>SUM('DOE25'!K189:K192)+SUM('DOE25'!K207:K210)+SUM('DOE25'!K225:K228)</f>
        <v>31120.41</v>
      </c>
      <c r="H5" s="260"/>
    </row>
    <row r="6" spans="1:9" x14ac:dyDescent="0.2">
      <c r="A6" s="32">
        <v>2100</v>
      </c>
      <c r="B6" t="s">
        <v>832</v>
      </c>
      <c r="C6" s="246">
        <f t="shared" si="0"/>
        <v>389988.92</v>
      </c>
      <c r="D6" s="20">
        <f>'DOE25'!L194+'DOE25'!L212+'DOE25'!L230-F6-G6</f>
        <v>387570.92</v>
      </c>
      <c r="E6" s="244"/>
      <c r="F6" s="256">
        <f>'DOE25'!J194+'DOE25'!J212+'DOE25'!J230</f>
        <v>2378</v>
      </c>
      <c r="G6" s="53">
        <f>'DOE25'!K194+'DOE25'!K212+'DOE25'!K230</f>
        <v>40</v>
      </c>
      <c r="H6" s="260"/>
    </row>
    <row r="7" spans="1:9" x14ac:dyDescent="0.2">
      <c r="A7" s="32">
        <v>2200</v>
      </c>
      <c r="B7" t="s">
        <v>865</v>
      </c>
      <c r="C7" s="246">
        <f t="shared" si="0"/>
        <v>199458.97</v>
      </c>
      <c r="D7" s="20">
        <f>'DOE25'!L195+'DOE25'!L213+'DOE25'!L231-F7-G7</f>
        <v>191225.66</v>
      </c>
      <c r="E7" s="244"/>
      <c r="F7" s="256">
        <f>'DOE25'!J195+'DOE25'!J213+'DOE25'!J231</f>
        <v>2057.0100000000002</v>
      </c>
      <c r="G7" s="53">
        <f>'DOE25'!K195+'DOE25'!K213+'DOE25'!K231</f>
        <v>6176.3</v>
      </c>
      <c r="H7" s="260"/>
    </row>
    <row r="8" spans="1:9" x14ac:dyDescent="0.2">
      <c r="A8" s="32">
        <v>2300</v>
      </c>
      <c r="B8" t="s">
        <v>833</v>
      </c>
      <c r="C8" s="246">
        <f t="shared" si="0"/>
        <v>30574.73999999998</v>
      </c>
      <c r="D8" s="244"/>
      <c r="E8" s="20">
        <f>'DOE25'!L196+'DOE25'!L214+'DOE25'!L232-F8-G8-D9-D11</f>
        <v>24855.25999999998</v>
      </c>
      <c r="F8" s="256">
        <f>'DOE25'!J196+'DOE25'!J214+'DOE25'!J232</f>
        <v>990.29</v>
      </c>
      <c r="G8" s="53">
        <f>'DOE25'!K196+'DOE25'!K214+'DOE25'!K232</f>
        <v>4729.1899999999996</v>
      </c>
      <c r="H8" s="260"/>
    </row>
    <row r="9" spans="1:9" x14ac:dyDescent="0.2">
      <c r="A9" s="32">
        <v>2310</v>
      </c>
      <c r="B9" t="s">
        <v>849</v>
      </c>
      <c r="C9" s="246">
        <f t="shared" si="0"/>
        <v>59057.1</v>
      </c>
      <c r="D9" s="245">
        <v>59057.1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11026</v>
      </c>
      <c r="D10" s="244"/>
      <c r="E10" s="245">
        <v>11026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159227.1</v>
      </c>
      <c r="D11" s="245">
        <v>159227.1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325572.24999999994</v>
      </c>
      <c r="D12" s="20">
        <f>'DOE25'!L197+'DOE25'!L215+'DOE25'!L233-F12-G12</f>
        <v>323924.27999999997</v>
      </c>
      <c r="E12" s="244"/>
      <c r="F12" s="256">
        <f>'DOE25'!J197+'DOE25'!J215+'DOE25'!J233</f>
        <v>274.97000000000003</v>
      </c>
      <c r="G12" s="53">
        <f>'DOE25'!K197+'DOE25'!K215+'DOE25'!K233</f>
        <v>1373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109012.27</v>
      </c>
      <c r="D13" s="244"/>
      <c r="E13" s="20">
        <f>'DOE25'!L198+'DOE25'!L216+'DOE25'!L234-F13-G13</f>
        <v>98838.27</v>
      </c>
      <c r="F13" s="256">
        <f>'DOE25'!J198+'DOE25'!J216+'DOE25'!J234</f>
        <v>0</v>
      </c>
      <c r="G13" s="53">
        <f>'DOE25'!K198+'DOE25'!K216+'DOE25'!K234</f>
        <v>10174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808512.67</v>
      </c>
      <c r="D14" s="20">
        <f>'DOE25'!L199+'DOE25'!L217+'DOE25'!L235-F14-G14</f>
        <v>769027.81</v>
      </c>
      <c r="E14" s="244"/>
      <c r="F14" s="256">
        <f>'DOE25'!J199+'DOE25'!J217+'DOE25'!J235</f>
        <v>39484.86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493518.42000000004</v>
      </c>
      <c r="D15" s="20">
        <f>'DOE25'!L200+'DOE25'!L218+'DOE25'!L236-F15-G15</f>
        <v>493518.42000000004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1750</v>
      </c>
      <c r="D22" s="244"/>
      <c r="E22" s="244"/>
      <c r="F22" s="256">
        <f>'DOE25'!L247+'DOE25'!L328</f>
        <v>1750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1080967.5</v>
      </c>
      <c r="D25" s="244"/>
      <c r="E25" s="244"/>
      <c r="F25" s="259"/>
      <c r="G25" s="257"/>
      <c r="H25" s="258">
        <f>'DOE25'!L252+'DOE25'!L253+'DOE25'!L333+'DOE25'!L334</f>
        <v>1080967.5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148285.04999999996</v>
      </c>
      <c r="D29" s="20">
        <f>'DOE25'!L350+'DOE25'!L351+'DOE25'!L352-'DOE25'!I359-F29-G29</f>
        <v>142230.45999999996</v>
      </c>
      <c r="E29" s="244"/>
      <c r="F29" s="256">
        <f>'DOE25'!J350+'DOE25'!J351+'DOE25'!J352</f>
        <v>5136.59</v>
      </c>
      <c r="G29" s="53">
        <f>'DOE25'!K350+'DOE25'!K351+'DOE25'!K352</f>
        <v>918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391707.49000000005</v>
      </c>
      <c r="D31" s="20">
        <f>'DOE25'!L282+'DOE25'!L301+'DOE25'!L320+'DOE25'!L325+'DOE25'!L326+'DOE25'!L327-F31-G31</f>
        <v>342572.54000000004</v>
      </c>
      <c r="E31" s="244"/>
      <c r="F31" s="256">
        <f>'DOE25'!J282+'DOE25'!J301+'DOE25'!J320+'DOE25'!J325+'DOE25'!J326+'DOE25'!J327</f>
        <v>48984.950000000004</v>
      </c>
      <c r="G31" s="53">
        <f>'DOE25'!K282+'DOE25'!K301+'DOE25'!K320+'DOE25'!K325+'DOE25'!K326+'DOE25'!K327</f>
        <v>150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11317904.879999999</v>
      </c>
      <c r="E33" s="247">
        <f>SUM(E5:E31)</f>
        <v>134719.52999999997</v>
      </c>
      <c r="F33" s="247">
        <f>SUM(F5:F31)</f>
        <v>212965.17</v>
      </c>
      <c r="G33" s="247">
        <f>SUM(G5:G31)</f>
        <v>54680.9</v>
      </c>
      <c r="H33" s="247">
        <f>SUM(H5:H31)</f>
        <v>1080967.5</v>
      </c>
    </row>
    <row r="35" spans="2:8" ht="12" thickBot="1" x14ac:dyDescent="0.25">
      <c r="B35" s="254" t="s">
        <v>878</v>
      </c>
      <c r="D35" s="255">
        <f>E33</f>
        <v>134719.52999999997</v>
      </c>
      <c r="E35" s="250"/>
    </row>
    <row r="36" spans="2:8" ht="12" thickTop="1" x14ac:dyDescent="0.2">
      <c r="B36" t="s">
        <v>846</v>
      </c>
      <c r="D36" s="20">
        <f>D33</f>
        <v>11317904.879999999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3B7B4-D75C-4757-B001-BFF3AB6FA467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C133" sqref="C133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Alton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340165.28</v>
      </c>
      <c r="D9" s="95">
        <f>'DOE25'!G9</f>
        <v>112</v>
      </c>
      <c r="E9" s="95">
        <f>'DOE25'!H9</f>
        <v>0</v>
      </c>
      <c r="F9" s="95">
        <f>'DOE25'!I9</f>
        <v>194874.83</v>
      </c>
      <c r="G9" s="95">
        <f>'DOE25'!J9</f>
        <v>930549.48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50048.05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339690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69247.87</v>
      </c>
      <c r="D13" s="95">
        <f>'DOE25'!G13</f>
        <v>7369.77</v>
      </c>
      <c r="E13" s="95">
        <f>'DOE25'!H13</f>
        <v>166856.41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50000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799103.15</v>
      </c>
      <c r="D19" s="41">
        <f>SUM(D9:D18)</f>
        <v>57529.820000000007</v>
      </c>
      <c r="E19" s="41">
        <f>SUM(E9:E18)</f>
        <v>166856.41</v>
      </c>
      <c r="F19" s="41">
        <f>SUM(F9:F18)</f>
        <v>194874.83</v>
      </c>
      <c r="G19" s="41">
        <f>SUM(G9:G18)</f>
        <v>930549.48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43858.87</v>
      </c>
      <c r="E22" s="95">
        <f>'DOE25'!H23</f>
        <v>153466.4</v>
      </c>
      <c r="F22" s="95">
        <f>'DOE25'!I23</f>
        <v>142364.74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96718.36</v>
      </c>
      <c r="D24" s="95">
        <f>'DOE25'!G25</f>
        <v>0</v>
      </c>
      <c r="E24" s="95">
        <f>'DOE25'!H25</f>
        <v>7089.44</v>
      </c>
      <c r="F24" s="95">
        <f>'DOE25'!I25</f>
        <v>0</v>
      </c>
      <c r="G24" s="95">
        <f>'DOE25'!J25</f>
        <v>46919.31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52416.82</v>
      </c>
      <c r="D28" s="95">
        <f>'DOE25'!G29</f>
        <v>2567.39</v>
      </c>
      <c r="E28" s="95">
        <f>'DOE25'!H29</f>
        <v>6300.57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149135.18</v>
      </c>
      <c r="D32" s="41">
        <f>SUM(D22:D31)</f>
        <v>46426.26</v>
      </c>
      <c r="E32" s="41">
        <f>SUM(E22:E31)</f>
        <v>166856.41</v>
      </c>
      <c r="F32" s="41">
        <f>SUM(F22:F31)</f>
        <v>142364.74</v>
      </c>
      <c r="G32" s="41">
        <f>SUM(G22:G31)</f>
        <v>46919.31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50000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11103.56</v>
      </c>
      <c r="E40" s="95">
        <f>'DOE25'!H41</f>
        <v>0</v>
      </c>
      <c r="F40" s="95">
        <f>'DOE25'!I41</f>
        <v>52510.09</v>
      </c>
      <c r="G40" s="95">
        <f>'DOE25'!J41</f>
        <v>883630.16999999993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599967.97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649967.97</v>
      </c>
      <c r="D42" s="41">
        <f>SUM(D34:D41)</f>
        <v>11103.56</v>
      </c>
      <c r="E42" s="41">
        <f>SUM(E34:E41)</f>
        <v>0</v>
      </c>
      <c r="F42" s="41">
        <f>SUM(F34:F41)</f>
        <v>52510.09</v>
      </c>
      <c r="G42" s="41">
        <f>SUM(G34:G41)</f>
        <v>883630.16999999993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799103.14999999991</v>
      </c>
      <c r="D43" s="41">
        <f>D42+D32</f>
        <v>57529.82</v>
      </c>
      <c r="E43" s="41">
        <f>E42+E32</f>
        <v>166856.41</v>
      </c>
      <c r="F43" s="41">
        <f>F42+F32</f>
        <v>194874.83</v>
      </c>
      <c r="G43" s="41">
        <f>G42+G32</f>
        <v>930549.48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7557771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840.1</v>
      </c>
      <c r="D51" s="95">
        <f>'DOE25'!G88</f>
        <v>201.3</v>
      </c>
      <c r="E51" s="95">
        <f>'DOE25'!H88</f>
        <v>0</v>
      </c>
      <c r="F51" s="95">
        <f>'DOE25'!I88</f>
        <v>531.25</v>
      </c>
      <c r="G51" s="95">
        <f>'DOE25'!J88</f>
        <v>5387.12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125641.66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78904.73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79744.83</v>
      </c>
      <c r="D54" s="130">
        <f>SUM(D49:D53)</f>
        <v>125842.96</v>
      </c>
      <c r="E54" s="130">
        <f>SUM(E49:E53)</f>
        <v>0</v>
      </c>
      <c r="F54" s="130">
        <f>SUM(F49:F53)</f>
        <v>531.25</v>
      </c>
      <c r="G54" s="130">
        <f>SUM(G49:G53)</f>
        <v>5387.12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7637515.8300000001</v>
      </c>
      <c r="D55" s="22">
        <f>D48+D54</f>
        <v>125842.96</v>
      </c>
      <c r="E55" s="22">
        <f>E48+E54</f>
        <v>0</v>
      </c>
      <c r="F55" s="22">
        <f>F48+F54</f>
        <v>531.25</v>
      </c>
      <c r="G55" s="22">
        <f>G48+G54</f>
        <v>5387.12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3600436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3600436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391913.14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89874.77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2803.89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481787.91000000003</v>
      </c>
      <c r="D70" s="130">
        <f>SUM(D64:D69)</f>
        <v>2803.89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4082223.91</v>
      </c>
      <c r="D73" s="130">
        <f>SUM(D71:D72)+D70+D62</f>
        <v>2803.89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12915.42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159811.84</v>
      </c>
      <c r="D80" s="95">
        <f>SUM('DOE25'!G145:G153)</f>
        <v>80023.53</v>
      </c>
      <c r="E80" s="95">
        <f>SUM('DOE25'!H145:H153)</f>
        <v>391707.49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159811.84</v>
      </c>
      <c r="D83" s="131">
        <f>SUM(D77:D82)</f>
        <v>92938.95</v>
      </c>
      <c r="E83" s="131">
        <f>SUM(E77:E82)</f>
        <v>391707.49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180000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3491.95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3491.95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180000</v>
      </c>
    </row>
    <row r="96" spans="1:7" ht="12.75" thickTop="1" thickBot="1" x14ac:dyDescent="0.25">
      <c r="A96" s="33" t="s">
        <v>796</v>
      </c>
      <c r="C96" s="86">
        <f>C55+C73+C83+C95</f>
        <v>11883043.529999999</v>
      </c>
      <c r="D96" s="86">
        <f>D55+D73+D83+D95</f>
        <v>221585.8</v>
      </c>
      <c r="E96" s="86">
        <f>E55+E73+E83+E95</f>
        <v>391707.49</v>
      </c>
      <c r="F96" s="86">
        <f>F55+F73+F83+F95</f>
        <v>531.25</v>
      </c>
      <c r="G96" s="86">
        <f>G55+G73+G95</f>
        <v>185387.12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6703275.5199999996</v>
      </c>
      <c r="D101" s="24" t="s">
        <v>312</v>
      </c>
      <c r="E101" s="95">
        <f>('DOE25'!L268)+('DOE25'!L287)+('DOE25'!L306)</f>
        <v>69854.960000000006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1820860.0299999998</v>
      </c>
      <c r="D102" s="24" t="s">
        <v>312</v>
      </c>
      <c r="E102" s="95">
        <f>('DOE25'!L269)+('DOE25'!L288)+('DOE25'!L307)</f>
        <v>206287.33000000002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68443.95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8592579.4999999981</v>
      </c>
      <c r="D107" s="86">
        <f>SUM(D101:D106)</f>
        <v>0</v>
      </c>
      <c r="E107" s="86">
        <f>SUM(E101:E106)</f>
        <v>276142.29000000004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389988.92</v>
      </c>
      <c r="D110" s="24" t="s">
        <v>312</v>
      </c>
      <c r="E110" s="95">
        <f>+('DOE25'!L273)+('DOE25'!L292)+('DOE25'!L311)</f>
        <v>76134.149999999994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199458.97</v>
      </c>
      <c r="D111" s="24" t="s">
        <v>312</v>
      </c>
      <c r="E111" s="95">
        <f>+('DOE25'!L274)+('DOE25'!L293)+('DOE25'!L312)</f>
        <v>38891.049999999996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248858.94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325572.24999999994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109012.27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808512.67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493518.42000000004</v>
      </c>
      <c r="D116" s="24" t="s">
        <v>312</v>
      </c>
      <c r="E116" s="95">
        <f>+('DOE25'!L279)+('DOE25'!L298)+('DOE25'!L317)</f>
        <v>540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239225.04999999996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2574922.44</v>
      </c>
      <c r="D120" s="86">
        <f>SUM(D110:D119)</f>
        <v>239225.04999999996</v>
      </c>
      <c r="E120" s="86">
        <f>SUM(E110:E119)</f>
        <v>115565.19999999998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1750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963000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117967.5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3491.95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937.76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184449.36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-5387.1199999999953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1262717.5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3491.95</v>
      </c>
    </row>
    <row r="137" spans="1:9" ht="12.75" thickTop="1" thickBot="1" x14ac:dyDescent="0.25">
      <c r="A137" s="33" t="s">
        <v>267</v>
      </c>
      <c r="C137" s="86">
        <f>(C107+C120+C136)</f>
        <v>12430219.439999998</v>
      </c>
      <c r="D137" s="86">
        <f>(D107+D120+D136)</f>
        <v>239225.04999999996</v>
      </c>
      <c r="E137" s="86">
        <f>(E107+E120+E136)</f>
        <v>391707.49</v>
      </c>
      <c r="F137" s="86">
        <f>(F107+F120+F136)</f>
        <v>0</v>
      </c>
      <c r="G137" s="86">
        <f>(G107+G120+G136)</f>
        <v>3491.95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07/02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08/12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9633000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4.9000000000000004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2889000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2889000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963000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963000</v>
      </c>
    </row>
    <row r="151" spans="1:7" x14ac:dyDescent="0.2">
      <c r="A151" s="22" t="s">
        <v>35</v>
      </c>
      <c r="B151" s="137">
        <f>'DOE25'!F488</f>
        <v>1926000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1926000</v>
      </c>
    </row>
    <row r="152" spans="1:7" x14ac:dyDescent="0.2">
      <c r="A152" s="22" t="s">
        <v>36</v>
      </c>
      <c r="B152" s="137">
        <f>'DOE25'!F489</f>
        <v>94374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94374</v>
      </c>
    </row>
    <row r="153" spans="1:7" x14ac:dyDescent="0.2">
      <c r="A153" s="22" t="s">
        <v>37</v>
      </c>
      <c r="B153" s="137">
        <f>'DOE25'!F490</f>
        <v>2020374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2020374</v>
      </c>
    </row>
    <row r="154" spans="1:7" x14ac:dyDescent="0.2">
      <c r="A154" s="22" t="s">
        <v>38</v>
      </c>
      <c r="B154" s="137">
        <f>'DOE25'!F491</f>
        <v>963000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963000</v>
      </c>
    </row>
    <row r="155" spans="1:7" x14ac:dyDescent="0.2">
      <c r="A155" s="22" t="s">
        <v>39</v>
      </c>
      <c r="B155" s="137">
        <f>'DOE25'!F492</f>
        <v>70780.5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70780.5</v>
      </c>
    </row>
    <row r="156" spans="1:7" x14ac:dyDescent="0.2">
      <c r="A156" s="22" t="s">
        <v>269</v>
      </c>
      <c r="B156" s="137">
        <f>'DOE25'!F493</f>
        <v>1033780.5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1033780.5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1244-B2C7-4F3D-83A9-59C8F8D020B5}">
  <sheetPr codeName="Sheet3">
    <tabColor indexed="43"/>
  </sheetPr>
  <dimension ref="A1:D42"/>
  <sheetViews>
    <sheetView topLeftCell="A13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Alton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14081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14081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6773130</v>
      </c>
      <c r="D10" s="182">
        <f>ROUND((C10/$C$28)*100,1)</f>
        <v>57.4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2027147</v>
      </c>
      <c r="D11" s="182">
        <f>ROUND((C11/$C$28)*100,1)</f>
        <v>17.2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68444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466123</v>
      </c>
      <c r="D15" s="182">
        <f t="shared" ref="D15:D27" si="0">ROUND((C15/$C$28)*100,1)</f>
        <v>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238350</v>
      </c>
      <c r="D16" s="182">
        <f t="shared" si="0"/>
        <v>2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248859</v>
      </c>
      <c r="D17" s="182">
        <f t="shared" si="0"/>
        <v>2.1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325572</v>
      </c>
      <c r="D18" s="182">
        <f t="shared" si="0"/>
        <v>2.8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109012</v>
      </c>
      <c r="D19" s="182">
        <f t="shared" si="0"/>
        <v>0.9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808513</v>
      </c>
      <c r="D20" s="182">
        <f t="shared" si="0"/>
        <v>6.9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494058</v>
      </c>
      <c r="D21" s="182">
        <f t="shared" si="0"/>
        <v>4.2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117968</v>
      </c>
      <c r="D25" s="182">
        <f t="shared" si="0"/>
        <v>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113583.34</v>
      </c>
      <c r="D27" s="182">
        <f t="shared" si="0"/>
        <v>1</v>
      </c>
    </row>
    <row r="28" spans="1:4" x14ac:dyDescent="0.2">
      <c r="B28" s="187" t="s">
        <v>754</v>
      </c>
      <c r="C28" s="180">
        <f>SUM(C10:C27)</f>
        <v>11790759.34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1750</v>
      </c>
    </row>
    <row r="30" spans="1:4" x14ac:dyDescent="0.2">
      <c r="B30" s="187" t="s">
        <v>760</v>
      </c>
      <c r="C30" s="180">
        <f>SUM(C28:C29)</f>
        <v>11792509.34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963000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7557771</v>
      </c>
      <c r="D35" s="182">
        <f t="shared" ref="D35:D40" si="1">ROUND((C35/$C$41)*100,1)</f>
        <v>61.1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85864.5</v>
      </c>
      <c r="D36" s="182">
        <f t="shared" si="1"/>
        <v>0.7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3600436</v>
      </c>
      <c r="D37" s="182">
        <f t="shared" si="1"/>
        <v>29.1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484592</v>
      </c>
      <c r="D38" s="182">
        <f t="shared" si="1"/>
        <v>3.9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644458</v>
      </c>
      <c r="D39" s="182">
        <f t="shared" si="1"/>
        <v>5.2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12373121.5</v>
      </c>
      <c r="D41" s="184">
        <f>SUM(D35:D40)</f>
        <v>100.00000000000001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0824D-FBF5-493C-ABB6-46AD1D531F16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Alton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2011-11-04T17:47:27Z</cp:lastPrinted>
  <dcterms:created xsi:type="dcterms:W3CDTF">1997-12-04T19:04:30Z</dcterms:created>
  <dcterms:modified xsi:type="dcterms:W3CDTF">2025-01-09T20:36:51Z</dcterms:modified>
</cp:coreProperties>
</file>