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84F7C0A-EB97-4212-90BA-43500CDAE990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2F6ABADB-6489-44B7-991D-7F924B76CBB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6" i="1" l="1"/>
  <c r="H449" i="1"/>
  <c r="G449" i="1"/>
  <c r="I41" i="1"/>
  <c r="I43" i="1" s="1"/>
  <c r="G41" i="1"/>
  <c r="G43" i="1" s="1"/>
  <c r="H531" i="1"/>
  <c r="L531" i="1" s="1"/>
  <c r="G492" i="1"/>
  <c r="G493" i="1" s="1"/>
  <c r="F492" i="1"/>
  <c r="B10" i="12"/>
  <c r="L268" i="1"/>
  <c r="E101" i="2" s="1"/>
  <c r="B21" i="12"/>
  <c r="B19" i="12"/>
  <c r="B20" i="12"/>
  <c r="I511" i="1"/>
  <c r="L511" i="1" s="1"/>
  <c r="L516" i="1"/>
  <c r="L519" i="1" s="1"/>
  <c r="I514" i="1"/>
  <c r="H522" i="1"/>
  <c r="H521" i="1"/>
  <c r="L521" i="1" s="1"/>
  <c r="L522" i="1"/>
  <c r="H540" i="1"/>
  <c r="F511" i="1"/>
  <c r="H269" i="1"/>
  <c r="H288" i="1"/>
  <c r="F288" i="1"/>
  <c r="F12" i="1"/>
  <c r="C12" i="2" s="1"/>
  <c r="F9" i="1"/>
  <c r="F19" i="1" s="1"/>
  <c r="G607" i="1" s="1"/>
  <c r="H247" i="1"/>
  <c r="H248" i="1" s="1"/>
  <c r="L248" i="1" s="1"/>
  <c r="H217" i="1"/>
  <c r="G213" i="1"/>
  <c r="F462" i="1"/>
  <c r="F464" i="1" s="1"/>
  <c r="J462" i="1"/>
  <c r="J464" i="1" s="1"/>
  <c r="J466" i="1" s="1"/>
  <c r="H616" i="1" s="1"/>
  <c r="J458" i="1"/>
  <c r="K421" i="1"/>
  <c r="H433" i="1"/>
  <c r="I433" i="1"/>
  <c r="G360" i="1"/>
  <c r="I360" i="1" s="1"/>
  <c r="F360" i="1"/>
  <c r="J288" i="1"/>
  <c r="J301" i="1" s="1"/>
  <c r="L288" i="1"/>
  <c r="L301" i="1" s="1"/>
  <c r="J269" i="1"/>
  <c r="J219" i="1"/>
  <c r="I194" i="1"/>
  <c r="J247" i="1"/>
  <c r="J248" i="1"/>
  <c r="J201" i="1"/>
  <c r="I219" i="1"/>
  <c r="I201" i="1"/>
  <c r="H219" i="1"/>
  <c r="H199" i="1"/>
  <c r="H214" i="1"/>
  <c r="H196" i="1"/>
  <c r="G214" i="1"/>
  <c r="G196" i="1"/>
  <c r="F214" i="1"/>
  <c r="F196" i="1"/>
  <c r="L196" i="1" s="1"/>
  <c r="I208" i="1"/>
  <c r="L208" i="1" s="1"/>
  <c r="I190" i="1"/>
  <c r="H208" i="1"/>
  <c r="H190" i="1"/>
  <c r="H203" i="1" s="1"/>
  <c r="I594" i="1"/>
  <c r="G653" i="1" s="1"/>
  <c r="H594" i="1"/>
  <c r="H218" i="1"/>
  <c r="L218" i="1" s="1"/>
  <c r="I584" i="1"/>
  <c r="I588" i="1" s="1"/>
  <c r="H640" i="1" s="1"/>
  <c r="I221" i="1"/>
  <c r="H200" i="1"/>
  <c r="L200" i="1" s="1"/>
  <c r="H582" i="1"/>
  <c r="I581" i="1"/>
  <c r="H581" i="1"/>
  <c r="F359" i="1"/>
  <c r="F361" i="1"/>
  <c r="G359" i="1"/>
  <c r="G361" i="1" s="1"/>
  <c r="I351" i="1"/>
  <c r="L351" i="1"/>
  <c r="H351" i="1"/>
  <c r="I350" i="1"/>
  <c r="I354" i="1" s="1"/>
  <c r="G624" i="1" s="1"/>
  <c r="H350" i="1"/>
  <c r="L350" i="1" s="1"/>
  <c r="K425" i="1"/>
  <c r="G120" i="2"/>
  <c r="H421" i="1"/>
  <c r="H425" i="1"/>
  <c r="I395" i="1"/>
  <c r="I399" i="1" s="1"/>
  <c r="I400" i="1" s="1"/>
  <c r="J460" i="1"/>
  <c r="G462" i="1"/>
  <c r="K371" i="1"/>
  <c r="H293" i="1"/>
  <c r="L293" i="1" s="1"/>
  <c r="J217" i="1"/>
  <c r="J221" i="1" s="1"/>
  <c r="I215" i="1"/>
  <c r="I213" i="1"/>
  <c r="I212" i="1"/>
  <c r="J207" i="1"/>
  <c r="I207" i="1"/>
  <c r="G207" i="1"/>
  <c r="G221" i="1" s="1"/>
  <c r="F207" i="1"/>
  <c r="H215" i="1"/>
  <c r="L215" i="1" s="1"/>
  <c r="H213" i="1"/>
  <c r="L213" i="1" s="1"/>
  <c r="H212" i="1"/>
  <c r="H207" i="1"/>
  <c r="I195" i="1"/>
  <c r="H274" i="1"/>
  <c r="L274" i="1" s="1"/>
  <c r="H268" i="1"/>
  <c r="H282" i="1" s="1"/>
  <c r="F16" i="13"/>
  <c r="G201" i="1"/>
  <c r="I197" i="1"/>
  <c r="L197" i="1"/>
  <c r="G195" i="1"/>
  <c r="J189" i="1"/>
  <c r="F5" i="13" s="1"/>
  <c r="I189" i="1"/>
  <c r="I203" i="1" s="1"/>
  <c r="I249" i="1" s="1"/>
  <c r="I263" i="1" s="1"/>
  <c r="G189" i="1"/>
  <c r="H197" i="1"/>
  <c r="H195" i="1"/>
  <c r="H194" i="1"/>
  <c r="J190" i="1"/>
  <c r="G190" i="1"/>
  <c r="G203" i="1" s="1"/>
  <c r="G249" i="1" s="1"/>
  <c r="G263" i="1" s="1"/>
  <c r="F190" i="1"/>
  <c r="L190" i="1" s="1"/>
  <c r="H189" i="1"/>
  <c r="F189" i="1"/>
  <c r="B9" i="12" s="1"/>
  <c r="J88" i="1"/>
  <c r="H151" i="1"/>
  <c r="H146" i="1"/>
  <c r="H154" i="1" s="1"/>
  <c r="H161" i="1" s="1"/>
  <c r="H94" i="1"/>
  <c r="G150" i="1"/>
  <c r="G89" i="1"/>
  <c r="I449" i="1"/>
  <c r="J41" i="1" s="1"/>
  <c r="G40" i="2" s="1"/>
  <c r="C37" i="10"/>
  <c r="C60" i="2"/>
  <c r="B2" i="13"/>
  <c r="F8" i="13"/>
  <c r="G8" i="13"/>
  <c r="G5" i="13"/>
  <c r="G6" i="13"/>
  <c r="G7" i="13"/>
  <c r="G33" i="13" s="1"/>
  <c r="G12" i="13"/>
  <c r="G13" i="13"/>
  <c r="G14" i="13"/>
  <c r="G15" i="13"/>
  <c r="G16" i="13"/>
  <c r="G17" i="13"/>
  <c r="G18" i="13"/>
  <c r="G19" i="13"/>
  <c r="G29" i="13"/>
  <c r="L232" i="1"/>
  <c r="D39" i="13"/>
  <c r="F13" i="13"/>
  <c r="L198" i="1"/>
  <c r="L216" i="1"/>
  <c r="L234" i="1"/>
  <c r="C114" i="2" s="1"/>
  <c r="L219" i="1"/>
  <c r="E16" i="13" s="1"/>
  <c r="C16" i="13" s="1"/>
  <c r="L237" i="1"/>
  <c r="L191" i="1"/>
  <c r="L192" i="1"/>
  <c r="L209" i="1"/>
  <c r="C103" i="2" s="1"/>
  <c r="L210" i="1"/>
  <c r="L225" i="1"/>
  <c r="L226" i="1"/>
  <c r="L227" i="1"/>
  <c r="L228" i="1"/>
  <c r="F6" i="13"/>
  <c r="L230" i="1"/>
  <c r="F7" i="13"/>
  <c r="L195" i="1"/>
  <c r="L231" i="1"/>
  <c r="F12" i="13"/>
  <c r="L233" i="1"/>
  <c r="L199" i="1"/>
  <c r="L235" i="1"/>
  <c r="F15" i="13"/>
  <c r="L236" i="1"/>
  <c r="H652" i="1" s="1"/>
  <c r="F17" i="13"/>
  <c r="D17" i="13" s="1"/>
  <c r="C17" i="13" s="1"/>
  <c r="L243" i="1"/>
  <c r="F18" i="13"/>
  <c r="L244" i="1"/>
  <c r="C24" i="10" s="1"/>
  <c r="F19" i="13"/>
  <c r="L245" i="1"/>
  <c r="D19" i="13" s="1"/>
  <c r="C19" i="13" s="1"/>
  <c r="F29" i="13"/>
  <c r="L352" i="1"/>
  <c r="J282" i="1"/>
  <c r="J320" i="1"/>
  <c r="K282" i="1"/>
  <c r="G31" i="13" s="1"/>
  <c r="K301" i="1"/>
  <c r="K320" i="1"/>
  <c r="K330" i="1" s="1"/>
  <c r="K344" i="1" s="1"/>
  <c r="L269" i="1"/>
  <c r="E102" i="2" s="1"/>
  <c r="L270" i="1"/>
  <c r="E103" i="2" s="1"/>
  <c r="L271" i="1"/>
  <c r="L273" i="1"/>
  <c r="L275" i="1"/>
  <c r="E112" i="2" s="1"/>
  <c r="L276" i="1"/>
  <c r="E113" i="2" s="1"/>
  <c r="L277" i="1"/>
  <c r="L278" i="1"/>
  <c r="L279" i="1"/>
  <c r="L280" i="1"/>
  <c r="L287" i="1"/>
  <c r="L289" i="1"/>
  <c r="L290" i="1"/>
  <c r="L292" i="1"/>
  <c r="L294" i="1"/>
  <c r="L295" i="1"/>
  <c r="L296" i="1"/>
  <c r="E114" i="2" s="1"/>
  <c r="L297" i="1"/>
  <c r="L298" i="1"/>
  <c r="L299" i="1"/>
  <c r="L306" i="1"/>
  <c r="L307" i="1"/>
  <c r="L320" i="1" s="1"/>
  <c r="H650" i="1" s="1"/>
  <c r="L308" i="1"/>
  <c r="L309" i="1"/>
  <c r="L311" i="1"/>
  <c r="E110" i="2" s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C123" i="2"/>
  <c r="L253" i="1"/>
  <c r="C25" i="10"/>
  <c r="L333" i="1"/>
  <c r="L343" i="1" s="1"/>
  <c r="L334" i="1"/>
  <c r="E124" i="2"/>
  <c r="L328" i="1"/>
  <c r="C11" i="13"/>
  <c r="C10" i="13"/>
  <c r="C9" i="13"/>
  <c r="L353" i="1"/>
  <c r="B4" i="12"/>
  <c r="B36" i="12"/>
  <c r="C36" i="12"/>
  <c r="B40" i="12"/>
  <c r="A40" i="12"/>
  <c r="C40" i="12"/>
  <c r="B27" i="12"/>
  <c r="C27" i="12"/>
  <c r="B31" i="12"/>
  <c r="A31" i="12" s="1"/>
  <c r="C31" i="12"/>
  <c r="B13" i="12"/>
  <c r="C13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6" i="1"/>
  <c r="L397" i="1"/>
  <c r="L398" i="1"/>
  <c r="L258" i="1"/>
  <c r="J52" i="1"/>
  <c r="G48" i="2" s="1"/>
  <c r="G51" i="2"/>
  <c r="G54" i="2" s="1"/>
  <c r="G53" i="2"/>
  <c r="G69" i="2"/>
  <c r="G70" i="2"/>
  <c r="G73" i="2" s="1"/>
  <c r="G61" i="2"/>
  <c r="G62" i="2"/>
  <c r="G88" i="2"/>
  <c r="G89" i="2"/>
  <c r="G90" i="2"/>
  <c r="G95" i="2"/>
  <c r="F2" i="11"/>
  <c r="L603" i="1"/>
  <c r="H653" i="1"/>
  <c r="L602" i="1"/>
  <c r="L601" i="1"/>
  <c r="F653" i="1" s="1"/>
  <c r="C40" i="10"/>
  <c r="F52" i="1"/>
  <c r="C48" i="2"/>
  <c r="C55" i="2" s="1"/>
  <c r="C96" i="2" s="1"/>
  <c r="G52" i="1"/>
  <c r="D48" i="2" s="1"/>
  <c r="D55" i="2" s="1"/>
  <c r="H52" i="1"/>
  <c r="I52" i="1"/>
  <c r="F71" i="1"/>
  <c r="F86" i="1"/>
  <c r="F104" i="1" s="1"/>
  <c r="F103" i="1"/>
  <c r="G103" i="1"/>
  <c r="H71" i="1"/>
  <c r="H86" i="1"/>
  <c r="H103" i="1"/>
  <c r="H104" i="1"/>
  <c r="I103" i="1"/>
  <c r="I104" i="1" s="1"/>
  <c r="I185" i="1" s="1"/>
  <c r="G620" i="1" s="1"/>
  <c r="J620" i="1" s="1"/>
  <c r="J103" i="1"/>
  <c r="J104" i="1"/>
  <c r="F113" i="1"/>
  <c r="F128" i="1"/>
  <c r="G113" i="1"/>
  <c r="G128" i="1"/>
  <c r="G132" i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/>
  <c r="G139" i="1"/>
  <c r="G161" i="1" s="1"/>
  <c r="G154" i="1"/>
  <c r="H139" i="1"/>
  <c r="I139" i="1"/>
  <c r="I161" i="1" s="1"/>
  <c r="I154" i="1"/>
  <c r="L242" i="1"/>
  <c r="C23" i="10" s="1"/>
  <c r="L324" i="1"/>
  <c r="E105" i="2" s="1"/>
  <c r="L246" i="1"/>
  <c r="L260" i="1"/>
  <c r="C134" i="2" s="1"/>
  <c r="L261" i="1"/>
  <c r="C26" i="10"/>
  <c r="L341" i="1"/>
  <c r="L342" i="1"/>
  <c r="I655" i="1"/>
  <c r="I660" i="1"/>
  <c r="L239" i="1"/>
  <c r="I659" i="1"/>
  <c r="C6" i="10"/>
  <c r="C42" i="10"/>
  <c r="L366" i="1"/>
  <c r="L374" i="1" s="1"/>
  <c r="G626" i="1" s="1"/>
  <c r="J626" i="1" s="1"/>
  <c r="L367" i="1"/>
  <c r="L368" i="1"/>
  <c r="L369" i="1"/>
  <c r="L370" i="1"/>
  <c r="L371" i="1"/>
  <c r="C29" i="10" s="1"/>
  <c r="L372" i="1"/>
  <c r="F122" i="2" s="1"/>
  <c r="F136" i="2" s="1"/>
  <c r="B2" i="10"/>
  <c r="L336" i="1"/>
  <c r="L337" i="1"/>
  <c r="L338" i="1"/>
  <c r="E129" i="2" s="1"/>
  <c r="L339" i="1"/>
  <c r="K343" i="1"/>
  <c r="L512" i="1"/>
  <c r="F540" i="1"/>
  <c r="K540" i="1" s="1"/>
  <c r="L513" i="1"/>
  <c r="F541" i="1" s="1"/>
  <c r="L517" i="1"/>
  <c r="L518" i="1"/>
  <c r="G541" i="1"/>
  <c r="L523" i="1"/>
  <c r="H541" i="1" s="1"/>
  <c r="L526" i="1"/>
  <c r="I539" i="1" s="1"/>
  <c r="L527" i="1"/>
  <c r="L529" i="1" s="1"/>
  <c r="I540" i="1"/>
  <c r="L528" i="1"/>
  <c r="I541" i="1" s="1"/>
  <c r="L532" i="1"/>
  <c r="J540" i="1"/>
  <c r="L533" i="1"/>
  <c r="J541" i="1" s="1"/>
  <c r="K262" i="1"/>
  <c r="J262" i="1"/>
  <c r="I262" i="1"/>
  <c r="H262" i="1"/>
  <c r="G262" i="1"/>
  <c r="F262" i="1"/>
  <c r="C124" i="2"/>
  <c r="A1" i="2"/>
  <c r="A2" i="2"/>
  <c r="C9" i="2"/>
  <c r="C19" i="2" s="1"/>
  <c r="D9" i="2"/>
  <c r="E9" i="2"/>
  <c r="F9" i="2"/>
  <c r="I431" i="1"/>
  <c r="J9" i="1"/>
  <c r="G9" i="2" s="1"/>
  <c r="C10" i="2"/>
  <c r="D10" i="2"/>
  <c r="E10" i="2"/>
  <c r="F10" i="2"/>
  <c r="I432" i="1"/>
  <c r="I438" i="1" s="1"/>
  <c r="G632" i="1" s="1"/>
  <c r="J632" i="1" s="1"/>
  <c r="J10" i="1"/>
  <c r="G10" i="2"/>
  <c r="C11" i="2"/>
  <c r="D12" i="2"/>
  <c r="E12" i="2"/>
  <c r="F12" i="2"/>
  <c r="F19" i="2" s="1"/>
  <c r="C13" i="2"/>
  <c r="D13" i="2"/>
  <c r="D14" i="2"/>
  <c r="D16" i="2"/>
  <c r="D17" i="2"/>
  <c r="D18" i="2"/>
  <c r="D19" i="2"/>
  <c r="E13" i="2"/>
  <c r="E14" i="2"/>
  <c r="E16" i="2"/>
  <c r="E17" i="2"/>
  <c r="E18" i="2"/>
  <c r="E19" i="2"/>
  <c r="F13" i="2"/>
  <c r="I434" i="1"/>
  <c r="J13" i="1"/>
  <c r="C14" i="2"/>
  <c r="F14" i="2"/>
  <c r="I435" i="1"/>
  <c r="J14" i="1" s="1"/>
  <c r="G14" i="2" s="1"/>
  <c r="F15" i="2"/>
  <c r="C16" i="2"/>
  <c r="F16" i="2"/>
  <c r="C17" i="2"/>
  <c r="F17" i="2"/>
  <c r="I436" i="1"/>
  <c r="J17" i="1"/>
  <c r="G17" i="2"/>
  <c r="C18" i="2"/>
  <c r="F18" i="2"/>
  <c r="I437" i="1"/>
  <c r="J18" i="1" s="1"/>
  <c r="G18" i="2" s="1"/>
  <c r="C22" i="2"/>
  <c r="C32" i="2" s="1"/>
  <c r="D22" i="2"/>
  <c r="D32" i="2" s="1"/>
  <c r="E22" i="2"/>
  <c r="F22" i="2"/>
  <c r="I440" i="1"/>
  <c r="J23" i="1"/>
  <c r="C23" i="2"/>
  <c r="D23" i="2"/>
  <c r="E23" i="2"/>
  <c r="E32" i="2" s="1"/>
  <c r="F23" i="2"/>
  <c r="I441" i="1"/>
  <c r="J24" i="1" s="1"/>
  <c r="C24" i="2"/>
  <c r="D24" i="2"/>
  <c r="D25" i="2"/>
  <c r="D28" i="2"/>
  <c r="D29" i="2"/>
  <c r="D30" i="2"/>
  <c r="D31" i="2"/>
  <c r="E24" i="2"/>
  <c r="F24" i="2"/>
  <c r="I442" i="1"/>
  <c r="J25" i="1"/>
  <c r="G24" i="2"/>
  <c r="C25" i="2"/>
  <c r="E25" i="2"/>
  <c r="F25" i="2"/>
  <c r="C26" i="2"/>
  <c r="F26" i="2"/>
  <c r="F32" i="2" s="1"/>
  <c r="C27" i="2"/>
  <c r="F27" i="2"/>
  <c r="C28" i="2"/>
  <c r="E28" i="2"/>
  <c r="F28" i="2"/>
  <c r="C29" i="2"/>
  <c r="E29" i="2"/>
  <c r="F29" i="2"/>
  <c r="C30" i="2"/>
  <c r="E30" i="2"/>
  <c r="F30" i="2"/>
  <c r="C31" i="2"/>
  <c r="E31" i="2"/>
  <c r="F31" i="2"/>
  <c r="I443" i="1"/>
  <c r="J32" i="1" s="1"/>
  <c r="G31" i="2" s="1"/>
  <c r="C34" i="2"/>
  <c r="C42" i="2" s="1"/>
  <c r="D34" i="2"/>
  <c r="E34" i="2"/>
  <c r="F34" i="2"/>
  <c r="C35" i="2"/>
  <c r="D35" i="2"/>
  <c r="E35" i="2"/>
  <c r="E42" i="2" s="1"/>
  <c r="E43" i="2" s="1"/>
  <c r="F35" i="2"/>
  <c r="F42" i="2" s="1"/>
  <c r="C36" i="2"/>
  <c r="D36" i="2"/>
  <c r="E36" i="2"/>
  <c r="F36" i="2"/>
  <c r="I446" i="1"/>
  <c r="I450" i="1" s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F41" i="2"/>
  <c r="C41" i="2"/>
  <c r="D41" i="2"/>
  <c r="E41" i="2"/>
  <c r="E48" i="2"/>
  <c r="F48" i="2"/>
  <c r="C49" i="2"/>
  <c r="E49" i="2"/>
  <c r="E54" i="2" s="1"/>
  <c r="E55" i="2" s="1"/>
  <c r="C50" i="2"/>
  <c r="E50" i="2"/>
  <c r="C51" i="2"/>
  <c r="D51" i="2"/>
  <c r="E51" i="2"/>
  <c r="F51" i="2"/>
  <c r="F54" i="2" s="1"/>
  <c r="F53" i="2"/>
  <c r="F64" i="2"/>
  <c r="F70" i="2" s="1"/>
  <c r="F65" i="2"/>
  <c r="F68" i="2"/>
  <c r="F69" i="2"/>
  <c r="F61" i="2"/>
  <c r="F62" i="2" s="1"/>
  <c r="F77" i="2"/>
  <c r="F83" i="2" s="1"/>
  <c r="F79" i="2"/>
  <c r="F80" i="2"/>
  <c r="F81" i="2"/>
  <c r="F85" i="2"/>
  <c r="F95" i="2" s="1"/>
  <c r="F86" i="2"/>
  <c r="F88" i="2"/>
  <c r="F89" i="2"/>
  <c r="F91" i="2"/>
  <c r="F92" i="2"/>
  <c r="F93" i="2"/>
  <c r="F94" i="2"/>
  <c r="D52" i="2"/>
  <c r="C53" i="2"/>
  <c r="D53" i="2"/>
  <c r="E53" i="2"/>
  <c r="C58" i="2"/>
  <c r="C59" i="2"/>
  <c r="C61" i="2"/>
  <c r="C62" i="2"/>
  <c r="D61" i="2"/>
  <c r="D62" i="2" s="1"/>
  <c r="E61" i="2"/>
  <c r="E62" i="2"/>
  <c r="C64" i="2"/>
  <c r="C70" i="2" s="1"/>
  <c r="C73" i="2" s="1"/>
  <c r="C65" i="2"/>
  <c r="C66" i="2"/>
  <c r="C67" i="2"/>
  <c r="C68" i="2"/>
  <c r="E68" i="2"/>
  <c r="C69" i="2"/>
  <c r="D69" i="2"/>
  <c r="D70" i="2" s="1"/>
  <c r="D73" i="2" s="1"/>
  <c r="D71" i="2"/>
  <c r="E69" i="2"/>
  <c r="E70" i="2"/>
  <c r="E73" i="2" s="1"/>
  <c r="E71" i="2"/>
  <c r="E72" i="2"/>
  <c r="C71" i="2"/>
  <c r="C72" i="2"/>
  <c r="C77" i="2"/>
  <c r="C83" i="2" s="1"/>
  <c r="D77" i="2"/>
  <c r="D83" i="2" s="1"/>
  <c r="E77" i="2"/>
  <c r="C79" i="2"/>
  <c r="E79" i="2"/>
  <c r="C80" i="2"/>
  <c r="D80" i="2"/>
  <c r="D81" i="2"/>
  <c r="E81" i="2"/>
  <c r="C81" i="2"/>
  <c r="C82" i="2"/>
  <c r="C85" i="2"/>
  <c r="C95" i="2" s="1"/>
  <c r="C86" i="2"/>
  <c r="C89" i="2"/>
  <c r="C90" i="2"/>
  <c r="C91" i="2"/>
  <c r="C92" i="2"/>
  <c r="C93" i="2"/>
  <c r="C94" i="2"/>
  <c r="D88" i="2"/>
  <c r="E88" i="2"/>
  <c r="E95" i="2" s="1"/>
  <c r="D89" i="2"/>
  <c r="D95" i="2" s="1"/>
  <c r="E89" i="2"/>
  <c r="D90" i="2"/>
  <c r="E90" i="2"/>
  <c r="E91" i="2"/>
  <c r="E92" i="2"/>
  <c r="E93" i="2"/>
  <c r="E94" i="2"/>
  <c r="D91" i="2"/>
  <c r="D92" i="2"/>
  <c r="D93" i="2"/>
  <c r="D94" i="2"/>
  <c r="E104" i="2"/>
  <c r="C106" i="2"/>
  <c r="D107" i="2"/>
  <c r="F107" i="2"/>
  <c r="G107" i="2"/>
  <c r="E115" i="2"/>
  <c r="E116" i="2"/>
  <c r="E117" i="2"/>
  <c r="F120" i="2"/>
  <c r="F137" i="2" s="1"/>
  <c r="E122" i="2"/>
  <c r="D126" i="2"/>
  <c r="D136" i="2" s="1"/>
  <c r="E126" i="2"/>
  <c r="F126" i="2"/>
  <c r="K411" i="1"/>
  <c r="K426" i="1" s="1"/>
  <c r="G126" i="2" s="1"/>
  <c r="G136" i="2" s="1"/>
  <c r="G137" i="2" s="1"/>
  <c r="K419" i="1"/>
  <c r="L255" i="1"/>
  <c r="C127" i="2" s="1"/>
  <c r="E127" i="2"/>
  <c r="L256" i="1"/>
  <c r="C128" i="2"/>
  <c r="L257" i="1"/>
  <c r="C129" i="2" s="1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C151" i="2"/>
  <c r="D151" i="2"/>
  <c r="G151" i="2" s="1"/>
  <c r="E151" i="2"/>
  <c r="F151" i="2"/>
  <c r="B152" i="2"/>
  <c r="C152" i="2"/>
  <c r="D152" i="2"/>
  <c r="G152" i="2" s="1"/>
  <c r="E152" i="2"/>
  <c r="F152" i="2"/>
  <c r="F490" i="1"/>
  <c r="B153" i="2" s="1"/>
  <c r="G490" i="1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D155" i="2"/>
  <c r="E155" i="2"/>
  <c r="F155" i="2"/>
  <c r="F493" i="1"/>
  <c r="B156" i="2" s="1"/>
  <c r="H493" i="1"/>
  <c r="D156" i="2"/>
  <c r="I493" i="1"/>
  <c r="E156" i="2" s="1"/>
  <c r="J493" i="1"/>
  <c r="F156" i="2" s="1"/>
  <c r="G19" i="1"/>
  <c r="H19" i="1"/>
  <c r="G609" i="1" s="1"/>
  <c r="J609" i="1" s="1"/>
  <c r="I19" i="1"/>
  <c r="F33" i="1"/>
  <c r="G33" i="1"/>
  <c r="H33" i="1"/>
  <c r="H44" i="1"/>
  <c r="H609" i="1" s="1"/>
  <c r="I33" i="1"/>
  <c r="F43" i="1"/>
  <c r="H43" i="1"/>
  <c r="F169" i="1"/>
  <c r="F184" i="1" s="1"/>
  <c r="I169" i="1"/>
  <c r="I184" i="1" s="1"/>
  <c r="F175" i="1"/>
  <c r="G175" i="1"/>
  <c r="H175" i="1"/>
  <c r="H184" i="1"/>
  <c r="I175" i="1"/>
  <c r="J175" i="1"/>
  <c r="J184" i="1" s="1"/>
  <c r="F180" i="1"/>
  <c r="G180" i="1"/>
  <c r="G184" i="1" s="1"/>
  <c r="H180" i="1"/>
  <c r="I180" i="1"/>
  <c r="K203" i="1"/>
  <c r="K221" i="1"/>
  <c r="F239" i="1"/>
  <c r="G239" i="1"/>
  <c r="H239" i="1"/>
  <c r="I239" i="1"/>
  <c r="J239" i="1"/>
  <c r="K239" i="1"/>
  <c r="F248" i="1"/>
  <c r="G248" i="1"/>
  <c r="I248" i="1"/>
  <c r="K248" i="1"/>
  <c r="K249" i="1" s="1"/>
  <c r="K263" i="1" s="1"/>
  <c r="L262" i="1"/>
  <c r="F282" i="1"/>
  <c r="F330" i="1" s="1"/>
  <c r="F344" i="1" s="1"/>
  <c r="I282" i="1"/>
  <c r="I330" i="1"/>
  <c r="I344" i="1"/>
  <c r="F301" i="1"/>
  <c r="G301" i="1"/>
  <c r="I301" i="1"/>
  <c r="F320" i="1"/>
  <c r="G320" i="1"/>
  <c r="H320" i="1"/>
  <c r="I320" i="1"/>
  <c r="F329" i="1"/>
  <c r="G329" i="1"/>
  <c r="H329" i="1"/>
  <c r="L329" i="1" s="1"/>
  <c r="I329" i="1"/>
  <c r="J329" i="1"/>
  <c r="K329" i="1"/>
  <c r="F354" i="1"/>
  <c r="G354" i="1"/>
  <c r="J354" i="1"/>
  <c r="K354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G400" i="1" s="1"/>
  <c r="H635" i="1" s="1"/>
  <c r="J635" i="1" s="1"/>
  <c r="H385" i="1"/>
  <c r="I385" i="1"/>
  <c r="F393" i="1"/>
  <c r="G393" i="1"/>
  <c r="H393" i="1"/>
  <c r="I393" i="1"/>
  <c r="F399" i="1"/>
  <c r="G399" i="1"/>
  <c r="H399" i="1"/>
  <c r="H400" i="1" s="1"/>
  <c r="H634" i="1" s="1"/>
  <c r="L405" i="1"/>
  <c r="L406" i="1"/>
  <c r="L407" i="1"/>
  <c r="L408" i="1"/>
  <c r="L409" i="1"/>
  <c r="L410" i="1"/>
  <c r="L411" i="1" s="1"/>
  <c r="F411" i="1"/>
  <c r="F426" i="1" s="1"/>
  <c r="G411" i="1"/>
  <c r="H411" i="1"/>
  <c r="H426" i="1" s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2" i="1"/>
  <c r="L423" i="1"/>
  <c r="L424" i="1"/>
  <c r="F425" i="1"/>
  <c r="G425" i="1"/>
  <c r="I425" i="1"/>
  <c r="I426" i="1" s="1"/>
  <c r="J425" i="1"/>
  <c r="G426" i="1"/>
  <c r="F438" i="1"/>
  <c r="G438" i="1"/>
  <c r="G630" i="1" s="1"/>
  <c r="J630" i="1" s="1"/>
  <c r="H438" i="1"/>
  <c r="G631" i="1" s="1"/>
  <c r="F444" i="1"/>
  <c r="G444" i="1"/>
  <c r="H444" i="1"/>
  <c r="I444" i="1"/>
  <c r="I451" i="1" s="1"/>
  <c r="H632" i="1" s="1"/>
  <c r="F450" i="1"/>
  <c r="F451" i="1" s="1"/>
  <c r="H629" i="1" s="1"/>
  <c r="G450" i="1"/>
  <c r="G451" i="1" s="1"/>
  <c r="H630" i="1" s="1"/>
  <c r="F460" i="1"/>
  <c r="F466" i="1" s="1"/>
  <c r="H612" i="1" s="1"/>
  <c r="J612" i="1" s="1"/>
  <c r="G460" i="1"/>
  <c r="H460" i="1"/>
  <c r="H466" i="1" s="1"/>
  <c r="H614" i="1" s="1"/>
  <c r="J614" i="1" s="1"/>
  <c r="I460" i="1"/>
  <c r="G464" i="1"/>
  <c r="G466" i="1"/>
  <c r="H613" i="1" s="1"/>
  <c r="H464" i="1"/>
  <c r="I464" i="1"/>
  <c r="I466" i="1" s="1"/>
  <c r="H615" i="1" s="1"/>
  <c r="K485" i="1"/>
  <c r="K486" i="1"/>
  <c r="K487" i="1"/>
  <c r="K488" i="1"/>
  <c r="K489" i="1"/>
  <c r="K491" i="1"/>
  <c r="F507" i="1"/>
  <c r="G507" i="1"/>
  <c r="H507" i="1"/>
  <c r="I507" i="1"/>
  <c r="F514" i="1"/>
  <c r="G514" i="1"/>
  <c r="H514" i="1"/>
  <c r="J514" i="1"/>
  <c r="J535" i="1"/>
  <c r="K514" i="1"/>
  <c r="F519" i="1"/>
  <c r="G519" i="1"/>
  <c r="H519" i="1"/>
  <c r="I519" i="1"/>
  <c r="I535" i="1" s="1"/>
  <c r="J519" i="1"/>
  <c r="K519" i="1"/>
  <c r="F524" i="1"/>
  <c r="G524" i="1"/>
  <c r="I524" i="1"/>
  <c r="J524" i="1"/>
  <c r="K524" i="1"/>
  <c r="K535" i="1"/>
  <c r="F529" i="1"/>
  <c r="G529" i="1"/>
  <c r="H529" i="1"/>
  <c r="I529" i="1"/>
  <c r="J529" i="1"/>
  <c r="K529" i="1"/>
  <c r="F534" i="1"/>
  <c r="G534" i="1"/>
  <c r="I534" i="1"/>
  <c r="J534" i="1"/>
  <c r="K534" i="1"/>
  <c r="L547" i="1"/>
  <c r="L548" i="1"/>
  <c r="L550" i="1" s="1"/>
  <c r="L549" i="1"/>
  <c r="F550" i="1"/>
  <c r="G550" i="1"/>
  <c r="G561" i="1" s="1"/>
  <c r="H550" i="1"/>
  <c r="H561" i="1" s="1"/>
  <c r="I550" i="1"/>
  <c r="I561" i="1" s="1"/>
  <c r="J550" i="1"/>
  <c r="J561" i="1" s="1"/>
  <c r="K550" i="1"/>
  <c r="L552" i="1"/>
  <c r="L555" i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F561" i="1" s="1"/>
  <c r="G560" i="1"/>
  <c r="H560" i="1"/>
  <c r="I560" i="1"/>
  <c r="J560" i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5" i="1"/>
  <c r="K586" i="1"/>
  <c r="K587" i="1"/>
  <c r="H588" i="1"/>
  <c r="H639" i="1" s="1"/>
  <c r="J588" i="1"/>
  <c r="K592" i="1"/>
  <c r="K593" i="1"/>
  <c r="H595" i="1"/>
  <c r="J595" i="1"/>
  <c r="F604" i="1"/>
  <c r="G604" i="1"/>
  <c r="H604" i="1"/>
  <c r="I604" i="1"/>
  <c r="J604" i="1"/>
  <c r="K604" i="1"/>
  <c r="L604" i="1"/>
  <c r="F44" i="1"/>
  <c r="H607" i="1" s="1"/>
  <c r="G608" i="1"/>
  <c r="G610" i="1"/>
  <c r="G612" i="1"/>
  <c r="G614" i="1"/>
  <c r="H617" i="1"/>
  <c r="H618" i="1"/>
  <c r="H619" i="1"/>
  <c r="H620" i="1"/>
  <c r="H621" i="1"/>
  <c r="H622" i="1"/>
  <c r="H623" i="1"/>
  <c r="H625" i="1"/>
  <c r="H626" i="1"/>
  <c r="H627" i="1"/>
  <c r="G629" i="1"/>
  <c r="J629" i="1" s="1"/>
  <c r="G633" i="1"/>
  <c r="G634" i="1"/>
  <c r="J634" i="1" s="1"/>
  <c r="G635" i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D18" i="13"/>
  <c r="C18" i="13"/>
  <c r="D54" i="2"/>
  <c r="F132" i="1"/>
  <c r="C54" i="2"/>
  <c r="H450" i="1"/>
  <c r="H451" i="1"/>
  <c r="H631" i="1" s="1"/>
  <c r="G22" i="2"/>
  <c r="G13" i="2"/>
  <c r="D42" i="2"/>
  <c r="D43" i="2" s="1"/>
  <c r="H354" i="1"/>
  <c r="L421" i="1"/>
  <c r="L425" i="1" s="1"/>
  <c r="L212" i="1"/>
  <c r="F221" i="1"/>
  <c r="L207" i="1"/>
  <c r="C13" i="10"/>
  <c r="L201" i="1"/>
  <c r="C117" i="2" s="1"/>
  <c r="L194" i="1"/>
  <c r="D6" i="13" s="1"/>
  <c r="C6" i="13" s="1"/>
  <c r="C104" i="2"/>
  <c r="C18" i="12"/>
  <c r="F203" i="1"/>
  <c r="F249" i="1" s="1"/>
  <c r="F263" i="1" s="1"/>
  <c r="B18" i="12"/>
  <c r="A22" i="12" s="1"/>
  <c r="J12" i="1"/>
  <c r="G12" i="2" s="1"/>
  <c r="C15" i="10"/>
  <c r="C110" i="2"/>
  <c r="L247" i="1"/>
  <c r="F22" i="13" s="1"/>
  <c r="C22" i="13" s="1"/>
  <c r="L214" i="1"/>
  <c r="G282" i="1"/>
  <c r="G330" i="1" s="1"/>
  <c r="G344" i="1" s="1"/>
  <c r="B22" i="12"/>
  <c r="H524" i="1"/>
  <c r="G535" i="1"/>
  <c r="F535" i="1"/>
  <c r="G539" i="1"/>
  <c r="C153" i="2"/>
  <c r="K492" i="1"/>
  <c r="C155" i="2"/>
  <c r="G155" i="2" s="1"/>
  <c r="G540" i="1"/>
  <c r="G542" i="1"/>
  <c r="J33" i="1" l="1"/>
  <c r="G23" i="2"/>
  <c r="G32" i="2" s="1"/>
  <c r="H654" i="1"/>
  <c r="F33" i="13"/>
  <c r="C18" i="10"/>
  <c r="C113" i="2"/>
  <c r="D12" i="13"/>
  <c r="C12" i="13" s="1"/>
  <c r="E107" i="2"/>
  <c r="J608" i="1"/>
  <c r="L561" i="1"/>
  <c r="I542" i="1"/>
  <c r="I653" i="1"/>
  <c r="H185" i="1"/>
  <c r="G619" i="1" s="1"/>
  <c r="J619" i="1" s="1"/>
  <c r="G42" i="2"/>
  <c r="G43" i="2" s="1"/>
  <c r="J330" i="1"/>
  <c r="J344" i="1" s="1"/>
  <c r="G153" i="2"/>
  <c r="C43" i="2"/>
  <c r="C38" i="10"/>
  <c r="H651" i="1"/>
  <c r="C112" i="2"/>
  <c r="C17" i="10"/>
  <c r="E8" i="13"/>
  <c r="K493" i="1"/>
  <c r="C156" i="2"/>
  <c r="G156" i="2" s="1"/>
  <c r="L426" i="1"/>
  <c r="G628" i="1" s="1"/>
  <c r="G19" i="2"/>
  <c r="G55" i="2"/>
  <c r="G96" i="2" s="1"/>
  <c r="C102" i="2"/>
  <c r="C11" i="10"/>
  <c r="L524" i="1"/>
  <c r="H539" i="1"/>
  <c r="H542" i="1" s="1"/>
  <c r="L534" i="1"/>
  <c r="J539" i="1"/>
  <c r="J542" i="1" s="1"/>
  <c r="C39" i="10"/>
  <c r="F185" i="1"/>
  <c r="G617" i="1" s="1"/>
  <c r="J617" i="1" s="1"/>
  <c r="F652" i="1"/>
  <c r="D15" i="13"/>
  <c r="C15" i="13" s="1"/>
  <c r="H637" i="1"/>
  <c r="G639" i="1"/>
  <c r="J639" i="1" s="1"/>
  <c r="C21" i="10"/>
  <c r="C116" i="2"/>
  <c r="G44" i="1"/>
  <c r="H608" i="1" s="1"/>
  <c r="G613" i="1"/>
  <c r="J613" i="1" s="1"/>
  <c r="F55" i="2"/>
  <c r="K541" i="1"/>
  <c r="H330" i="1"/>
  <c r="H344" i="1" s="1"/>
  <c r="L354" i="1"/>
  <c r="G651" i="1"/>
  <c r="D119" i="2"/>
  <c r="D120" i="2" s="1"/>
  <c r="D137" i="2" s="1"/>
  <c r="D29" i="13"/>
  <c r="C29" i="13" s="1"/>
  <c r="F651" i="1"/>
  <c r="I651" i="1" s="1"/>
  <c r="I44" i="1"/>
  <c r="H610" i="1" s="1"/>
  <c r="J610" i="1" s="1"/>
  <c r="G615" i="1"/>
  <c r="J615" i="1" s="1"/>
  <c r="C16" i="10"/>
  <c r="C111" i="2"/>
  <c r="D7" i="13"/>
  <c r="C7" i="13" s="1"/>
  <c r="L282" i="1"/>
  <c r="E111" i="2"/>
  <c r="E120" i="2" s="1"/>
  <c r="J624" i="1"/>
  <c r="J631" i="1"/>
  <c r="F73" i="2"/>
  <c r="F43" i="2"/>
  <c r="C130" i="2"/>
  <c r="G652" i="1"/>
  <c r="G640" i="1"/>
  <c r="J640" i="1" s="1"/>
  <c r="J607" i="1"/>
  <c r="L514" i="1"/>
  <c r="F539" i="1"/>
  <c r="J185" i="1"/>
  <c r="D96" i="2"/>
  <c r="C35" i="10"/>
  <c r="H534" i="1"/>
  <c r="H535" i="1" s="1"/>
  <c r="C19" i="10"/>
  <c r="L217" i="1"/>
  <c r="L221" i="1" s="1"/>
  <c r="G650" i="1" s="1"/>
  <c r="G654" i="1" s="1"/>
  <c r="J19" i="1"/>
  <c r="G611" i="1" s="1"/>
  <c r="I595" i="1"/>
  <c r="I359" i="1"/>
  <c r="I361" i="1" s="1"/>
  <c r="H624" i="1" s="1"/>
  <c r="H301" i="1"/>
  <c r="C12" i="10"/>
  <c r="J203" i="1"/>
  <c r="J249" i="1" s="1"/>
  <c r="K584" i="1"/>
  <c r="K588" i="1" s="1"/>
  <c r="G637" i="1" s="1"/>
  <c r="J637" i="1" s="1"/>
  <c r="E80" i="2"/>
  <c r="E83" i="2" s="1"/>
  <c r="E96" i="2" s="1"/>
  <c r="F31" i="13"/>
  <c r="L189" i="1"/>
  <c r="D5" i="13" s="1"/>
  <c r="H628" i="1"/>
  <c r="E123" i="2"/>
  <c r="E136" i="2" s="1"/>
  <c r="K594" i="1"/>
  <c r="K595" i="1" s="1"/>
  <c r="G638" i="1" s="1"/>
  <c r="G104" i="1"/>
  <c r="G185" i="1" s="1"/>
  <c r="G618" i="1" s="1"/>
  <c r="J618" i="1" s="1"/>
  <c r="E13" i="13"/>
  <c r="C13" i="13" s="1"/>
  <c r="C32" i="10"/>
  <c r="F14" i="13"/>
  <c r="H25" i="13"/>
  <c r="G641" i="1"/>
  <c r="J641" i="1" s="1"/>
  <c r="C105" i="2"/>
  <c r="K490" i="1"/>
  <c r="H221" i="1"/>
  <c r="H249" i="1" s="1"/>
  <c r="H263" i="1" s="1"/>
  <c r="C9" i="12"/>
  <c r="A13" i="12" s="1"/>
  <c r="C122" i="2"/>
  <c r="J43" i="1"/>
  <c r="L395" i="1"/>
  <c r="L399" i="1" s="1"/>
  <c r="C132" i="2" s="1"/>
  <c r="C5" i="13" l="1"/>
  <c r="G657" i="1"/>
  <c r="G662" i="1"/>
  <c r="C5" i="10" s="1"/>
  <c r="E137" i="2"/>
  <c r="H638" i="1"/>
  <c r="J638" i="1" s="1"/>
  <c r="J263" i="1"/>
  <c r="I652" i="1"/>
  <c r="C25" i="13"/>
  <c r="H33" i="13"/>
  <c r="G621" i="1"/>
  <c r="J621" i="1" s="1"/>
  <c r="G636" i="1"/>
  <c r="K539" i="1"/>
  <c r="K542" i="1" s="1"/>
  <c r="F542" i="1"/>
  <c r="L535" i="1"/>
  <c r="L330" i="1"/>
  <c r="L344" i="1" s="1"/>
  <c r="G623" i="1" s="1"/>
  <c r="J623" i="1" s="1"/>
  <c r="D31" i="13"/>
  <c r="C31" i="13" s="1"/>
  <c r="C27" i="10"/>
  <c r="G625" i="1"/>
  <c r="J625" i="1" s="1"/>
  <c r="J628" i="1"/>
  <c r="D14" i="13"/>
  <c r="C14" i="13" s="1"/>
  <c r="C115" i="2"/>
  <c r="C120" i="2" s="1"/>
  <c r="C20" i="10"/>
  <c r="F96" i="2"/>
  <c r="E33" i="13"/>
  <c r="D35" i="13" s="1"/>
  <c r="C8" i="13"/>
  <c r="G616" i="1"/>
  <c r="J616" i="1" s="1"/>
  <c r="J44" i="1"/>
  <c r="H611" i="1" s="1"/>
  <c r="J611" i="1" s="1"/>
  <c r="H662" i="1"/>
  <c r="H657" i="1"/>
  <c r="C10" i="10"/>
  <c r="C101" i="2"/>
  <c r="C107" i="2" s="1"/>
  <c r="L203" i="1"/>
  <c r="C133" i="2"/>
  <c r="C136" i="2" s="1"/>
  <c r="C41" i="10"/>
  <c r="D35" i="10" s="1"/>
  <c r="C36" i="10"/>
  <c r="L400" i="1"/>
  <c r="G627" i="1" l="1"/>
  <c r="J627" i="1" s="1"/>
  <c r="H636" i="1"/>
  <c r="D36" i="10"/>
  <c r="D41" i="10" s="1"/>
  <c r="D40" i="10"/>
  <c r="D37" i="10"/>
  <c r="D27" i="10"/>
  <c r="L249" i="1"/>
  <c r="L263" i="1" s="1"/>
  <c r="G622" i="1" s="1"/>
  <c r="F650" i="1"/>
  <c r="D38" i="10"/>
  <c r="C137" i="2"/>
  <c r="D20" i="10"/>
  <c r="C28" i="10"/>
  <c r="D10" i="10"/>
  <c r="J636" i="1"/>
  <c r="D39" i="10"/>
  <c r="D33" i="13"/>
  <c r="D36" i="13" s="1"/>
  <c r="J622" i="1" l="1"/>
  <c r="H646" i="1"/>
  <c r="I650" i="1"/>
  <c r="I654" i="1" s="1"/>
  <c r="F654" i="1"/>
  <c r="D13" i="10"/>
  <c r="C30" i="10"/>
  <c r="D26" i="10"/>
  <c r="D15" i="10"/>
  <c r="D22" i="10"/>
  <c r="D23" i="10"/>
  <c r="D25" i="10"/>
  <c r="D24" i="10"/>
  <c r="D11" i="10"/>
  <c r="D21" i="10"/>
  <c r="D18" i="10"/>
  <c r="D12" i="10"/>
  <c r="D28" i="10" s="1"/>
  <c r="D17" i="10"/>
  <c r="D16" i="10"/>
  <c r="D19" i="10"/>
  <c r="F657" i="1" l="1"/>
  <c r="F662" i="1"/>
  <c r="C4" i="10" s="1"/>
  <c r="I657" i="1"/>
  <c r="I662" i="1"/>
  <c r="C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A78C9B8-0B74-4B12-BE50-7C8A6D382479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E7C8558-6E1E-48B7-B4B8-C6F067A5756E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4E8A641-FE5A-444A-B7D0-8869E6898E11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FB6F87B-3389-402D-AB21-412922860E98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00E244FE-8BC2-4440-86BD-45DBB253F1A6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321DDAC-107C-4812-8098-357274952E57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E6459BFD-DB58-454B-9633-09CC4EA2C382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16865EE3-2054-4784-927F-9A45EB3BA208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D5AD8B38-9C59-427F-BE73-8C972CC3AE60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86FA03DD-35C3-49F7-AF0B-B455D0CA2E28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0F924776-7827-47CE-8329-62EE1BC30DAF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B6DFE0A-CB0C-462C-A9B4-FE501D6EC4FC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<sst xmlns="http://schemas.openxmlformats.org/spreadsheetml/2006/main" count="3864" uniqueCount="900">
  <si>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</si>
  <si>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</si>
  <si>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</si>
  <si>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</si>
  <si>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</si>
  <si>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</si>
  <si>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</si>
  <si>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</si>
  <si>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</si>
  <si>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</si>
  <si>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</si>
  <si>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</si>
  <si>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</si>
  <si>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</si>
  <si>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</si>
  <si>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</si>
  <si>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</si>
  <si>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</si>
  <si>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</si>
  <si>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</si>
  <si>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</si>
  <si>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</si>
  <si>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</si>
  <si>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</si>
  <si>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</si>
  <si>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</si>
  <si>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</si>
  <si>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</si>
  <si>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</si>
  <si>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</si>
  <si>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</si>
  <si>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</si>
  <si>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</si>
  <si>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</si>
  <si>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</si>
  <si>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</si>
  <si>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</si>
  <si>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</si>
  <si>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</si>
  <si>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</si>
  <si>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</si>
  <si>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</si>
  <si>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</si>
  <si>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</si>
  <si>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</si>
  <si>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</si>
  <si>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</si>
  <si>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</si>
  <si>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</si>
  <si>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</si>
  <si>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</si>
  <si>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</si>
  <si>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</si>
  <si>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</si>
  <si>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</si>
  <si>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</si>
  <si>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</si>
  <si>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</si>
  <si>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</si>
  <si>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</si>
  <si>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</si>
  <si>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</si>
  <si>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</si>
  <si>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</si>
  <si>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</si>
  <si>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</si>
  <si>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</si>
  <si>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</si>
  <si>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</si>
  <si>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</si>
  <si>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</si>
  <si>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</si>
  <si>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</si>
  <si>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</si>
  <si>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</si>
  <si>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</si>
  <si>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</si>
  <si>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</si>
  <si>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</si>
  <si>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</si>
  <si>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</si>
  <si>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</si>
  <si>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</si>
  <si>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</si>
  <si>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</si>
  <si>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</si>
  <si>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</si>
  <si>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</si>
  <si>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</si>
  <si>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</si>
  <si>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</si>
  <si>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</si>
  <si>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</si>
  <si>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</si>
  <si>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</si>
  <si>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</si>
  <si>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</si>
  <si>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</si>
  <si>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</si>
  <si>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</si>
  <si>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</si>
  <si>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</si>
  <si>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</si>
  <si>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</si>
  <si>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</si>
  <si>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</si>
  <si>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</si>
  <si>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</si>
  <si>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</si>
  <si>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</si>
  <si>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</si>
  <si>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</si>
  <si>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</si>
  <si>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</si>
  <si>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</si>
  <si>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</si>
  <si>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</si>
  <si>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</si>
  <si>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</si>
  <si>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</si>
  <si>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</si>
  <si>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</si>
  <si>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</si>
  <si>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</si>
  <si>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</si>
  <si>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</si>
  <si>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</si>
  <si>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</si>
  <si>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</si>
  <si>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</si>
  <si>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</si>
  <si>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</si>
  <si>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</si>
  <si>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</si>
  <si>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</si>
  <si>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</si>
  <si>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</si>
  <si>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</si>
  <si>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</si>
  <si>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</si>
  <si>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</si>
  <si>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</si>
  <si>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</si>
  <si>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</si>
  <si>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</si>
  <si>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</si>
  <si>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</si>
  <si>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</si>
  <si>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</si>
  <si>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</si>
  <si>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</si>
  <si>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</si>
  <si>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</si>
  <si>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</si>
  <si>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</si>
  <si>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</si>
  <si>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</si>
  <si>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</si>
  <si>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</si>
  <si>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</si>
  <si>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</si>
  <si>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</si>
  <si>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</si>
  <si>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</si>
  <si>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</si>
  <si>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</si>
  <si>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</si>
  <si>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</si>
  <si>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</si>
  <si>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</si>
  <si>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</si>
  <si>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</si>
  <si>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</si>
  <si>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</si>
  <si>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</si>
  <si>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</si>
  <si>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</si>
  <si>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</si>
  <si>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</si>
  <si>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</si>
  <si>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</si>
  <si>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</si>
  <si>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</si>
  <si>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</si>
  <si>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</si>
  <si>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</si>
  <si>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</si>
  <si>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</si>
  <si>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</si>
  <si>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</si>
  <si>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</si>
  <si>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</si>
  <si>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</si>
  <si>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</si>
  <si>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</si>
  <si>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</si>
  <si>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</si>
  <si>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</si>
  <si>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</si>
  <si>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</si>
  <si>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</si>
  <si>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</si>
  <si>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</si>
  <si>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</si>
  <si>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</si>
  <si>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</si>
  <si>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</si>
  <si>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</si>
  <si>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</si>
  <si>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</si>
  <si>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</si>
  <si>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</si>
  <si>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</si>
  <si>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</si>
  <si>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</si>
  <si>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</si>
  <si>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</si>
  <si>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</si>
  <si>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</si>
  <si>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</si>
  <si>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</si>
  <si>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</si>
  <si>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</si>
  <si>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</si>
  <si>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</si>
  <si>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</si>
  <si>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</si>
  <si>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</si>
  <si>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</si>
  <si>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</si>
  <si>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</si>
  <si>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</si>
  <si>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</si>
  <si>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</si>
  <si>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</si>
  <si>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</si>
  <si>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</si>
  <si>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</si>
  <si>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</si>
  <si>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</si>
  <si>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</si>
  <si>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</si>
  <si>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</si>
  <si>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</si>
  <si>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</si>
  <si>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</si>
  <si>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</si>
  <si>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</si>
  <si>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</si>
  <si>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</si>
  <si>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</si>
  <si>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</si>
  <si>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</si>
  <si>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</si>
  <si>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</si>
  <si>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</si>
  <si>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</si>
  <si>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</si>
  <si>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</si>
  <si>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</si>
  <si>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</si>
  <si>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</si>
  <si>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</si>
  <si>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</si>
  <si>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</si>
  <si>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</si>
  <si>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</si>
  <si>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</si>
  <si>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</si>
  <si>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</si>
  <si>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</si>
  <si>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</si>
  <si>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</si>
  <si>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</si>
  <si>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</si>
  <si>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</si>
  <si>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</si>
  <si>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</si>
  <si>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</si>
  <si>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</si>
  <si>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</si>
  <si>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</si>
  <si>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</si>
  <si>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</si>
  <si>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</si>
  <si>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</si>
  <si>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</si>
  <si>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</si>
  <si>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</si>
  <si>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</si>
  <si>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</si>
  <si>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</si>
  <si>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</si>
  <si>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</si>
  <si>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</si>
  <si>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</si>
  <si>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</si>
  <si>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</si>
  <si>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</si>
  <si>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</si>
  <si>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</si>
  <si>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</si>
  <si>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</si>
  <si>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</si>
  <si>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</si>
  <si>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</si>
  <si>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</si>
  <si>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</si>
  <si>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</si>
  <si>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</si>
  <si>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</si>
  <si>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</si>
  <si>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</si>
  <si>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</si>
  <si>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</si>
  <si>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</si>
  <si>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</si>
  <si>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</si>
  <si>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</si>
  <si>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</si>
  <si>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</si>
  <si>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</si>
  <si>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</si>
  <si>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</si>
  <si>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</si>
  <si>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</si>
  <si>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</si>
  <si>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</si>
  <si>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</si>
  <si>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</si>
  <si>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</si>
  <si>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</si>
  <si>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</si>
  <si>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</si>
  <si>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</si>
  <si>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</si>
  <si>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</si>
  <si>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</si>
  <si>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</si>
  <si>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</si>
  <si>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</si>
  <si>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</si>
  <si>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</si>
  <si>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</si>
  <si>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</si>
  <si>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</si>
  <si>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</si>
  <si>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</si>
  <si>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</si>
  <si>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</si>
  <si>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</si>
  <si>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</si>
  <si>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</si>
  <si>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</si>
  <si>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</si>
  <si>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</si>
  <si>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</si>
  <si>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</si>
  <si>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</si>
  <si>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</si>
  <si>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</si>
  <si>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</si>
  <si>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</si>
  <si>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</si>
  <si>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</si>
  <si>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</si>
  <si>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</si>
  <si>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</si>
  <si>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</si>
  <si>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</si>
  <si>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</si>
  <si>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</si>
  <si>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</si>
  <si>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</si>
  <si>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</si>
  <si>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</si>
  <si>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</si>
  <si>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</si>
  <si>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</si>
  <si>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</si>
  <si>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</si>
  <si>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</si>
  <si>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</si>
  <si>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</si>
  <si>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</si>
  <si>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</si>
  <si>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</si>
  <si>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</si>
  <si>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</si>
  <si>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</si>
  <si>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</si>
  <si>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</si>
  <si>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</si>
  <si>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</si>
  <si>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</si>
  <si>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</si>
  <si>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</si>
  <si>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</si>
  <si>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</si>
  <si>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</si>
  <si>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</si>
  <si>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</si>
  <si>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</si>
  <si>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</si>
  <si>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</si>
  <si>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</si>
  <si>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</si>
  <si>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</si>
  <si>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</si>
  <si>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</si>
  <si>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</si>
  <si>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</si>
  <si>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</si>
  <si>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</si>
  <si>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</si>
  <si>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</si>
  <si>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</si>
  <si>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</si>
  <si>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</si>
  <si>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</si>
  <si>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</si>
  <si>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</si>
  <si>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</si>
  <si>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</si>
  <si>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</si>
  <si>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</si>
  <si>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</si>
  <si>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</si>
  <si>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</si>
  <si>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</si>
  <si>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</si>
  <si>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</si>
  <si>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</si>
  <si>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</si>
  <si>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</si>
  <si>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</si>
  <si>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</si>
  <si>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</si>
  <si>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</si>
  <si>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</si>
  <si>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</si>
  <si>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</si>
  <si>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</si>
  <si>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</si>
  <si>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</si>
  <si>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</si>
  <si>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</si>
  <si>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</si>
  <si>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</si>
  <si>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</si>
  <si>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</si>
  <si>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</si>
  <si>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</si>
  <si>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</si>
  <si>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</si>
  <si>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</si>
  <si>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</si>
  <si>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</si>
  <si>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</si>
  <si>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</si>
  <si>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</si>
  <si>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</si>
  <si>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</si>
  <si>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</si>
  <si>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</si>
  <si>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</si>
  <si>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</si>
  <si>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</si>
  <si>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</si>
  <si>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</si>
  <si>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</si>
  <si>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</si>
  <si>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</si>
  <si>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</si>
  <si>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</si>
  <si>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</si>
  <si>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</si>
  <si>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</si>
  <si>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</si>
  <si>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</si>
  <si>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</si>
  <si>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</si>
  <si>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</si>
  <si>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</si>
  <si>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</si>
  <si>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</si>
  <si>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</si>
  <si>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</si>
  <si>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</si>
  <si>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</si>
  <si>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</si>
  <si>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</si>
  <si>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</si>
  <si>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</si>
  <si>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</si>
  <si>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</si>
  <si>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</si>
  <si>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</si>
  <si>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</si>
  <si>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</si>
  <si>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</si>
  <si>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</si>
  <si>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</si>
  <si>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</si>
  <si>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</si>
  <si>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</si>
  <si>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</si>
  <si>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</si>
  <si>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</si>
  <si>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</si>
  <si>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</si>
  <si>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</si>
  <si>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</si>
  <si>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</si>
  <si>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</si>
  <si>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</si>
  <si>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</si>
  <si>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</si>
  <si>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</si>
  <si>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</si>
  <si>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</si>
  <si>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</si>
  <si>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</si>
  <si>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</si>
  <si>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</si>
  <si>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</si>
  <si>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</si>
  <si>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</si>
  <si>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</si>
  <si>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</si>
  <si>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</si>
  <si>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</si>
  <si>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</si>
  <si>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</si>
  <si>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</si>
  <si>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</si>
  <si>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</si>
  <si>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</si>
  <si>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</si>
  <si>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</si>
  <si>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</si>
  <si>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</si>
  <si>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</si>
  <si>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</si>
  <si>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</si>
  <si>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</si>
  <si>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</si>
  <si>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</si>
  <si>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</si>
  <si>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</si>
  <si>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</si>
  <si>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</si>
  <si>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</si>
  <si>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</si>
  <si>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</si>
  <si>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</si>
  <si>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</si>
  <si>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</si>
  <si>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</si>
  <si>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</si>
  <si>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</si>
  <si>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</si>
  <si>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</si>
  <si>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</si>
  <si>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</si>
  <si>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</si>
  <si>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</si>
  <si>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</si>
  <si>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</si>
  <si>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</si>
  <si>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</si>
  <si>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</si>
  <si>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</si>
  <si>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</si>
  <si>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</si>
  <si>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</si>
  <si>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</si>
  <si>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</si>
  <si>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</si>
  <si>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</si>
  <si>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</si>
  <si>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</si>
  <si>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</si>
  <si>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</si>
  <si>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</si>
  <si>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</si>
  <si>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</si>
  <si>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</si>
  <si>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</si>
  <si>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</si>
  <si>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</si>
  <si>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</si>
  <si>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</si>
  <si>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</si>
  <si>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</si>
  <si>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</si>
  <si>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</si>
  <si>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</si>
  <si>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</si>
  <si>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</si>
  <si>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</si>
  <si>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</si>
  <si>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</si>
  <si>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</si>
  <si>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</si>
  <si>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</si>
  <si>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</si>
  <si>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</si>
  <si>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</si>
  <si>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</si>
  <si>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</si>
  <si>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</si>
  <si>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</si>
  <si>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</si>
  <si>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</si>
  <si>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</si>
  <si>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</si>
  <si>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</si>
  <si>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</si>
  <si>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</si>
  <si>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</si>
  <si>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</si>
  <si>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</si>
  <si>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</si>
  <si>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</si>
  <si>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</si>
  <si>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</si>
  <si>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</si>
  <si>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</si>
  <si>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</si>
  <si>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</si>
  <si>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</si>
  <si>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</si>
  <si>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</si>
  <si>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</si>
  <si>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</si>
  <si>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</si>
  <si>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</si>
  <si>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</si>
  <si>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</si>
  <si>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</si>
  <si>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</si>
  <si>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</si>
  <si>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</si>
  <si>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</si>
  <si>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</si>
  <si>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</si>
  <si>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</si>
  <si>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</si>
  <si>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</si>
  <si>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</si>
  <si>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</si>
  <si>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</si>
  <si>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</si>
  <si>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</si>
  <si>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</si>
  <si>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</si>
  <si>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</si>
  <si>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</si>
  <si>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</si>
  <si>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</si>
  <si>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</si>
  <si>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</si>
  <si>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</si>
  <si>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</si>
  <si>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</si>
  <si>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</si>
  <si>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</si>
  <si>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</si>
  <si>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</si>
  <si>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</si>
  <si>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</si>
  <si>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</si>
  <si>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</si>
  <si>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</si>
  <si>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</si>
  <si>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</si>
  <si>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</si>
  <si>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</si>
  <si>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</si>
  <si>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</si>
  <si>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</si>
  <si>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</si>
  <si>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</si>
  <si>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</si>
  <si>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</si>
  <si>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</si>
  <si>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</si>
  <si>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</si>
  <si>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</si>
  <si>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</si>
  <si>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</si>
  <si>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</si>
  <si>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</si>
  <si>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</si>
  <si>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</si>
  <si>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</si>
  <si>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</si>
  <si>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</si>
  <si>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</si>
  <si>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</si>
  <si>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</si>
  <si>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</si>
  <si>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</si>
  <si>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</si>
  <si>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</si>
  <si>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</si>
  <si>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</si>
  <si>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</si>
  <si>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</si>
  <si>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</si>
  <si>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</si>
  <si>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</si>
  <si>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</si>
  <si>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</si>
  <si>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</si>
  <si>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</si>
  <si>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</si>
  <si>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</si>
  <si>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</si>
  <si>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</si>
  <si>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</si>
  <si>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</si>
  <si>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</si>
  <si>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</si>
  <si>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</si>
  <si>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</si>
  <si>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</si>
  <si>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</si>
  <si>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</si>
  <si>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</si>
  <si>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</si>
  <si>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</si>
  <si>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</si>
  <si>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</si>
  <si>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</si>
  <si>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</si>
  <si>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</si>
  <si>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</si>
  <si>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</si>
  <si>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</si>
  <si>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</si>
  <si>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</si>
  <si>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</si>
  <si>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</si>
  <si>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</si>
  <si>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</si>
  <si>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</si>
  <si>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</si>
  <si>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</si>
  <si>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</si>
  <si>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</si>
  <si>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</si>
  <si>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</si>
  <si>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</si>
  <si>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</si>
  <si>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</si>
  <si>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</si>
  <si>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</si>
  <si>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</si>
  <si>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</si>
  <si>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</si>
  <si>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</si>
  <si>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</si>
  <si>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</si>
  <si>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</si>
  <si>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</si>
  <si>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</si>
  <si>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</si>
  <si>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</si>
  <si>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</si>
  <si>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</si>
  <si>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</si>
  <si>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</si>
  <si>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</si>
  <si>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</si>
  <si>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</si>
  <si>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</si>
  <si>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</si>
  <si>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</si>
  <si>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</si>
  <si>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</si>
  <si>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</si>
  <si>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</si>
  <si>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</si>
  <si>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</si>
  <si>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</si>
  <si>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</si>
  <si>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</si>
  <si>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</si>
  <si>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</si>
  <si>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</si>
  <si>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</si>
  <si>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</si>
  <si>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</si>
  <si>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</si>
  <si>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</si>
  <si>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</si>
  <si>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</si>
  <si>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</si>
  <si>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</si>
  <si>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</si>
  <si>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</si>
  <si>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</si>
  <si>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</si>
  <si>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</si>
  <si>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</si>
  <si>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</si>
  <si>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</si>
  <si>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</si>
  <si>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</si>
  <si>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</si>
  <si>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</si>
  <si>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</si>
  <si>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</si>
  <si>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</si>
  <si>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</si>
  <si>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</si>
  <si>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</si>
  <si>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</si>
  <si>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</si>
  <si>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</si>
  <si>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</si>
  <si>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</si>
  <si>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</si>
  <si>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</si>
  <si>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</si>
  <si>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</si>
  <si>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</si>
  <si>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</si>
  <si>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</si>
  <si>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</si>
  <si>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</si>
  <si>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</si>
  <si>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</si>
  <si>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</si>
  <si>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</si>
  <si>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</si>
  <si>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</si>
  <si>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</si>
  <si>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</si>
  <si>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</si>
  <si>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</si>
  <si>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</si>
  <si>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</si>
  <si>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</si>
  <si>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</si>
  <si>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</si>
  <si>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</si>
  <si>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</si>
  <si>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</si>
  <si>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</si>
  <si>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</si>
  <si>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</si>
  <si>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</si>
  <si>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</si>
  <si>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</si>
  <si>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</si>
  <si>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</si>
  <si>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</si>
  <si>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</si>
  <si>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</si>
  <si>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</si>
  <si>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</si>
  <si>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</si>
  <si>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</si>
  <si>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</si>
  <si>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</si>
  <si>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</si>
  <si>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</si>
  <si>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</si>
  <si>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</si>
  <si>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</si>
  <si>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</si>
  <si>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</si>
  <si>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</si>
  <si>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</si>
  <si>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</si>
  <si>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</si>
  <si>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</si>
  <si>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</si>
  <si>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</si>
  <si>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</si>
  <si>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</si>
  <si>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</si>
  <si>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</si>
  <si>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</si>
  <si>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</si>
  <si>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</si>
  <si>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</si>
  <si>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</si>
  <si>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</si>
  <si>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</si>
  <si>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</si>
  <si>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AGENCY</t>
  </si>
  <si>
    <t>07/01</t>
  </si>
  <si>
    <t>07/08</t>
  </si>
  <si>
    <t>07/21</t>
  </si>
  <si>
    <t>08/28</t>
  </si>
  <si>
    <t>Amherst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</si>
</sst>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  <family val="2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8134-9DEF-4A69-88CD-697444E68C27}">
  <sheetPr transitionEvaluation="1" transitionEntry="1" codeName="Sheet1">
    <tabColor indexed="56"/>
  </sheetPr>
  <dimension ref="A1:AQ666"/>
  <sheetViews>
    <sheetView tabSelected="1" zoomScale="80" zoomScaleNormal="80" workbookViewId="0">
      <pane xSplit="5" ySplit="3" topLeftCell="F633" activePane="bottomRight" state="frozen"/>
      <selection pane="topRight" activeCell="F1" sqref="F1"/>
      <selection pane="bottomLeft" activeCell="A4" sqref="A4"/>
      <selection pane="bottomRight" activeCell="F41" sqref="F41:F4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899</v>
      </c>
      <c r="B2" s="21">
        <v>17</v>
      </c>
      <c r="C2" s="21">
        <v>17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-980746.63+1283239.29+127.99</f>
        <v>302620.65000000002</v>
      </c>
      <c r="G9" s="18"/>
      <c r="H9" s="18"/>
      <c r="I9" s="18">
        <v>30.84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226291.65-187604.34</f>
        <v>38687.31</v>
      </c>
      <c r="G12" s="18">
        <v>65463.72</v>
      </c>
      <c r="H12" s="18"/>
      <c r="I12" s="18"/>
      <c r="J12" s="67">
        <f>SUM(I433)</f>
        <v>3883.92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8007.77</v>
      </c>
      <c r="G13" s="18">
        <v>26111</v>
      </c>
      <c r="H13" s="18">
        <v>116213.55</v>
      </c>
      <c r="I13" s="18"/>
      <c r="J13" s="67">
        <f>SUM(I434)</f>
        <v>39444.18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163.11000000000001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3391.58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352707.31000000006</v>
      </c>
      <c r="G19" s="41">
        <f>SUM(G9:G18)</f>
        <v>91737.83</v>
      </c>
      <c r="H19" s="41">
        <f>SUM(H9:H18)</f>
        <v>116213.55</v>
      </c>
      <c r="I19" s="41">
        <f>SUM(I9:I18)</f>
        <v>30.84</v>
      </c>
      <c r="J19" s="41">
        <f>SUM(J9:J18)</f>
        <v>43328.1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107742.43</v>
      </c>
      <c r="I23" s="18"/>
      <c r="J23" s="67">
        <f>SUM(I440)</f>
        <v>292.52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8613.84</v>
      </c>
      <c r="G24" s="18">
        <v>19627.259999999998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459.39</v>
      </c>
      <c r="G25" s="18">
        <v>240.1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3960.01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19414.64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7900</v>
      </c>
      <c r="G31" s="18"/>
      <c r="H31" s="18">
        <v>8471.1200000000008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182.17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40530.049999999996</v>
      </c>
      <c r="G33" s="41">
        <f>SUM(G23:G32)</f>
        <v>19867.359999999997</v>
      </c>
      <c r="H33" s="41">
        <f>SUM(H23:H32)</f>
        <v>116213.54999999999</v>
      </c>
      <c r="I33" s="41">
        <f>SUM(I23:I32)</f>
        <v>0</v>
      </c>
      <c r="J33" s="41">
        <f>SUM(J23:J32)</f>
        <v>292.52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108587.64</v>
      </c>
      <c r="G37" s="18">
        <v>310.02999999999997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30000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46046.85</v>
      </c>
      <c r="G41" s="18">
        <f>45018.36+28083.84+-1541.76</f>
        <v>71560.44</v>
      </c>
      <c r="H41" s="18"/>
      <c r="I41" s="18">
        <f>112822.87+-112792.03</f>
        <v>30.839999999996508</v>
      </c>
      <c r="J41" s="13">
        <f>SUM(I449)</f>
        <v>43035.579999999987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127542.77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312177.26</v>
      </c>
      <c r="G43" s="41">
        <f>SUM(G35:G42)</f>
        <v>71870.47</v>
      </c>
      <c r="H43" s="41">
        <f>SUM(H35:H42)</f>
        <v>0</v>
      </c>
      <c r="I43" s="41">
        <f>SUM(I35:I42)</f>
        <v>30.839999999996508</v>
      </c>
      <c r="J43" s="41">
        <f>SUM(J35:J42)</f>
        <v>43035.579999999987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352707.31</v>
      </c>
      <c r="G44" s="41">
        <f>G43+G33</f>
        <v>91737.83</v>
      </c>
      <c r="H44" s="41">
        <f>H43+H33</f>
        <v>116213.54999999999</v>
      </c>
      <c r="I44" s="41">
        <f>I43+I33</f>
        <v>30.839999999996508</v>
      </c>
      <c r="J44" s="41">
        <f>J43+J33</f>
        <v>43328.099999999984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15329397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15329397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3479.72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952079.94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955559.65999999992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8182.65</v>
      </c>
      <c r="G88" s="18"/>
      <c r="H88" s="18"/>
      <c r="I88" s="18">
        <v>365.27</v>
      </c>
      <c r="J88" s="18">
        <f>143.48</f>
        <v>143.47999999999999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398894.51+587.33</f>
        <v>399481.84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17554.740000000002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1359.5</v>
      </c>
      <c r="G93" s="18">
        <v>258.72000000000003</v>
      </c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3049</v>
      </c>
      <c r="G94" s="18"/>
      <c r="H94" s="18">
        <f>1236.78+1183.8+3000</f>
        <v>5420.58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4100.42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2780.68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620</v>
      </c>
      <c r="G102" s="18">
        <v>1468.93</v>
      </c>
      <c r="H102" s="18"/>
      <c r="I102" s="18"/>
      <c r="J102" s="18">
        <v>5902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37646.99</v>
      </c>
      <c r="G103" s="41">
        <f>SUM(G88:G102)</f>
        <v>401209.49</v>
      </c>
      <c r="H103" s="41">
        <f>SUM(H88:H102)</f>
        <v>5420.58</v>
      </c>
      <c r="I103" s="41">
        <f>SUM(I88:I102)</f>
        <v>365.27</v>
      </c>
      <c r="J103" s="41">
        <f>SUM(J88:J102)</f>
        <v>6045.48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16322603.65</v>
      </c>
      <c r="G104" s="41">
        <f>G52+G103</f>
        <v>401209.49</v>
      </c>
      <c r="H104" s="41">
        <f>H52+H71+H86+H103</f>
        <v>5420.58</v>
      </c>
      <c r="I104" s="41">
        <f>I52+I103</f>
        <v>365.27</v>
      </c>
      <c r="J104" s="41">
        <f>J52+J103</f>
        <v>6045.48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2565621.63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2413776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93054.37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1856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5074308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157401.94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238193.58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4191.03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395595.52000000002</v>
      </c>
      <c r="G128" s="41">
        <f>SUM(G115:G127)</f>
        <v>4191.03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5469903.5199999996</v>
      </c>
      <c r="G132" s="41">
        <f>G113+SUM(G128:G129)</f>
        <v>4191.03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2250+6343.44+24707.63+8374.51+11179.55+3971.43</f>
        <v>56826.560000000005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31166.33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49510.18+23517.96</f>
        <v>73028.14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349.95+256771.2+116457.15</f>
        <v>373578.30000000005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81702.149999999994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81702.149999999994</v>
      </c>
      <c r="G154" s="41">
        <f>SUM(G142:G153)</f>
        <v>73028.14</v>
      </c>
      <c r="H154" s="41">
        <f>SUM(H142:H153)</f>
        <v>461571.19000000006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81702.149999999994</v>
      </c>
      <c r="G161" s="41">
        <f>G139+G154+SUM(G155:G160)</f>
        <v>73028.14</v>
      </c>
      <c r="H161" s="41">
        <f>H139+H154+SUM(H155:H160)</f>
        <v>461571.19000000006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73304.789999999994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73304.789999999994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73304.789999999994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21947514.109999999</v>
      </c>
      <c r="G185" s="47">
        <f>G104+G132+G161+G184</f>
        <v>478428.66000000003</v>
      </c>
      <c r="H185" s="47">
        <f>H104+H132+H161+H184</f>
        <v>466991.77000000008</v>
      </c>
      <c r="I185" s="47">
        <f>I104+I132+I161+I184</f>
        <v>365.27</v>
      </c>
      <c r="J185" s="47">
        <f>J104+J132+J184</f>
        <v>6045.48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3532726.79</f>
        <v>3532726.79</v>
      </c>
      <c r="G189" s="18">
        <f>1469162.19+71.25</f>
        <v>1469233.44</v>
      </c>
      <c r="H189" s="18">
        <f>10900+9355.66+1132.2</f>
        <v>21387.86</v>
      </c>
      <c r="I189" s="18">
        <f>302866.76+7992.11</f>
        <v>310858.87</v>
      </c>
      <c r="J189" s="18">
        <f>107203.24+9062.47</f>
        <v>116265.71</v>
      </c>
      <c r="K189" s="18"/>
      <c r="L189" s="19">
        <f>SUM(F189:K189)</f>
        <v>5450472.6700000009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978796.55</f>
        <v>978796.55</v>
      </c>
      <c r="G190" s="18">
        <f>460125.81</f>
        <v>460125.81</v>
      </c>
      <c r="H190" s="18">
        <f>568025.56+75174.41+4388.2+207.12</f>
        <v>647795.29</v>
      </c>
      <c r="I190" s="18">
        <f>9079.98+53+1460.55</f>
        <v>10593.529999999999</v>
      </c>
      <c r="J190" s="18">
        <f>2115.93</f>
        <v>2115.9299999999998</v>
      </c>
      <c r="K190" s="18"/>
      <c r="L190" s="19">
        <f>SUM(F190:K190)</f>
        <v>2099427.1100000003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700</v>
      </c>
      <c r="G192" s="18">
        <v>108.64</v>
      </c>
      <c r="H192" s="18"/>
      <c r="I192" s="18"/>
      <c r="J192" s="18"/>
      <c r="K192" s="18"/>
      <c r="L192" s="19">
        <f>SUM(F192:K192)</f>
        <v>808.64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322350.61</v>
      </c>
      <c r="G194" s="18">
        <v>140233.84</v>
      </c>
      <c r="H194" s="18">
        <f>6324.85</f>
        <v>6324.85</v>
      </c>
      <c r="I194" s="18">
        <f>2012.96+1255+1475.11</f>
        <v>4743.07</v>
      </c>
      <c r="J194" s="18"/>
      <c r="K194" s="18"/>
      <c r="L194" s="19">
        <f t="shared" ref="L194:L200" si="0">SUM(F194:K194)</f>
        <v>473652.36999999994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109959.71</v>
      </c>
      <c r="G195" s="18">
        <f>61137.31+5632.04</f>
        <v>66769.349999999991</v>
      </c>
      <c r="H195" s="18">
        <f>466.2+1600</f>
        <v>2066.1999999999998</v>
      </c>
      <c r="I195" s="18">
        <f>15331.43+1215.43</f>
        <v>16546.86</v>
      </c>
      <c r="J195" s="18"/>
      <c r="K195" s="18"/>
      <c r="L195" s="19">
        <f t="shared" si="0"/>
        <v>195342.12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50+3380.61</f>
        <v>3430.61</v>
      </c>
      <c r="G196" s="18">
        <f>3.82+258.61</f>
        <v>262.43</v>
      </c>
      <c r="H196" s="18">
        <f>22348.84+521903+2486.88</f>
        <v>546738.72</v>
      </c>
      <c r="I196" s="18">
        <v>179.5</v>
      </c>
      <c r="J196" s="18"/>
      <c r="K196" s="18">
        <v>3414.87</v>
      </c>
      <c r="L196" s="19">
        <f t="shared" si="0"/>
        <v>554026.13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372906.13</v>
      </c>
      <c r="G197" s="18">
        <v>181604.69</v>
      </c>
      <c r="H197" s="18">
        <f>6861.64+8555.94</f>
        <v>15417.580000000002</v>
      </c>
      <c r="I197" s="18">
        <f>4803.66+99.21+58.57</f>
        <v>4961.4399999999996</v>
      </c>
      <c r="J197" s="18">
        <v>2096.48</v>
      </c>
      <c r="K197" s="18">
        <v>2040</v>
      </c>
      <c r="L197" s="19">
        <f t="shared" si="0"/>
        <v>579026.31999999995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1193.03</v>
      </c>
      <c r="I198" s="18"/>
      <c r="J198" s="18"/>
      <c r="K198" s="18"/>
      <c r="L198" s="19">
        <f t="shared" si="0"/>
        <v>1193.03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225907.06</v>
      </c>
      <c r="G199" s="18">
        <v>117615.46</v>
      </c>
      <c r="H199" s="18">
        <f>100790.53+91.15+3300+27375.18</f>
        <v>131556.85999999999</v>
      </c>
      <c r="I199" s="18">
        <v>177021.3</v>
      </c>
      <c r="J199" s="18">
        <v>860.95</v>
      </c>
      <c r="K199" s="18"/>
      <c r="L199" s="19">
        <f t="shared" si="0"/>
        <v>652961.62999999989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354221.22+1010</f>
        <v>355231.22</v>
      </c>
      <c r="I200" s="18"/>
      <c r="J200" s="18"/>
      <c r="K200" s="18"/>
      <c r="L200" s="19">
        <f t="shared" si="0"/>
        <v>355231.22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57327</v>
      </c>
      <c r="G201" s="18">
        <f>32233.84+26.39</f>
        <v>32260.23</v>
      </c>
      <c r="H201" s="18">
        <v>16139.11</v>
      </c>
      <c r="I201" s="18">
        <f>9791.87+1086</f>
        <v>10877.87</v>
      </c>
      <c r="J201" s="18">
        <f>922.5+1268.94+889.35+570.79+9627.13+462.65</f>
        <v>13741.359999999999</v>
      </c>
      <c r="K201" s="18"/>
      <c r="L201" s="19">
        <f>SUM(F201:K201)</f>
        <v>130345.56999999999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5604104.46</v>
      </c>
      <c r="G203" s="41">
        <f t="shared" si="1"/>
        <v>2468213.89</v>
      </c>
      <c r="H203" s="41">
        <f t="shared" si="1"/>
        <v>1743850.7200000002</v>
      </c>
      <c r="I203" s="41">
        <f t="shared" si="1"/>
        <v>535782.44000000006</v>
      </c>
      <c r="J203" s="41">
        <f t="shared" si="1"/>
        <v>135080.43</v>
      </c>
      <c r="K203" s="41">
        <f t="shared" si="1"/>
        <v>5454.87</v>
      </c>
      <c r="L203" s="41">
        <f t="shared" si="1"/>
        <v>10492486.810000001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3910963</f>
        <v>3910963</v>
      </c>
      <c r="G207" s="18">
        <f>1613489.33+28.5</f>
        <v>1613517.83</v>
      </c>
      <c r="H207" s="18">
        <f>20875+900+1473.07</f>
        <v>23248.07</v>
      </c>
      <c r="I207" s="18">
        <f>128332.41+55755.05</f>
        <v>184087.46000000002</v>
      </c>
      <c r="J207" s="18">
        <f>155459.52+14650</f>
        <v>170109.52</v>
      </c>
      <c r="K207" s="18"/>
      <c r="L207" s="19">
        <f>SUM(F207:K207)</f>
        <v>5901925.8799999999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1472111.14</v>
      </c>
      <c r="G208" s="18">
        <v>792200.84</v>
      </c>
      <c r="H208" s="18">
        <f>91292.93+41708.31+3835.1+241.85</f>
        <v>137078.19</v>
      </c>
      <c r="I208" s="18">
        <f>3175.88+3590.12</f>
        <v>6766</v>
      </c>
      <c r="J208" s="18">
        <v>217.45</v>
      </c>
      <c r="K208" s="18">
        <v>780</v>
      </c>
      <c r="L208" s="19">
        <f>SUM(F208:K208)</f>
        <v>2409153.62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65733</v>
      </c>
      <c r="G210" s="18">
        <v>9655.0499999999993</v>
      </c>
      <c r="H210" s="18">
        <v>6550</v>
      </c>
      <c r="I210" s="18">
        <v>5671.56</v>
      </c>
      <c r="J210" s="18"/>
      <c r="K210" s="18"/>
      <c r="L210" s="19">
        <f>SUM(F210:K210)</f>
        <v>87609.61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299037.49</v>
      </c>
      <c r="G212" s="18">
        <v>131836.59</v>
      </c>
      <c r="H212" s="18">
        <f>47620.77</f>
        <v>47620.77</v>
      </c>
      <c r="I212" s="18">
        <f>861.96+1255</f>
        <v>2116.96</v>
      </c>
      <c r="J212" s="18">
        <v>90</v>
      </c>
      <c r="K212" s="18"/>
      <c r="L212" s="19">
        <f t="shared" ref="L212:L218" si="2">SUM(F212:K212)</f>
        <v>480701.81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96648.89</v>
      </c>
      <c r="G213" s="18">
        <f>84775.91+5976</f>
        <v>90751.91</v>
      </c>
      <c r="H213" s="18">
        <f>7771.8+800</f>
        <v>8571.7999999999993</v>
      </c>
      <c r="I213" s="18">
        <f>11775.17+3697.6</f>
        <v>15472.77</v>
      </c>
      <c r="J213" s="18"/>
      <c r="K213" s="18"/>
      <c r="L213" s="19">
        <f t="shared" si="2"/>
        <v>211445.36999999997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50+3380.61</f>
        <v>3430.61</v>
      </c>
      <c r="G214" s="18">
        <f>3.83+258.61</f>
        <v>262.44</v>
      </c>
      <c r="H214" s="18">
        <f>22348.84+521903+3070.43</f>
        <v>547322.27</v>
      </c>
      <c r="I214" s="18">
        <v>179.49</v>
      </c>
      <c r="J214" s="18"/>
      <c r="K214" s="18">
        <v>3414.87</v>
      </c>
      <c r="L214" s="19">
        <f t="shared" si="2"/>
        <v>554609.68000000005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342020.3</v>
      </c>
      <c r="G215" s="18">
        <v>149585.20000000001</v>
      </c>
      <c r="H215" s="18">
        <f>8210.97+13869.12</f>
        <v>22080.09</v>
      </c>
      <c r="I215" s="18">
        <f>23398.66+58.57</f>
        <v>23457.23</v>
      </c>
      <c r="J215" s="18"/>
      <c r="K215" s="18">
        <v>1739.25</v>
      </c>
      <c r="L215" s="19">
        <f t="shared" si="2"/>
        <v>538882.07000000007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v>1310.4000000000001</v>
      </c>
      <c r="I216" s="18"/>
      <c r="J216" s="18"/>
      <c r="K216" s="18"/>
      <c r="L216" s="19">
        <f t="shared" si="2"/>
        <v>1310.4000000000001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225513.60000000001</v>
      </c>
      <c r="G217" s="18">
        <v>114268.32</v>
      </c>
      <c r="H217" s="18">
        <f>92262.25+378.25+24228.14+27375.17</f>
        <v>144243.81</v>
      </c>
      <c r="I217" s="18">
        <v>208375.01</v>
      </c>
      <c r="J217" s="18">
        <f>5955.99+472.9</f>
        <v>6428.8899999999994</v>
      </c>
      <c r="K217" s="18"/>
      <c r="L217" s="19">
        <f t="shared" si="2"/>
        <v>698829.63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176986.31+31770.32+8869.18+389.22</f>
        <v>218015.03</v>
      </c>
      <c r="I218" s="18"/>
      <c r="J218" s="18"/>
      <c r="K218" s="18"/>
      <c r="L218" s="19">
        <f t="shared" si="2"/>
        <v>218015.03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102043.58</v>
      </c>
      <c r="G219" s="18">
        <v>42645.39</v>
      </c>
      <c r="H219" s="18">
        <f>9288+16139.12</f>
        <v>25427.120000000003</v>
      </c>
      <c r="I219" s="18">
        <f>9791.87+1086</f>
        <v>10877.87</v>
      </c>
      <c r="J219" s="18">
        <f>9627.13+302.65</f>
        <v>9929.7799999999988</v>
      </c>
      <c r="K219" s="18"/>
      <c r="L219" s="19">
        <f>SUM(F219:K219)</f>
        <v>190923.74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6517501.6099999994</v>
      </c>
      <c r="G221" s="41">
        <f>SUM(G207:G220)</f>
        <v>2944723.57</v>
      </c>
      <c r="H221" s="41">
        <f>SUM(H207:H220)</f>
        <v>1181467.55</v>
      </c>
      <c r="I221" s="41">
        <f>SUM(I207:I220)</f>
        <v>457004.35</v>
      </c>
      <c r="J221" s="41">
        <f>SUM(J207:J220)</f>
        <v>186775.63999999998</v>
      </c>
      <c r="K221" s="41">
        <f t="shared" si="3"/>
        <v>5934.12</v>
      </c>
      <c r="L221" s="41">
        <f t="shared" si="3"/>
        <v>11293406.84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47495.58</f>
        <v>47495.58</v>
      </c>
      <c r="I247" s="18"/>
      <c r="J247" s="18">
        <f>5999.99+26709+5500+1702.92+3202.92</f>
        <v>43114.829999999994</v>
      </c>
      <c r="K247" s="18"/>
      <c r="L247" s="19">
        <f t="shared" si="6"/>
        <v>90610.41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47495.58</v>
      </c>
      <c r="I248" s="41">
        <f t="shared" si="7"/>
        <v>0</v>
      </c>
      <c r="J248" s="41">
        <f t="shared" si="7"/>
        <v>43114.829999999994</v>
      </c>
      <c r="K248" s="41">
        <f t="shared" si="7"/>
        <v>0</v>
      </c>
      <c r="L248" s="41">
        <f>SUM(F248:K248)</f>
        <v>90610.41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12121606.07</v>
      </c>
      <c r="G249" s="41">
        <f t="shared" si="8"/>
        <v>5412937.46</v>
      </c>
      <c r="H249" s="41">
        <f t="shared" si="8"/>
        <v>2972813.8500000006</v>
      </c>
      <c r="I249" s="41">
        <f t="shared" si="8"/>
        <v>992786.79</v>
      </c>
      <c r="J249" s="41">
        <f t="shared" si="8"/>
        <v>364970.89999999997</v>
      </c>
      <c r="K249" s="41">
        <f t="shared" si="8"/>
        <v>11388.99</v>
      </c>
      <c r="L249" s="41">
        <f t="shared" si="8"/>
        <v>21876504.059999999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385000</v>
      </c>
      <c r="L252" s="19">
        <f>SUM(F252:K252)</f>
        <v>385000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273427.25</v>
      </c>
      <c r="L253" s="19">
        <f>SUM(F253:K253)</f>
        <v>273427.25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658427.25</v>
      </c>
      <c r="L262" s="41">
        <f t="shared" si="9"/>
        <v>658427.25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12121606.07</v>
      </c>
      <c r="G263" s="42">
        <f t="shared" si="11"/>
        <v>5412937.46</v>
      </c>
      <c r="H263" s="42">
        <f t="shared" si="11"/>
        <v>2972813.8500000006</v>
      </c>
      <c r="I263" s="42">
        <f t="shared" si="11"/>
        <v>992786.79</v>
      </c>
      <c r="J263" s="42">
        <f t="shared" si="11"/>
        <v>364970.89999999997</v>
      </c>
      <c r="K263" s="42">
        <f t="shared" si="11"/>
        <v>669816.24</v>
      </c>
      <c r="L263" s="42">
        <f t="shared" si="11"/>
        <v>22534931.309999999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39466.1</v>
      </c>
      <c r="G268" s="18">
        <v>5899.68</v>
      </c>
      <c r="H268" s="18">
        <f>6817</f>
        <v>6817</v>
      </c>
      <c r="I268" s="18">
        <v>1276.78</v>
      </c>
      <c r="J268" s="18"/>
      <c r="K268" s="18"/>
      <c r="L268" s="19">
        <f>SUM(F268:K268)</f>
        <v>53459.56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93401.34</v>
      </c>
      <c r="G269" s="18">
        <v>14893.55</v>
      </c>
      <c r="H269" s="18">
        <f>250+142</f>
        <v>392</v>
      </c>
      <c r="I269" s="18">
        <v>1349.37</v>
      </c>
      <c r="J269" s="18">
        <f>2232+4364.92+998.51</f>
        <v>7595.43</v>
      </c>
      <c r="K269" s="18"/>
      <c r="L269" s="19">
        <f>SUM(F269:K269)</f>
        <v>117631.69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13825.57</v>
      </c>
      <c r="G273" s="18">
        <v>2860.84</v>
      </c>
      <c r="H273" s="18"/>
      <c r="I273" s="18"/>
      <c r="J273" s="18"/>
      <c r="K273" s="18"/>
      <c r="L273" s="19">
        <f t="shared" ref="L273:L279" si="12">SUM(F273:K273)</f>
        <v>16686.41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1524.96</v>
      </c>
      <c r="G274" s="18">
        <v>238.97</v>
      </c>
      <c r="H274" s="18">
        <f>24592.47+2170.83</f>
        <v>26763.300000000003</v>
      </c>
      <c r="I274" s="18">
        <v>577.23</v>
      </c>
      <c r="J274" s="18"/>
      <c r="K274" s="18"/>
      <c r="L274" s="19">
        <f t="shared" si="12"/>
        <v>29104.460000000003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148217.97</v>
      </c>
      <c r="G282" s="42">
        <f t="shared" si="13"/>
        <v>23893.040000000001</v>
      </c>
      <c r="H282" s="42">
        <f t="shared" si="13"/>
        <v>33972.300000000003</v>
      </c>
      <c r="I282" s="42">
        <f t="shared" si="13"/>
        <v>3203.3799999999997</v>
      </c>
      <c r="J282" s="42">
        <f t="shared" si="13"/>
        <v>7595.43</v>
      </c>
      <c r="K282" s="42">
        <f t="shared" si="13"/>
        <v>0</v>
      </c>
      <c r="L282" s="41">
        <f t="shared" si="13"/>
        <v>216882.12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28846.79</v>
      </c>
      <c r="G287" s="18">
        <v>3800.47</v>
      </c>
      <c r="H287" s="18">
        <v>728</v>
      </c>
      <c r="I287" s="18"/>
      <c r="J287" s="18"/>
      <c r="K287" s="18"/>
      <c r="L287" s="19">
        <f>SUM(F287:K287)</f>
        <v>33375.26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121983.79+4277.81</f>
        <v>126261.59999999999</v>
      </c>
      <c r="G288" s="18">
        <v>20324.150000000001</v>
      </c>
      <c r="H288" s="18">
        <f>287.5+1725.78</f>
        <v>2013.28</v>
      </c>
      <c r="I288" s="18">
        <v>13119.16</v>
      </c>
      <c r="J288" s="18">
        <f>9993.11+8729.84</f>
        <v>18722.95</v>
      </c>
      <c r="K288" s="18"/>
      <c r="L288" s="19">
        <f>SUM(F288:K288)</f>
        <v>180441.14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1594.74</v>
      </c>
      <c r="G293" s="18">
        <v>249.91</v>
      </c>
      <c r="H293" s="18">
        <f>29296.68+4601.92</f>
        <v>33898.6</v>
      </c>
      <c r="I293" s="18"/>
      <c r="J293" s="18"/>
      <c r="K293" s="18"/>
      <c r="L293" s="19">
        <f t="shared" si="14"/>
        <v>35743.25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>
        <v>550</v>
      </c>
      <c r="I295" s="18"/>
      <c r="J295" s="18"/>
      <c r="K295" s="18"/>
      <c r="L295" s="19">
        <f t="shared" si="14"/>
        <v>550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156703.12999999998</v>
      </c>
      <c r="G301" s="42">
        <f t="shared" si="15"/>
        <v>24374.530000000002</v>
      </c>
      <c r="H301" s="42">
        <f t="shared" si="15"/>
        <v>37189.879999999997</v>
      </c>
      <c r="I301" s="42">
        <f t="shared" si="15"/>
        <v>13119.16</v>
      </c>
      <c r="J301" s="42">
        <f t="shared" si="15"/>
        <v>18722.95</v>
      </c>
      <c r="K301" s="42">
        <f t="shared" si="15"/>
        <v>0</v>
      </c>
      <c r="L301" s="41">
        <f t="shared" si="15"/>
        <v>250109.65000000002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304921.09999999998</v>
      </c>
      <c r="G330" s="41">
        <f t="shared" si="20"/>
        <v>48267.570000000007</v>
      </c>
      <c r="H330" s="41">
        <f t="shared" si="20"/>
        <v>71162.179999999993</v>
      </c>
      <c r="I330" s="41">
        <f t="shared" si="20"/>
        <v>16322.539999999999</v>
      </c>
      <c r="J330" s="41">
        <f t="shared" si="20"/>
        <v>26318.38</v>
      </c>
      <c r="K330" s="41">
        <f t="shared" si="20"/>
        <v>0</v>
      </c>
      <c r="L330" s="41">
        <f t="shared" si="20"/>
        <v>466991.77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304921.09999999998</v>
      </c>
      <c r="G344" s="41">
        <f>G330</f>
        <v>48267.570000000007</v>
      </c>
      <c r="H344" s="41">
        <f>H330</f>
        <v>71162.179999999993</v>
      </c>
      <c r="I344" s="41">
        <f>I330</f>
        <v>16322.539999999999</v>
      </c>
      <c r="J344" s="41">
        <f>J330</f>
        <v>26318.38</v>
      </c>
      <c r="K344" s="47">
        <f>K330+K343</f>
        <v>0</v>
      </c>
      <c r="L344" s="41">
        <f>L330+L343</f>
        <v>466991.77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64852.74</v>
      </c>
      <c r="G350" s="18">
        <v>39075.61</v>
      </c>
      <c r="H350" s="18">
        <f>1242.2+398.35</f>
        <v>1640.5500000000002</v>
      </c>
      <c r="I350" s="18">
        <f>61278.38+770.88</f>
        <v>62049.259999999995</v>
      </c>
      <c r="J350" s="18">
        <v>2176.6999999999998</v>
      </c>
      <c r="K350" s="18"/>
      <c r="L350" s="13">
        <f>SUM(F350:K350)</f>
        <v>169794.86000000002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104000.5</v>
      </c>
      <c r="G351" s="18">
        <v>84621.47</v>
      </c>
      <c r="H351" s="18">
        <f>1631.34+296.41</f>
        <v>1927.75</v>
      </c>
      <c r="I351" s="18">
        <f>770.88+90771.12</f>
        <v>91542</v>
      </c>
      <c r="J351" s="18"/>
      <c r="K351" s="18"/>
      <c r="L351" s="19">
        <f>SUM(F351:K351)</f>
        <v>282091.71999999997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168853.24</v>
      </c>
      <c r="G354" s="47">
        <f t="shared" si="22"/>
        <v>123697.08</v>
      </c>
      <c r="H354" s="47">
        <f t="shared" si="22"/>
        <v>3568.3</v>
      </c>
      <c r="I354" s="47">
        <f t="shared" si="22"/>
        <v>153591.26</v>
      </c>
      <c r="J354" s="47">
        <f t="shared" si="22"/>
        <v>2176.6999999999998</v>
      </c>
      <c r="K354" s="47">
        <f t="shared" si="22"/>
        <v>0</v>
      </c>
      <c r="L354" s="47">
        <f t="shared" si="22"/>
        <v>451886.57999999996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43802.7+13030.89</f>
        <v>56833.59</v>
      </c>
      <c r="G359" s="18">
        <f>71574.34+13079.56</f>
        <v>84653.9</v>
      </c>
      <c r="H359" s="18"/>
      <c r="I359" s="56">
        <f>SUM(F359:H359)</f>
        <v>141487.49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4444.79+770.88</f>
        <v>5215.67</v>
      </c>
      <c r="G360" s="63">
        <f>6117.22+770.88</f>
        <v>6888.1</v>
      </c>
      <c r="H360" s="63"/>
      <c r="I360" s="56">
        <f>SUM(F360:H360)</f>
        <v>12103.77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62049.259999999995</v>
      </c>
      <c r="G361" s="47">
        <f>SUM(G359:G360)</f>
        <v>91542</v>
      </c>
      <c r="H361" s="47">
        <f>SUM(H359:H360)</f>
        <v>0</v>
      </c>
      <c r="I361" s="47">
        <f>SUM(I359:I360)</f>
        <v>153591.25999999998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>
        <f>4854.04+25642.07+9356.4</f>
        <v>39852.51</v>
      </c>
      <c r="L371" s="13">
        <f t="shared" si="23"/>
        <v>39852.51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73304.789999999994</v>
      </c>
      <c r="L373" s="13">
        <f t="shared" si="23"/>
        <v>73304.789999999994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113157.29999999999</v>
      </c>
      <c r="L374" s="47">
        <f t="shared" si="24"/>
        <v>113157.29999999999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143.47999999999999</v>
      </c>
      <c r="I388" s="18"/>
      <c r="J388" s="24" t="s">
        <v>312</v>
      </c>
      <c r="K388" s="24" t="s">
        <v>312</v>
      </c>
      <c r="L388" s="56">
        <f t="shared" si="26"/>
        <v>143.47999999999999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143.47999999999999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143.47999999999999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>
        <f>5902</f>
        <v>5902</v>
      </c>
      <c r="J395" s="24" t="s">
        <v>312</v>
      </c>
      <c r="K395" s="24" t="s">
        <v>312</v>
      </c>
      <c r="L395" s="56">
        <f>SUM(F395:K395)</f>
        <v>5902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5902</v>
      </c>
      <c r="J399" s="49" t="s">
        <v>312</v>
      </c>
      <c r="K399" s="49" t="s">
        <v>312</v>
      </c>
      <c r="L399" s="47">
        <f>SUM(L395:L398)</f>
        <v>5902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143.47999999999999</v>
      </c>
      <c r="I400" s="47">
        <f>I385+I393+I399</f>
        <v>5902</v>
      </c>
      <c r="J400" s="24" t="s">
        <v>312</v>
      </c>
      <c r="K400" s="24" t="s">
        <v>312</v>
      </c>
      <c r="L400" s="47">
        <f>L385+L393+L399</f>
        <v>6045.48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88055</v>
      </c>
      <c r="I414" s="18"/>
      <c r="J414" s="18"/>
      <c r="K414" s="18"/>
      <c r="L414" s="56">
        <f t="shared" si="29"/>
        <v>88055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88055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88055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894</v>
      </c>
      <c r="B421" s="6">
        <v>17</v>
      </c>
      <c r="C421" s="6">
        <v>15</v>
      </c>
      <c r="D421" s="2" t="s">
        <v>456</v>
      </c>
      <c r="E421" s="6"/>
      <c r="F421" s="18">
        <v>5783.36</v>
      </c>
      <c r="G421" s="18">
        <v>958.73</v>
      </c>
      <c r="H421" s="18">
        <f>10524.48+1632</f>
        <v>12156.48</v>
      </c>
      <c r="I421" s="18">
        <v>1228.1300000000001</v>
      </c>
      <c r="J421" s="18"/>
      <c r="K421" s="18">
        <f>998.83+1540.36+1269.74</f>
        <v>3808.9300000000003</v>
      </c>
      <c r="L421" s="56">
        <f>SUM(F421:K421)</f>
        <v>23935.63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5783.36</v>
      </c>
      <c r="G425" s="47">
        <f t="shared" si="31"/>
        <v>958.73</v>
      </c>
      <c r="H425" s="47">
        <f t="shared" si="31"/>
        <v>12156.48</v>
      </c>
      <c r="I425" s="47">
        <f t="shared" si="31"/>
        <v>1228.1300000000001</v>
      </c>
      <c r="J425" s="47">
        <f t="shared" si="31"/>
        <v>0</v>
      </c>
      <c r="K425" s="47">
        <f t="shared" si="31"/>
        <v>3808.9300000000003</v>
      </c>
      <c r="L425" s="47">
        <f t="shared" si="31"/>
        <v>23935.63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5783.36</v>
      </c>
      <c r="G426" s="47">
        <f t="shared" si="32"/>
        <v>958.73</v>
      </c>
      <c r="H426" s="47">
        <f t="shared" si="32"/>
        <v>100211.48</v>
      </c>
      <c r="I426" s="47">
        <f t="shared" si="32"/>
        <v>1228.1300000000001</v>
      </c>
      <c r="J426" s="47">
        <f t="shared" si="32"/>
        <v>0</v>
      </c>
      <c r="K426" s="47">
        <f t="shared" si="32"/>
        <v>3808.9300000000003</v>
      </c>
      <c r="L426" s="47">
        <f t="shared" si="32"/>
        <v>111990.63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>
        <f>3872.76+11.16</f>
        <v>3883.92</v>
      </c>
      <c r="I433" s="56">
        <f t="shared" si="33"/>
        <v>3883.92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39444.18</v>
      </c>
      <c r="H434" s="18"/>
      <c r="I434" s="56">
        <f t="shared" si="33"/>
        <v>39444.18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39444.18</v>
      </c>
      <c r="H438" s="13">
        <f>SUM(H431:H437)</f>
        <v>3883.92</v>
      </c>
      <c r="I438" s="13">
        <f>SUM(I431:I437)</f>
        <v>43328.1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292.52</v>
      </c>
      <c r="H440" s="18"/>
      <c r="I440" s="56">
        <f>SUM(F440:H440)</f>
        <v>292.52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292.52</v>
      </c>
      <c r="H444" s="72">
        <f>SUM(H440:H443)</f>
        <v>0</v>
      </c>
      <c r="I444" s="72">
        <f>SUM(I440:I443)</f>
        <v>292.52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127063.18+-87911.52</f>
        <v>39151.659999999989</v>
      </c>
      <c r="H449" s="18">
        <f>15396.07+-11523.31+5251.74+-5240.58</f>
        <v>3883.92</v>
      </c>
      <c r="I449" s="56">
        <f>SUM(F449:H449)</f>
        <v>43035.579999999987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39151.659999999989</v>
      </c>
      <c r="H450" s="83">
        <f>SUM(H446:H449)</f>
        <v>3883.92</v>
      </c>
      <c r="I450" s="83">
        <f>SUM(I446:I449)</f>
        <v>43035.579999999987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39444.179999999986</v>
      </c>
      <c r="H451" s="42">
        <f>H444+H450</f>
        <v>3883.92</v>
      </c>
      <c r="I451" s="42">
        <f>I444+I450</f>
        <v>43328.099999999984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899594.46</v>
      </c>
      <c r="G455" s="18">
        <v>45328.39</v>
      </c>
      <c r="H455" s="18">
        <v>0</v>
      </c>
      <c r="I455" s="18">
        <v>112822.87</v>
      </c>
      <c r="J455" s="18">
        <v>148980.73000000001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21947514.109999999</v>
      </c>
      <c r="G458" s="18">
        <v>478428.66</v>
      </c>
      <c r="H458" s="18">
        <v>466991.77</v>
      </c>
      <c r="I458" s="18">
        <v>365.27</v>
      </c>
      <c r="J458" s="18">
        <f>143.48+5902</f>
        <v>6045.48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21947514.109999999</v>
      </c>
      <c r="G460" s="53">
        <f>SUM(G458:G459)</f>
        <v>478428.66</v>
      </c>
      <c r="H460" s="53">
        <f>SUM(H458:H459)</f>
        <v>466991.77</v>
      </c>
      <c r="I460" s="53">
        <f>SUM(I458:I459)</f>
        <v>365.27</v>
      </c>
      <c r="J460" s="53">
        <f>SUM(J458:J459)</f>
        <v>6045.48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22347326.97+187604.34</f>
        <v>22534931.309999999</v>
      </c>
      <c r="G462" s="18">
        <f>450344.82+1541.76</f>
        <v>451886.58</v>
      </c>
      <c r="H462" s="18">
        <v>466991.77</v>
      </c>
      <c r="I462" s="18">
        <v>113157.3</v>
      </c>
      <c r="J462" s="18">
        <f>88055+11523.31+11142.58+1269.74</f>
        <v>111990.63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22534931.309999999</v>
      </c>
      <c r="G464" s="53">
        <f>SUM(G462:G463)</f>
        <v>451886.58</v>
      </c>
      <c r="H464" s="53">
        <f>SUM(H462:H463)</f>
        <v>466991.77</v>
      </c>
      <c r="I464" s="53">
        <f>SUM(I462:I463)</f>
        <v>113157.3</v>
      </c>
      <c r="J464" s="53">
        <f>SUM(J462:J463)</f>
        <v>111990.63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312177.26000000164</v>
      </c>
      <c r="G466" s="53">
        <f>(G455+G460)- G464</f>
        <v>71870.469999999972</v>
      </c>
      <c r="H466" s="53">
        <f>(H455+H460)- H464</f>
        <v>0</v>
      </c>
      <c r="I466" s="53">
        <f>(I455+I460)- I464</f>
        <v>30.839999999996508</v>
      </c>
      <c r="J466" s="53">
        <f>(J455+J460)- J464</f>
        <v>43035.580000000016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3799000</v>
      </c>
      <c r="G483" s="18">
        <v>3883620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4.25</v>
      </c>
      <c r="G484" s="18">
        <v>4.24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2280000</v>
      </c>
      <c r="G485" s="18">
        <v>3690000</v>
      </c>
      <c r="H485" s="18"/>
      <c r="I485" s="18"/>
      <c r="J485" s="18"/>
      <c r="K485" s="53">
        <f>SUM(F485:J485)</f>
        <v>5970000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190000</v>
      </c>
      <c r="G487" s="18">
        <v>195000</v>
      </c>
      <c r="H487" s="18"/>
      <c r="I487" s="18"/>
      <c r="J487" s="18"/>
      <c r="K487" s="53">
        <f t="shared" si="34"/>
        <v>385000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2090000</v>
      </c>
      <c r="G488" s="205">
        <v>3495000</v>
      </c>
      <c r="H488" s="205"/>
      <c r="I488" s="205"/>
      <c r="J488" s="205"/>
      <c r="K488" s="206">
        <f t="shared" si="34"/>
        <v>5585000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565060</v>
      </c>
      <c r="G489" s="18">
        <v>1424403.26</v>
      </c>
      <c r="H489" s="18"/>
      <c r="I489" s="18"/>
      <c r="J489" s="18"/>
      <c r="K489" s="53">
        <f t="shared" si="34"/>
        <v>1989463.26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2655060</v>
      </c>
      <c r="G490" s="42">
        <f>SUM(G488:G489)</f>
        <v>4919403.26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7574463.2599999998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190000</v>
      </c>
      <c r="G491" s="205">
        <v>195000</v>
      </c>
      <c r="H491" s="205"/>
      <c r="I491" s="205"/>
      <c r="J491" s="205"/>
      <c r="K491" s="206">
        <f t="shared" si="34"/>
        <v>385000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49970+45885</f>
        <v>95855</v>
      </c>
      <c r="G492" s="18">
        <f>82784.38+77909.38</f>
        <v>160693.76000000001</v>
      </c>
      <c r="H492" s="18"/>
      <c r="I492" s="18"/>
      <c r="J492" s="18"/>
      <c r="K492" s="53">
        <f t="shared" si="34"/>
        <v>256548.76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285855</v>
      </c>
      <c r="G493" s="42">
        <f>SUM(G491:G492)</f>
        <v>355693.76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641548.76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59425.91+922027.99+2919.99</f>
        <v>984373.89</v>
      </c>
      <c r="G511" s="18">
        <v>449170.31</v>
      </c>
      <c r="H511" s="18">
        <v>545561.68000000005</v>
      </c>
      <c r="I511" s="18">
        <f>10329.4+99.95</f>
        <v>10429.35</v>
      </c>
      <c r="J511" s="18">
        <v>9711.36</v>
      </c>
      <c r="K511" s="18"/>
      <c r="L511" s="88">
        <f>SUM(F511:K511)</f>
        <v>1999246.59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1453781.6</v>
      </c>
      <c r="G512" s="18">
        <v>773603.04</v>
      </c>
      <c r="H512" s="18">
        <v>66450.899999999994</v>
      </c>
      <c r="I512" s="18">
        <v>16295.04</v>
      </c>
      <c r="J512" s="18">
        <v>18940.400000000001</v>
      </c>
      <c r="K512" s="18"/>
      <c r="L512" s="88">
        <f>SUM(F512:K512)</f>
        <v>2329070.98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2438155.4900000002</v>
      </c>
      <c r="G514" s="108">
        <f t="shared" ref="G514:L514" si="35">SUM(G511:G513)</f>
        <v>1222773.3500000001</v>
      </c>
      <c r="H514" s="108">
        <f t="shared" si="35"/>
        <v>612012.58000000007</v>
      </c>
      <c r="I514" s="108">
        <f t="shared" si="35"/>
        <v>26724.39</v>
      </c>
      <c r="J514" s="108">
        <f t="shared" si="35"/>
        <v>28651.760000000002</v>
      </c>
      <c r="K514" s="108">
        <f t="shared" si="35"/>
        <v>0</v>
      </c>
      <c r="L514" s="89">
        <f t="shared" si="35"/>
        <v>4328317.57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56494</v>
      </c>
      <c r="G516" s="18">
        <v>10635.68</v>
      </c>
      <c r="H516" s="18">
        <v>97797.35</v>
      </c>
      <c r="I516" s="18">
        <f>53+2525.34</f>
        <v>2578.34</v>
      </c>
      <c r="J516" s="18"/>
      <c r="K516" s="18"/>
      <c r="L516" s="88">
        <f>SUM(F516:K516)</f>
        <v>167505.37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90385.95</v>
      </c>
      <c r="G517" s="18">
        <v>9384.19</v>
      </c>
      <c r="H517" s="18">
        <v>67905.440000000002</v>
      </c>
      <c r="I517" s="18">
        <v>2525.33</v>
      </c>
      <c r="J517" s="18"/>
      <c r="K517" s="18"/>
      <c r="L517" s="88">
        <f>SUM(F517:K517)</f>
        <v>170200.91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146879.95000000001</v>
      </c>
      <c r="G519" s="89">
        <f t="shared" ref="G519:L519" si="36">SUM(G516:G518)</f>
        <v>20019.870000000003</v>
      </c>
      <c r="H519" s="89">
        <f t="shared" si="36"/>
        <v>165702.79</v>
      </c>
      <c r="I519" s="89">
        <f t="shared" si="36"/>
        <v>5103.67</v>
      </c>
      <c r="J519" s="89">
        <f t="shared" si="36"/>
        <v>0</v>
      </c>
      <c r="K519" s="89">
        <f t="shared" si="36"/>
        <v>0</v>
      </c>
      <c r="L519" s="89">
        <f t="shared" si="36"/>
        <v>337706.28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31328</v>
      </c>
      <c r="G521" s="18">
        <v>15213.37</v>
      </c>
      <c r="H521" s="18">
        <f>4820.11+125</f>
        <v>4945.1099999999997</v>
      </c>
      <c r="I521" s="18"/>
      <c r="J521" s="18"/>
      <c r="K521" s="18"/>
      <c r="L521" s="88">
        <f>SUM(F521:K521)</f>
        <v>51486.48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54207.19</v>
      </c>
      <c r="G522" s="18">
        <v>29537.759999999998</v>
      </c>
      <c r="H522" s="18">
        <f>4493.28+125</f>
        <v>4618.28</v>
      </c>
      <c r="I522" s="18"/>
      <c r="J522" s="18"/>
      <c r="K522" s="18">
        <v>780</v>
      </c>
      <c r="L522" s="88">
        <f>SUM(F522:K522)</f>
        <v>89143.23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85535.19</v>
      </c>
      <c r="G524" s="89">
        <f t="shared" ref="G524:L524" si="37">SUM(G521:G523)</f>
        <v>44751.13</v>
      </c>
      <c r="H524" s="89">
        <f t="shared" si="37"/>
        <v>9563.39</v>
      </c>
      <c r="I524" s="89">
        <f t="shared" si="37"/>
        <v>0</v>
      </c>
      <c r="J524" s="89">
        <f t="shared" si="37"/>
        <v>0</v>
      </c>
      <c r="K524" s="89">
        <f t="shared" si="37"/>
        <v>780</v>
      </c>
      <c r="L524" s="89">
        <f t="shared" si="37"/>
        <v>140629.71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45436.56+1010</f>
        <v>46446.559999999998</v>
      </c>
      <c r="I531" s="18"/>
      <c r="J531" s="18"/>
      <c r="K531" s="18"/>
      <c r="L531" s="88">
        <f>SUM(F531:K531)</f>
        <v>46446.559999999998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31770.32</v>
      </c>
      <c r="I532" s="18"/>
      <c r="J532" s="18"/>
      <c r="K532" s="18"/>
      <c r="L532" s="88">
        <f>SUM(F532:K532)</f>
        <v>31770.32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78216.88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78216.88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2670570.6300000004</v>
      </c>
      <c r="G535" s="89">
        <f t="shared" ref="G535:L535" si="40">G514+G519+G524+G529+G534</f>
        <v>1287544.3500000001</v>
      </c>
      <c r="H535" s="89">
        <f t="shared" si="40"/>
        <v>865495.64000000013</v>
      </c>
      <c r="I535" s="89">
        <f t="shared" si="40"/>
        <v>31828.059999999998</v>
      </c>
      <c r="J535" s="89">
        <f t="shared" si="40"/>
        <v>28651.760000000002</v>
      </c>
      <c r="K535" s="89">
        <f t="shared" si="40"/>
        <v>780</v>
      </c>
      <c r="L535" s="89">
        <f t="shared" si="40"/>
        <v>4884870.4400000004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1999246.59</v>
      </c>
      <c r="G539" s="87">
        <f>L516</f>
        <v>167505.37</v>
      </c>
      <c r="H539" s="87">
        <f>L521</f>
        <v>51486.48</v>
      </c>
      <c r="I539" s="87">
        <f>L526</f>
        <v>0</v>
      </c>
      <c r="J539" s="87">
        <f>L531</f>
        <v>46446.559999999998</v>
      </c>
      <c r="K539" s="87">
        <f>SUM(F539:J539)</f>
        <v>2264685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2329070.98</v>
      </c>
      <c r="G540" s="87">
        <f>L517</f>
        <v>170200.91</v>
      </c>
      <c r="H540" s="87">
        <f>L522</f>
        <v>89143.23</v>
      </c>
      <c r="I540" s="87">
        <f>L527</f>
        <v>0</v>
      </c>
      <c r="J540" s="87">
        <f>L532</f>
        <v>31770.32</v>
      </c>
      <c r="K540" s="87">
        <f>SUM(F540:J540)</f>
        <v>2620185.44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4328317.57</v>
      </c>
      <c r="G542" s="89">
        <f t="shared" si="41"/>
        <v>337706.28</v>
      </c>
      <c r="H542" s="89">
        <f t="shared" si="41"/>
        <v>140629.71</v>
      </c>
      <c r="I542" s="89">
        <f t="shared" si="41"/>
        <v>0</v>
      </c>
      <c r="J542" s="89">
        <f t="shared" si="41"/>
        <v>78216.88</v>
      </c>
      <c r="K542" s="89">
        <f t="shared" si="41"/>
        <v>4884870.4399999995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74817.66</v>
      </c>
      <c r="G572" s="18">
        <v>41536.400000000001</v>
      </c>
      <c r="H572" s="18"/>
      <c r="I572" s="87">
        <f t="shared" si="46"/>
        <v>116354.06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308784.66</f>
        <v>308784.65999999997</v>
      </c>
      <c r="I581" s="18">
        <f>176986.31</f>
        <v>176986.31</v>
      </c>
      <c r="J581" s="18"/>
      <c r="K581" s="104">
        <f t="shared" ref="K581:K587" si="47">SUM(H581:J581)</f>
        <v>485770.97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45436.56+1010</f>
        <v>46446.559999999998</v>
      </c>
      <c r="I582" s="18">
        <v>31770.32</v>
      </c>
      <c r="J582" s="18"/>
      <c r="K582" s="104">
        <f t="shared" si="47"/>
        <v>78216.88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8869.18+389.22</f>
        <v>9258.4</v>
      </c>
      <c r="J584" s="18"/>
      <c r="K584" s="104">
        <f t="shared" si="47"/>
        <v>9258.4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355231.22</v>
      </c>
      <c r="I588" s="108">
        <f>SUM(I581:I587)</f>
        <v>218015.03</v>
      </c>
      <c r="J588" s="108">
        <f>SUM(J581:J587)</f>
        <v>0</v>
      </c>
      <c r="K588" s="108">
        <f>SUM(K581:K587)</f>
        <v>573246.25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132586.08+10009.78</f>
        <v>142595.85999999999</v>
      </c>
      <c r="I594" s="18">
        <f>195568.81+10009.78</f>
        <v>205578.59</v>
      </c>
      <c r="J594" s="18"/>
      <c r="K594" s="104">
        <f>SUM(H594:J594)</f>
        <v>348174.44999999995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142595.85999999999</v>
      </c>
      <c r="I595" s="108">
        <f>SUM(I592:I594)</f>
        <v>205578.59</v>
      </c>
      <c r="J595" s="108">
        <f>SUM(J592:J594)</f>
        <v>0</v>
      </c>
      <c r="K595" s="108">
        <f>SUM(K592:K594)</f>
        <v>348174.44999999995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352707.31000000006</v>
      </c>
      <c r="H607" s="109">
        <f>SUM(F44)</f>
        <v>352707.31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91737.83</v>
      </c>
      <c r="H608" s="109">
        <f>SUM(G44)</f>
        <v>91737.83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116213.55</v>
      </c>
      <c r="H609" s="109">
        <f>SUM(H44)</f>
        <v>116213.54999999999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30.84</v>
      </c>
      <c r="H610" s="109">
        <f>SUM(I44)</f>
        <v>30.839999999996508</v>
      </c>
      <c r="I610" s="121" t="s">
        <v>104</v>
      </c>
      <c r="J610" s="109">
        <f>G610-H610</f>
        <v>3.4923175462608924E-12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43328.1</v>
      </c>
      <c r="H611" s="109">
        <f>SUM(J44)</f>
        <v>43328.099999999984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312177.26</v>
      </c>
      <c r="H612" s="109">
        <f>F466</f>
        <v>312177.26000000164</v>
      </c>
      <c r="I612" s="121" t="s">
        <v>106</v>
      </c>
      <c r="J612" s="109">
        <f t="shared" ref="J612:J645" si="49">G612-H612</f>
        <v>-1.6298145055770874E-9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71870.47</v>
      </c>
      <c r="H613" s="109">
        <f>G466</f>
        <v>71870.469999999972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30.839999999996508</v>
      </c>
      <c r="H615" s="109">
        <f>I466</f>
        <v>30.839999999996508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43035.579999999987</v>
      </c>
      <c r="H616" s="109">
        <f>J466</f>
        <v>43035.580000000016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21947514.109999999</v>
      </c>
      <c r="H617" s="104">
        <f>SUM(F458)</f>
        <v>21947514.109999999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478428.66000000003</v>
      </c>
      <c r="H618" s="104">
        <f>SUM(G458)</f>
        <v>478428.66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466991.77000000008</v>
      </c>
      <c r="H619" s="104">
        <f>SUM(H458)</f>
        <v>466991.77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365.27</v>
      </c>
      <c r="H620" s="104">
        <f>SUM(I458)</f>
        <v>365.27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6045.48</v>
      </c>
      <c r="H621" s="104">
        <f>SUM(J458)</f>
        <v>6045.48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22534931.309999999</v>
      </c>
      <c r="H622" s="104">
        <f>SUM(F462)</f>
        <v>22534931.309999999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466991.77</v>
      </c>
      <c r="H623" s="104">
        <f>SUM(H462)</f>
        <v>466991.77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153591.26</v>
      </c>
      <c r="H624" s="104">
        <f>I361</f>
        <v>153591.25999999998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451886.57999999996</v>
      </c>
      <c r="H625" s="104">
        <f>SUM(G462)</f>
        <v>451886.58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113157.29999999999</v>
      </c>
      <c r="H626" s="104">
        <f>SUM(I462)</f>
        <v>113157.3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6045.48</v>
      </c>
      <c r="H627" s="164">
        <f>SUM(J458)</f>
        <v>6045.48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111990.63</v>
      </c>
      <c r="H628" s="164">
        <f>SUM(J462)</f>
        <v>111990.63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39444.18</v>
      </c>
      <c r="H630" s="104">
        <f>SUM(G451)</f>
        <v>39444.179999999986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3883.92</v>
      </c>
      <c r="H631" s="104">
        <f>SUM(H451)</f>
        <v>3883.92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43328.1</v>
      </c>
      <c r="H632" s="104">
        <f>SUM(I451)</f>
        <v>43328.099999999984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143.47999999999999</v>
      </c>
      <c r="H634" s="104">
        <f>H400</f>
        <v>143.47999999999999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6045.48</v>
      </c>
      <c r="H636" s="104">
        <f>L400</f>
        <v>6045.48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573246.25</v>
      </c>
      <c r="H637" s="104">
        <f>L200+L218+L236</f>
        <v>573246.25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348174.44999999995</v>
      </c>
      <c r="H638" s="104">
        <f>(J249+J330)-(J247+J328)</f>
        <v>348174.44999999995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355231.22</v>
      </c>
      <c r="H639" s="104">
        <f>H588</f>
        <v>355231.22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218015.03</v>
      </c>
      <c r="H640" s="104">
        <f>I588</f>
        <v>218015.03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10879163.789999999</v>
      </c>
      <c r="G650" s="19">
        <f>(L221+L301+L351)</f>
        <v>11825608.210000001</v>
      </c>
      <c r="H650" s="19">
        <f>(L239+L320+L352)</f>
        <v>0</v>
      </c>
      <c r="I650" s="19">
        <f>SUM(F650:H650)</f>
        <v>22704772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150753.11416688102</v>
      </c>
      <c r="G651" s="19">
        <f>(L351/IF(SUM(L350:L352)=0,1,SUM(L350:L352))*(SUM(G89:G102)))</f>
        <v>250456.375833119</v>
      </c>
      <c r="H651" s="19">
        <f>(L352/IF(SUM(L350:L352)=0,1,SUM(L350:L352))*(SUM(G89:G102)))</f>
        <v>0</v>
      </c>
      <c r="I651" s="19">
        <f>SUM(F651:H651)</f>
        <v>401209.49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355231.22</v>
      </c>
      <c r="G652" s="19">
        <f>(L218+L298)-(J218+J298)</f>
        <v>218015.03</v>
      </c>
      <c r="H652" s="19">
        <f>(L236+L317)-(J236+J317)</f>
        <v>0</v>
      </c>
      <c r="I652" s="19">
        <f>SUM(F652:H652)</f>
        <v>573246.25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217413.52</v>
      </c>
      <c r="G653" s="200">
        <f>SUM(G565:G577)+SUM(I592:I594)+L602</f>
        <v>247114.99</v>
      </c>
      <c r="H653" s="200">
        <f>SUM(H565:H577)+SUM(J592:J594)+L603</f>
        <v>0</v>
      </c>
      <c r="I653" s="19">
        <f>SUM(F653:H653)</f>
        <v>464528.51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10155765.935833119</v>
      </c>
      <c r="G654" s="19">
        <f>G650-SUM(G651:G653)</f>
        <v>11110021.814166881</v>
      </c>
      <c r="H654" s="19">
        <f>H650-SUM(H651:H653)</f>
        <v>0</v>
      </c>
      <c r="I654" s="19">
        <f>I650-SUM(I651:I653)</f>
        <v>21265787.75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589.9</v>
      </c>
      <c r="G655" s="249">
        <v>801.59</v>
      </c>
      <c r="H655" s="249"/>
      <c r="I655" s="19">
        <f>SUM(F655:H655)</f>
        <v>1391.49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17216.080000000002</v>
      </c>
      <c r="G657" s="19">
        <f>ROUND(G654/G655,2)</f>
        <v>13859.98</v>
      </c>
      <c r="H657" s="19" t="e">
        <f>ROUND(H654/H655,2)</f>
        <v>#DIV/0!</v>
      </c>
      <c r="I657" s="19">
        <f>ROUND(I654/I655,2)</f>
        <v>15282.75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17216.080000000002</v>
      </c>
      <c r="G662" s="19">
        <f>ROUND((G654+G659)/(G655+G660),2)</f>
        <v>13859.98</v>
      </c>
      <c r="H662" s="19" t="e">
        <f>ROUND((H654+H659)/(H655+H660),2)</f>
        <v>#DIV/0!</v>
      </c>
      <c r="I662" s="19">
        <f>ROUND((I654+I659)/(I655+I660),2)</f>
        <v>15282.75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A9C8-AC08-4345-B334-D3E2EF925378}">
  <sheetPr>
    <tabColor indexed="20"/>
  </sheetPr>
  <dimension ref="A1:C52"/>
  <sheetViews>
    <sheetView workbookViewId="0">
      <selection activeCell="E15" sqref="E1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Amherst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7512002.6799999997</v>
      </c>
      <c r="C9" s="230">
        <f>'DOE25'!G189+'DOE25'!G207+'DOE25'!G225+'DOE25'!G268+'DOE25'!G287+'DOE25'!G306</f>
        <v>3092451.4200000004</v>
      </c>
    </row>
    <row r="10" spans="1:3" x14ac:dyDescent="0.2">
      <c r="A10" t="s">
        <v>810</v>
      </c>
      <c r="B10" s="241">
        <f>5841.45+7146051.1</f>
        <v>7151892.5499999998</v>
      </c>
      <c r="C10" s="241">
        <v>2944205.59</v>
      </c>
    </row>
    <row r="11" spans="1:3" x14ac:dyDescent="0.2">
      <c r="A11" t="s">
        <v>811</v>
      </c>
      <c r="B11" s="241">
        <v>339110.13</v>
      </c>
      <c r="C11" s="241">
        <v>139600.79999999999</v>
      </c>
    </row>
    <row r="12" spans="1:3" x14ac:dyDescent="0.2">
      <c r="A12" t="s">
        <v>812</v>
      </c>
      <c r="B12" s="241">
        <v>21000</v>
      </c>
      <c r="C12" s="241">
        <v>8645.0300000000007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7512002.6799999997</v>
      </c>
      <c r="C13" s="232">
        <f>SUM(C10:C12)</f>
        <v>3092451.4199999995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2670570.63</v>
      </c>
      <c r="C18" s="230">
        <f>'DOE25'!G190+'DOE25'!G208+'DOE25'!G226+'DOE25'!G269+'DOE25'!G288+'DOE25'!G307</f>
        <v>1287544.3499999999</v>
      </c>
    </row>
    <row r="19" spans="1:3" x14ac:dyDescent="0.2">
      <c r="A19" t="s">
        <v>810</v>
      </c>
      <c r="B19" s="241">
        <f>75074.74+389967.37+752074.81+2511.75+10190.7+10284.3+21298.39+35584.48+42434.73+4277.81+90479.35+121983.79+2921.99</f>
        <v>1559084.21</v>
      </c>
      <c r="C19" s="241">
        <v>751670.84</v>
      </c>
    </row>
    <row r="20" spans="1:3" x14ac:dyDescent="0.2">
      <c r="A20" t="s">
        <v>811</v>
      </c>
      <c r="B20" s="241">
        <f>9934.69+138293.33+259271.5+6306.85+156834.48+225371</f>
        <v>796011.85</v>
      </c>
      <c r="C20" s="241">
        <v>383775.87</v>
      </c>
    </row>
    <row r="21" spans="1:3" x14ac:dyDescent="0.2">
      <c r="A21" t="s">
        <v>812</v>
      </c>
      <c r="B21" s="241">
        <f>31328+32908.8+90383.95+56494+17039.27+42386.64+34078.53+10855.38</f>
        <v>315474.56999999995</v>
      </c>
      <c r="C21" s="241">
        <v>152097.64000000001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2670570.63</v>
      </c>
      <c r="C22" s="232">
        <f>SUM(C19:C21)</f>
        <v>1287544.3500000001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66433</v>
      </c>
      <c r="C36" s="236">
        <f>'DOE25'!G192+'DOE25'!G210+'DOE25'!G228+'DOE25'!G271+'DOE25'!G290+'DOE25'!G309</f>
        <v>9763.6899999999987</v>
      </c>
    </row>
    <row r="37" spans="1:3" x14ac:dyDescent="0.2">
      <c r="A37" t="s">
        <v>810</v>
      </c>
      <c r="B37" s="241">
        <v>30700</v>
      </c>
      <c r="C37" s="241">
        <v>4511.99</v>
      </c>
    </row>
    <row r="38" spans="1:3" x14ac:dyDescent="0.2">
      <c r="A38" t="s">
        <v>811</v>
      </c>
      <c r="B38" s="241">
        <v>17005</v>
      </c>
      <c r="C38" s="241">
        <v>2499.23</v>
      </c>
    </row>
    <row r="39" spans="1:3" x14ac:dyDescent="0.2">
      <c r="A39" t="s">
        <v>812</v>
      </c>
      <c r="B39" s="241">
        <v>18728</v>
      </c>
      <c r="C39" s="241">
        <v>2752.47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66433</v>
      </c>
      <c r="C40" s="232">
        <f>SUM(C37:C39)</f>
        <v>9763.6899999999987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0E49-B33E-4F5E-8B89-DE0FB552B658}">
  <sheetPr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Amherst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15949397.530000001</v>
      </c>
      <c r="D5" s="20">
        <f>SUM('DOE25'!L189:L192)+SUM('DOE25'!L207:L210)+SUM('DOE25'!L225:L228)-F5-G5</f>
        <v>15659908.920000002</v>
      </c>
      <c r="E5" s="244"/>
      <c r="F5" s="256">
        <f>SUM('DOE25'!J189:J192)+SUM('DOE25'!J207:J210)+SUM('DOE25'!J225:J228)</f>
        <v>288708.61</v>
      </c>
      <c r="G5" s="53">
        <f>SUM('DOE25'!K189:K192)+SUM('DOE25'!K207:K210)+SUM('DOE25'!K225:K228)</f>
        <v>780</v>
      </c>
      <c r="H5" s="260"/>
    </row>
    <row r="6" spans="1:9" x14ac:dyDescent="0.2">
      <c r="A6" s="32">
        <v>2100</v>
      </c>
      <c r="B6" t="s">
        <v>832</v>
      </c>
      <c r="C6" s="246">
        <f t="shared" si="0"/>
        <v>954354.17999999993</v>
      </c>
      <c r="D6" s="20">
        <f>'DOE25'!L194+'DOE25'!L212+'DOE25'!L230-F6-G6</f>
        <v>954264.17999999993</v>
      </c>
      <c r="E6" s="244"/>
      <c r="F6" s="256">
        <f>'DOE25'!J194+'DOE25'!J212+'DOE25'!J230</f>
        <v>90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406787.49</v>
      </c>
      <c r="D7" s="20">
        <f>'DOE25'!L195+'DOE25'!L213+'DOE25'!L231-F7-G7</f>
        <v>406787.49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1108635.81</v>
      </c>
      <c r="D8" s="244"/>
      <c r="E8" s="20">
        <f>'DOE25'!L196+'DOE25'!L214+'DOE25'!L232-F8-G8-D9-D11</f>
        <v>1101806.07</v>
      </c>
      <c r="F8" s="256">
        <f>'DOE25'!J196+'DOE25'!J214+'DOE25'!J232</f>
        <v>0</v>
      </c>
      <c r="G8" s="53">
        <f>'DOE25'!K196+'DOE25'!K214+'DOE25'!K232</f>
        <v>6829.74</v>
      </c>
      <c r="H8" s="260"/>
    </row>
    <row r="9" spans="1:9" x14ac:dyDescent="0.2">
      <c r="A9" s="32">
        <v>2310</v>
      </c>
      <c r="B9" t="s">
        <v>849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1117908.3900000001</v>
      </c>
      <c r="D12" s="20">
        <f>'DOE25'!L197+'DOE25'!L215+'DOE25'!L233-F12-G12</f>
        <v>1112032.6600000001</v>
      </c>
      <c r="E12" s="244"/>
      <c r="F12" s="256">
        <f>'DOE25'!J197+'DOE25'!J215+'DOE25'!J233</f>
        <v>2096.48</v>
      </c>
      <c r="G12" s="53">
        <f>'DOE25'!K197+'DOE25'!K215+'DOE25'!K233</f>
        <v>3779.25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2503.4300000000003</v>
      </c>
      <c r="D13" s="244"/>
      <c r="E13" s="20">
        <f>'DOE25'!L198+'DOE25'!L216+'DOE25'!L234-F13-G13</f>
        <v>2503.4300000000003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1351791.2599999998</v>
      </c>
      <c r="D14" s="20">
        <f>'DOE25'!L199+'DOE25'!L217+'DOE25'!L235-F14-G14</f>
        <v>1344501.4199999997</v>
      </c>
      <c r="E14" s="244"/>
      <c r="F14" s="256">
        <f>'DOE25'!J199+'DOE25'!J217+'DOE25'!J235</f>
        <v>7289.8399999999992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573246.25</v>
      </c>
      <c r="D15" s="20">
        <f>'DOE25'!L200+'DOE25'!L218+'DOE25'!L236-F15-G15</f>
        <v>573246.25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321269.31</v>
      </c>
      <c r="D16" s="244"/>
      <c r="E16" s="20">
        <f>'DOE25'!L201+'DOE25'!L219+'DOE25'!L237-F16-G16</f>
        <v>297598.17</v>
      </c>
      <c r="F16" s="256">
        <f>'DOE25'!J201+'DOE25'!J219+'DOE25'!J237</f>
        <v>23671.14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90610.41</v>
      </c>
      <c r="D22" s="244"/>
      <c r="E22" s="244"/>
      <c r="F22" s="256">
        <f>'DOE25'!L247+'DOE25'!L328</f>
        <v>90610.41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658427.25</v>
      </c>
      <c r="D25" s="244"/>
      <c r="E25" s="244"/>
      <c r="F25" s="259"/>
      <c r="G25" s="257"/>
      <c r="H25" s="258">
        <f>'DOE25'!L252+'DOE25'!L253+'DOE25'!L333+'DOE25'!L334</f>
        <v>658427.25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310399.08999999997</v>
      </c>
      <c r="D29" s="20">
        <f>'DOE25'!L350+'DOE25'!L351+'DOE25'!L352-'DOE25'!I359-F29-G29</f>
        <v>308222.38999999996</v>
      </c>
      <c r="E29" s="244"/>
      <c r="F29" s="256">
        <f>'DOE25'!J350+'DOE25'!J351+'DOE25'!J352</f>
        <v>2176.6999999999998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466991.77</v>
      </c>
      <c r="D31" s="20">
        <f>'DOE25'!L282+'DOE25'!L301+'DOE25'!L320+'DOE25'!L325+'DOE25'!L326+'DOE25'!L327-F31-G31</f>
        <v>440673.39</v>
      </c>
      <c r="E31" s="244"/>
      <c r="F31" s="256">
        <f>'DOE25'!J282+'DOE25'!J301+'DOE25'!J320+'DOE25'!J325+'DOE25'!J326+'DOE25'!J327</f>
        <v>26318.38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20799636.699999999</v>
      </c>
      <c r="E33" s="247">
        <f>SUM(E5:E31)</f>
        <v>1401907.67</v>
      </c>
      <c r="F33" s="247">
        <f>SUM(F5:F31)</f>
        <v>440961.56</v>
      </c>
      <c r="G33" s="247">
        <f>SUM(G5:G31)</f>
        <v>11388.99</v>
      </c>
      <c r="H33" s="247">
        <f>SUM(H5:H31)</f>
        <v>658427.25</v>
      </c>
    </row>
    <row r="35" spans="2:8" ht="12" thickBot="1" x14ac:dyDescent="0.25">
      <c r="B35" s="254" t="s">
        <v>878</v>
      </c>
      <c r="D35" s="255">
        <f>E33</f>
        <v>1401907.67</v>
      </c>
      <c r="E35" s="250"/>
    </row>
    <row r="36" spans="2:8" ht="12" thickTop="1" x14ac:dyDescent="0.2">
      <c r="B36" t="s">
        <v>846</v>
      </c>
      <c r="D36" s="20">
        <f>D33</f>
        <v>20799636.699999999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AC6E-A166-4C26-B744-B28020CD3574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Amherst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302620.65000000002</v>
      </c>
      <c r="D9" s="95">
        <f>'DOE25'!G9</f>
        <v>0</v>
      </c>
      <c r="E9" s="95">
        <f>'DOE25'!H9</f>
        <v>0</v>
      </c>
      <c r="F9" s="95">
        <f>'DOE25'!I9</f>
        <v>30.84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38687.31</v>
      </c>
      <c r="D12" s="95">
        <f>'DOE25'!G12</f>
        <v>65463.72</v>
      </c>
      <c r="E12" s="95">
        <f>'DOE25'!H12</f>
        <v>0</v>
      </c>
      <c r="F12" s="95">
        <f>'DOE25'!I12</f>
        <v>0</v>
      </c>
      <c r="G12" s="95">
        <f>'DOE25'!J12</f>
        <v>3883.92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8007.77</v>
      </c>
      <c r="D13" s="95">
        <f>'DOE25'!G13</f>
        <v>26111</v>
      </c>
      <c r="E13" s="95">
        <f>'DOE25'!H13</f>
        <v>116213.55</v>
      </c>
      <c r="F13" s="95">
        <f>'DOE25'!I13</f>
        <v>0</v>
      </c>
      <c r="G13" s="95">
        <f>'DOE25'!J13</f>
        <v>39444.18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163.11000000000001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3391.58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352707.31000000006</v>
      </c>
      <c r="D19" s="41">
        <f>SUM(D9:D18)</f>
        <v>91737.83</v>
      </c>
      <c r="E19" s="41">
        <f>SUM(E9:E18)</f>
        <v>116213.55</v>
      </c>
      <c r="F19" s="41">
        <f>SUM(F9:F18)</f>
        <v>30.84</v>
      </c>
      <c r="G19" s="41">
        <f>SUM(G9:G18)</f>
        <v>43328.1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107742.43</v>
      </c>
      <c r="F22" s="95">
        <f>'DOE25'!I23</f>
        <v>0</v>
      </c>
      <c r="G22" s="95">
        <f>'DOE25'!J23</f>
        <v>292.52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8613.84</v>
      </c>
      <c r="D23" s="95">
        <f>'DOE25'!G24</f>
        <v>19627.259999999998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459.39</v>
      </c>
      <c r="D24" s="95">
        <f>'DOE25'!G25</f>
        <v>240.1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3960.01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19414.64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7900</v>
      </c>
      <c r="D30" s="95">
        <f>'DOE25'!G31</f>
        <v>0</v>
      </c>
      <c r="E30" s="95">
        <f>'DOE25'!H31</f>
        <v>8471.1200000000008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182.17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40530.049999999996</v>
      </c>
      <c r="D32" s="41">
        <f>SUM(D22:D31)</f>
        <v>19867.359999999997</v>
      </c>
      <c r="E32" s="41">
        <f>SUM(E22:E31)</f>
        <v>116213.54999999999</v>
      </c>
      <c r="F32" s="41">
        <f>SUM(F22:F31)</f>
        <v>0</v>
      </c>
      <c r="G32" s="41">
        <f>SUM(G22:G31)</f>
        <v>292.52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108587.64</v>
      </c>
      <c r="D36" s="95">
        <f>'DOE25'!G37</f>
        <v>310.02999999999997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30000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46046.85</v>
      </c>
      <c r="D40" s="95">
        <f>'DOE25'!G41</f>
        <v>71560.44</v>
      </c>
      <c r="E40" s="95">
        <f>'DOE25'!H41</f>
        <v>0</v>
      </c>
      <c r="F40" s="95">
        <f>'DOE25'!I41</f>
        <v>30.839999999996508</v>
      </c>
      <c r="G40" s="95">
        <f>'DOE25'!J41</f>
        <v>43035.579999999987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127542.77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312177.26</v>
      </c>
      <c r="D42" s="41">
        <f>SUM(D34:D41)</f>
        <v>71870.47</v>
      </c>
      <c r="E42" s="41">
        <f>SUM(E34:E41)</f>
        <v>0</v>
      </c>
      <c r="F42" s="41">
        <f>SUM(F34:F41)</f>
        <v>30.839999999996508</v>
      </c>
      <c r="G42" s="41">
        <f>SUM(G34:G41)</f>
        <v>43035.579999999987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352707.31</v>
      </c>
      <c r="D43" s="41">
        <f>D42+D32</f>
        <v>91737.83</v>
      </c>
      <c r="E43" s="41">
        <f>E42+E32</f>
        <v>116213.54999999999</v>
      </c>
      <c r="F43" s="41">
        <f>F42+F32</f>
        <v>30.839999999996508</v>
      </c>
      <c r="G43" s="41">
        <f>G42+G32</f>
        <v>43328.099999999984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15329397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955559.65999999992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8182.65</v>
      </c>
      <c r="D51" s="95">
        <f>'DOE25'!G88</f>
        <v>0</v>
      </c>
      <c r="E51" s="95">
        <f>'DOE25'!H88</f>
        <v>0</v>
      </c>
      <c r="F51" s="95">
        <f>'DOE25'!I88</f>
        <v>365.27</v>
      </c>
      <c r="G51" s="95">
        <f>'DOE25'!J88</f>
        <v>143.47999999999999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399481.84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29464.340000000004</v>
      </c>
      <c r="D53" s="95">
        <f>SUM('DOE25'!G90:G102)</f>
        <v>1727.65</v>
      </c>
      <c r="E53" s="95">
        <f>SUM('DOE25'!H90:H102)</f>
        <v>5420.58</v>
      </c>
      <c r="F53" s="95">
        <f>SUM('DOE25'!I90:I102)</f>
        <v>0</v>
      </c>
      <c r="G53" s="95">
        <f>SUM('DOE25'!J90:J102)</f>
        <v>5902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993206.64999999991</v>
      </c>
      <c r="D54" s="130">
        <f>SUM(D49:D53)</f>
        <v>401209.49000000005</v>
      </c>
      <c r="E54" s="130">
        <f>SUM(E49:E53)</f>
        <v>5420.58</v>
      </c>
      <c r="F54" s="130">
        <f>SUM(F49:F53)</f>
        <v>365.27</v>
      </c>
      <c r="G54" s="130">
        <f>SUM(G49:G53)</f>
        <v>6045.48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16322603.65</v>
      </c>
      <c r="D55" s="22">
        <f>D48+D54</f>
        <v>401209.49000000005</v>
      </c>
      <c r="E55" s="22">
        <f>E48+E54</f>
        <v>5420.58</v>
      </c>
      <c r="F55" s="22">
        <f>F48+F54</f>
        <v>365.27</v>
      </c>
      <c r="G55" s="22">
        <f>G48+G54</f>
        <v>6045.48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2565621.63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2413776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93054.37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1856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5074308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157401.94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238193.58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4191.03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395595.52000000002</v>
      </c>
      <c r="D70" s="130">
        <f>SUM(D64:D69)</f>
        <v>4191.03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5469903.5199999996</v>
      </c>
      <c r="D73" s="130">
        <f>SUM(D71:D72)+D70+D62</f>
        <v>4191.03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81702.149999999994</v>
      </c>
      <c r="D80" s="95">
        <f>SUM('DOE25'!G145:G153)</f>
        <v>73028.14</v>
      </c>
      <c r="E80" s="95">
        <f>SUM('DOE25'!H145:H153)</f>
        <v>461571.19000000006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81702.149999999994</v>
      </c>
      <c r="D83" s="131">
        <f>SUM(D77:D82)</f>
        <v>73028.14</v>
      </c>
      <c r="E83" s="131">
        <f>SUM(E77:E82)</f>
        <v>461571.19000000006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73304.789999999994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73304.789999999994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21947514.109999999</v>
      </c>
      <c r="D96" s="86">
        <f>D55+D73+D83+D95</f>
        <v>478428.66000000009</v>
      </c>
      <c r="E96" s="86">
        <f>E55+E73+E83+E95</f>
        <v>466991.77000000008</v>
      </c>
      <c r="F96" s="86">
        <f>F55+F73+F83+F95</f>
        <v>365.27</v>
      </c>
      <c r="G96" s="86">
        <f>G55+G73+G95</f>
        <v>6045.48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11352398.550000001</v>
      </c>
      <c r="D101" s="24" t="s">
        <v>312</v>
      </c>
      <c r="E101" s="95">
        <f>('DOE25'!L268)+('DOE25'!L287)+('DOE25'!L306)</f>
        <v>86834.82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4508580.7300000004</v>
      </c>
      <c r="D102" s="24" t="s">
        <v>312</v>
      </c>
      <c r="E102" s="95">
        <f>('DOE25'!L269)+('DOE25'!L288)+('DOE25'!L307)</f>
        <v>298072.83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88418.25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15949397.530000001</v>
      </c>
      <c r="D107" s="86">
        <f>SUM(D101:D106)</f>
        <v>0</v>
      </c>
      <c r="E107" s="86">
        <f>SUM(E101:E106)</f>
        <v>384907.65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954354.17999999993</v>
      </c>
      <c r="D110" s="24" t="s">
        <v>312</v>
      </c>
      <c r="E110" s="95">
        <f>+('DOE25'!L273)+('DOE25'!L292)+('DOE25'!L311)</f>
        <v>16686.41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406787.49</v>
      </c>
      <c r="D111" s="24" t="s">
        <v>312</v>
      </c>
      <c r="E111" s="95">
        <f>+('DOE25'!L274)+('DOE25'!L293)+('DOE25'!L312)</f>
        <v>64847.710000000006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1108635.81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1117908.3900000001</v>
      </c>
      <c r="D113" s="24" t="s">
        <v>312</v>
      </c>
      <c r="E113" s="95">
        <f>+('DOE25'!L276)+('DOE25'!L295)+('DOE25'!L314)</f>
        <v>550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2503.4300000000003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1351791.2599999998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573246.25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321269.31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451886.57999999996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5836496.1200000001</v>
      </c>
      <c r="D120" s="86">
        <f>SUM(D110:D119)</f>
        <v>451886.57999999996</v>
      </c>
      <c r="E120" s="86">
        <f>SUM(E110:E119)</f>
        <v>82084.12000000001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90610.41</v>
      </c>
      <c r="D122" s="24" t="s">
        <v>312</v>
      </c>
      <c r="E122" s="129">
        <f>'DOE25'!L328</f>
        <v>0</v>
      </c>
      <c r="F122" s="129">
        <f>SUM('DOE25'!L366:'DOE25'!L372)</f>
        <v>39852.51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385000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273427.25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73304.789999999994</v>
      </c>
      <c r="G126" s="95">
        <f>'DOE25'!K426</f>
        <v>3808.9300000000003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143.47999999999999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5902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-6045.48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749037.66</v>
      </c>
      <c r="D136" s="141">
        <f>SUM(D122:D135)</f>
        <v>0</v>
      </c>
      <c r="E136" s="141">
        <f>SUM(E122:E135)</f>
        <v>0</v>
      </c>
      <c r="F136" s="141">
        <f>SUM(F122:F135)</f>
        <v>113157.29999999999</v>
      </c>
      <c r="G136" s="141">
        <f>SUM(G122:G135)</f>
        <v>3808.9300000000003</v>
      </c>
    </row>
    <row r="137" spans="1:9" ht="12.75" thickTop="1" thickBot="1" x14ac:dyDescent="0.25">
      <c r="A137" s="33" t="s">
        <v>267</v>
      </c>
      <c r="C137" s="86">
        <f>(C107+C120+C136)</f>
        <v>22534931.310000002</v>
      </c>
      <c r="D137" s="86">
        <f>(D107+D120+D136)</f>
        <v>451886.57999999996</v>
      </c>
      <c r="E137" s="86">
        <f>(E107+E120+E136)</f>
        <v>466991.77</v>
      </c>
      <c r="F137" s="86">
        <f>(F107+F120+F136)</f>
        <v>113157.29999999999</v>
      </c>
      <c r="G137" s="86">
        <f>(G107+G120+G136)</f>
        <v>3808.9300000000003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07/01</v>
      </c>
      <c r="C144" s="152" t="str">
        <f>'DOE25'!G481</f>
        <v>07/08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07/21</v>
      </c>
      <c r="C145" s="152" t="str">
        <f>'DOE25'!G482</f>
        <v>08/28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3799000</v>
      </c>
      <c r="C146" s="137">
        <f>'DOE25'!G483</f>
        <v>3883620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4.25</v>
      </c>
      <c r="C147" s="137">
        <f>'DOE25'!G484</f>
        <v>4.24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2280000</v>
      </c>
      <c r="C148" s="137">
        <f>'DOE25'!G485</f>
        <v>3690000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5970000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190000</v>
      </c>
      <c r="C150" s="137">
        <f>'DOE25'!G487</f>
        <v>195000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385000</v>
      </c>
    </row>
    <row r="151" spans="1:7" x14ac:dyDescent="0.2">
      <c r="A151" s="22" t="s">
        <v>35</v>
      </c>
      <c r="B151" s="137">
        <f>'DOE25'!F488</f>
        <v>2090000</v>
      </c>
      <c r="C151" s="137">
        <f>'DOE25'!G488</f>
        <v>3495000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5585000</v>
      </c>
    </row>
    <row r="152" spans="1:7" x14ac:dyDescent="0.2">
      <c r="A152" s="22" t="s">
        <v>36</v>
      </c>
      <c r="B152" s="137">
        <f>'DOE25'!F489</f>
        <v>565060</v>
      </c>
      <c r="C152" s="137">
        <f>'DOE25'!G489</f>
        <v>1424403.26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1989463.26</v>
      </c>
    </row>
    <row r="153" spans="1:7" x14ac:dyDescent="0.2">
      <c r="A153" s="22" t="s">
        <v>37</v>
      </c>
      <c r="B153" s="137">
        <f>'DOE25'!F490</f>
        <v>2655060</v>
      </c>
      <c r="C153" s="137">
        <f>'DOE25'!G490</f>
        <v>4919403.26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7574463.2599999998</v>
      </c>
    </row>
    <row r="154" spans="1:7" x14ac:dyDescent="0.2">
      <c r="A154" s="22" t="s">
        <v>38</v>
      </c>
      <c r="B154" s="137">
        <f>'DOE25'!F491</f>
        <v>190000</v>
      </c>
      <c r="C154" s="137">
        <f>'DOE25'!G491</f>
        <v>195000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385000</v>
      </c>
    </row>
    <row r="155" spans="1:7" x14ac:dyDescent="0.2">
      <c r="A155" s="22" t="s">
        <v>39</v>
      </c>
      <c r="B155" s="137">
        <f>'DOE25'!F492</f>
        <v>95855</v>
      </c>
      <c r="C155" s="137">
        <f>'DOE25'!G492</f>
        <v>160693.76000000001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256548.76</v>
      </c>
    </row>
    <row r="156" spans="1:7" x14ac:dyDescent="0.2">
      <c r="A156" s="22" t="s">
        <v>269</v>
      </c>
      <c r="B156" s="137">
        <f>'DOE25'!F493</f>
        <v>285855</v>
      </c>
      <c r="C156" s="137">
        <f>'DOE25'!G493</f>
        <v>355693.76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641548.76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2DB0-F9F0-4502-B237-B6E7EF21A3D9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Amherst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17216</v>
      </c>
    </row>
    <row r="5" spans="1:4" x14ac:dyDescent="0.2">
      <c r="B5" t="s">
        <v>735</v>
      </c>
      <c r="C5" s="179">
        <f>IF('DOE25'!G655+'DOE25'!G660=0,0,ROUND('DOE25'!G662,0))</f>
        <v>13860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15283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11439233</v>
      </c>
      <c r="D10" s="182">
        <f>ROUND((C10/$C$28)*100,1)</f>
        <v>50.7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4806654</v>
      </c>
      <c r="D11" s="182">
        <f>ROUND((C11/$C$28)*100,1)</f>
        <v>21.3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88418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971041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471635</v>
      </c>
      <c r="D16" s="182">
        <f t="shared" si="0"/>
        <v>2.1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1429905</v>
      </c>
      <c r="D17" s="182">
        <f t="shared" si="0"/>
        <v>6.3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1118458</v>
      </c>
      <c r="D18" s="182">
        <f t="shared" si="0"/>
        <v>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2503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1351791</v>
      </c>
      <c r="D20" s="182">
        <f t="shared" si="0"/>
        <v>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573246</v>
      </c>
      <c r="D21" s="182">
        <f t="shared" si="0"/>
        <v>2.5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273427</v>
      </c>
      <c r="D25" s="182">
        <f t="shared" si="0"/>
        <v>1.2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50677.510000000009</v>
      </c>
      <c r="D27" s="182">
        <f t="shared" si="0"/>
        <v>0.2</v>
      </c>
    </row>
    <row r="28" spans="1:4" x14ac:dyDescent="0.2">
      <c r="B28" s="187" t="s">
        <v>754</v>
      </c>
      <c r="C28" s="180">
        <f>SUM(C10:C27)</f>
        <v>22576988.510000002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130463</v>
      </c>
    </row>
    <row r="30" spans="1:4" x14ac:dyDescent="0.2">
      <c r="B30" s="187" t="s">
        <v>760</v>
      </c>
      <c r="C30" s="180">
        <f>SUM(C28:C29)</f>
        <v>22707451.510000002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385000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15329397</v>
      </c>
      <c r="D35" s="182">
        <f t="shared" ref="D35:D40" si="1">ROUND((C35/$C$41)*100,1)</f>
        <v>68.400000000000006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1005037.9800000004</v>
      </c>
      <c r="D36" s="182">
        <f t="shared" si="1"/>
        <v>4.5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5072452</v>
      </c>
      <c r="D37" s="182">
        <f t="shared" si="1"/>
        <v>22.6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401643</v>
      </c>
      <c r="D38" s="182">
        <f t="shared" si="1"/>
        <v>1.8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616301</v>
      </c>
      <c r="D39" s="182">
        <f t="shared" si="1"/>
        <v>2.7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22424830.98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56EF-CF1F-4710-AC91-8C6AC69EE37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Amherst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2011-08-22T17:16:23Z</cp:lastPrinted>
  <dcterms:created xsi:type="dcterms:W3CDTF">1997-12-04T19:04:30Z</dcterms:created>
  <dcterms:modified xsi:type="dcterms:W3CDTF">2025-01-09T20:36:46Z</dcterms:modified>
</cp:coreProperties>
</file>