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7EC552DC-A482-4782-BF5F-792F67989BB4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8F8AA0B2-33C4-4003-85F1-88064165B4A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G511" i="1"/>
  <c r="F462" i="1"/>
  <c r="F464" i="1"/>
  <c r="H516" i="1"/>
  <c r="J511" i="1"/>
  <c r="I511" i="1"/>
  <c r="H511" i="1"/>
  <c r="H12" i="1"/>
  <c r="G41" i="1"/>
  <c r="G43" i="1" s="1"/>
  <c r="H458" i="1"/>
  <c r="H460" i="1" s="1"/>
  <c r="H466" i="1" s="1"/>
  <c r="H614" i="1" s="1"/>
  <c r="J614" i="1" s="1"/>
  <c r="F359" i="1"/>
  <c r="F361" i="1" s="1"/>
  <c r="K247" i="1"/>
  <c r="H199" i="1"/>
  <c r="H197" i="1"/>
  <c r="H196" i="1"/>
  <c r="H195" i="1"/>
  <c r="F88" i="1"/>
  <c r="F30" i="1"/>
  <c r="C37" i="10"/>
  <c r="C60" i="2"/>
  <c r="B2" i="13"/>
  <c r="F8" i="13"/>
  <c r="G8" i="13"/>
  <c r="L196" i="1"/>
  <c r="L214" i="1"/>
  <c r="L232" i="1"/>
  <c r="D39" i="13"/>
  <c r="F13" i="13"/>
  <c r="G13" i="13"/>
  <c r="L198" i="1"/>
  <c r="L216" i="1"/>
  <c r="E13" i="13" s="1"/>
  <c r="L234" i="1"/>
  <c r="C114" i="2" s="1"/>
  <c r="F16" i="13"/>
  <c r="E16" i="13" s="1"/>
  <c r="C16" i="13" s="1"/>
  <c r="G16" i="13"/>
  <c r="L201" i="1"/>
  <c r="L219" i="1"/>
  <c r="L237" i="1"/>
  <c r="F5" i="13"/>
  <c r="G5" i="13"/>
  <c r="L189" i="1"/>
  <c r="L190" i="1"/>
  <c r="L191" i="1"/>
  <c r="C12" i="10" s="1"/>
  <c r="L192" i="1"/>
  <c r="C104" i="2" s="1"/>
  <c r="L207" i="1"/>
  <c r="L221" i="1" s="1"/>
  <c r="G650" i="1" s="1"/>
  <c r="L208" i="1"/>
  <c r="L209" i="1"/>
  <c r="L210" i="1"/>
  <c r="L225" i="1"/>
  <c r="L226" i="1"/>
  <c r="L227" i="1"/>
  <c r="L228" i="1"/>
  <c r="F6" i="13"/>
  <c r="G6" i="13"/>
  <c r="L194" i="1"/>
  <c r="L212" i="1"/>
  <c r="C110" i="2" s="1"/>
  <c r="L230" i="1"/>
  <c r="F7" i="13"/>
  <c r="G7" i="13"/>
  <c r="L195" i="1"/>
  <c r="L213" i="1"/>
  <c r="L231" i="1"/>
  <c r="F12" i="13"/>
  <c r="G12" i="13"/>
  <c r="L197" i="1"/>
  <c r="L215" i="1"/>
  <c r="C113" i="2" s="1"/>
  <c r="L233" i="1"/>
  <c r="C18" i="10" s="1"/>
  <c r="F14" i="13"/>
  <c r="G14" i="13"/>
  <c r="L199" i="1"/>
  <c r="C20" i="10" s="1"/>
  <c r="L217" i="1"/>
  <c r="L235" i="1"/>
  <c r="F15" i="13"/>
  <c r="G15" i="13"/>
  <c r="L200" i="1"/>
  <c r="L218" i="1"/>
  <c r="L236" i="1"/>
  <c r="H637" i="1" s="1"/>
  <c r="F17" i="13"/>
  <c r="D17" i="13" s="1"/>
  <c r="C17" i="13" s="1"/>
  <c r="G17" i="13"/>
  <c r="G33" i="13" s="1"/>
  <c r="L243" i="1"/>
  <c r="F18" i="13"/>
  <c r="G18" i="13"/>
  <c r="L244" i="1"/>
  <c r="F19" i="13"/>
  <c r="G19" i="13"/>
  <c r="L245" i="1"/>
  <c r="C24" i="10" s="1"/>
  <c r="D19" i="13"/>
  <c r="C19" i="13"/>
  <c r="F29" i="13"/>
  <c r="G29" i="13"/>
  <c r="L350" i="1"/>
  <c r="L351" i="1"/>
  <c r="L352" i="1"/>
  <c r="J282" i="1"/>
  <c r="F22" i="13"/>
  <c r="J301" i="1"/>
  <c r="J330" i="1" s="1"/>
  <c r="J344" i="1" s="1"/>
  <c r="J320" i="1"/>
  <c r="K282" i="1"/>
  <c r="G31" i="13" s="1"/>
  <c r="K301" i="1"/>
  <c r="K320" i="1"/>
  <c r="L268" i="1"/>
  <c r="L269" i="1"/>
  <c r="L270" i="1"/>
  <c r="L271" i="1"/>
  <c r="L273" i="1"/>
  <c r="L282" i="1" s="1"/>
  <c r="L274" i="1"/>
  <c r="E111" i="2" s="1"/>
  <c r="L275" i="1"/>
  <c r="C17" i="10" s="1"/>
  <c r="L276" i="1"/>
  <c r="L277" i="1"/>
  <c r="L278" i="1"/>
  <c r="L279" i="1"/>
  <c r="L280" i="1"/>
  <c r="L287" i="1"/>
  <c r="L288" i="1"/>
  <c r="L289" i="1"/>
  <c r="L301" i="1" s="1"/>
  <c r="L290" i="1"/>
  <c r="L292" i="1"/>
  <c r="L293" i="1"/>
  <c r="L294" i="1"/>
  <c r="L295" i="1"/>
  <c r="L296" i="1"/>
  <c r="L297" i="1"/>
  <c r="L298" i="1"/>
  <c r="L299" i="1"/>
  <c r="L306" i="1"/>
  <c r="L307" i="1"/>
  <c r="L308" i="1"/>
  <c r="E103" i="2" s="1"/>
  <c r="L309" i="1"/>
  <c r="E104" i="2" s="1"/>
  <c r="L311" i="1"/>
  <c r="L312" i="1"/>
  <c r="L313" i="1"/>
  <c r="L314" i="1"/>
  <c r="L315" i="1"/>
  <c r="L316" i="1"/>
  <c r="L317" i="1"/>
  <c r="L318" i="1"/>
  <c r="L325" i="1"/>
  <c r="L326" i="1"/>
  <c r="L327" i="1"/>
  <c r="E106" i="2" s="1"/>
  <c r="L252" i="1"/>
  <c r="H25" i="13" s="1"/>
  <c r="L253" i="1"/>
  <c r="C25" i="10" s="1"/>
  <c r="L333" i="1"/>
  <c r="L334" i="1"/>
  <c r="L247" i="1"/>
  <c r="L328" i="1"/>
  <c r="C11" i="13"/>
  <c r="C10" i="13"/>
  <c r="C9" i="13"/>
  <c r="L353" i="1"/>
  <c r="L354" i="1"/>
  <c r="C27" i="10" s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G48" i="2"/>
  <c r="G51" i="2"/>
  <c r="G53" i="2"/>
  <c r="G54" i="2"/>
  <c r="G55" i="2"/>
  <c r="G96" i="2" s="1"/>
  <c r="G69" i="2"/>
  <c r="G70" i="2"/>
  <c r="G73" i="2" s="1"/>
  <c r="G61" i="2"/>
  <c r="G62" i="2"/>
  <c r="G88" i="2"/>
  <c r="G95" i="2" s="1"/>
  <c r="G89" i="2"/>
  <c r="G90" i="2"/>
  <c r="F2" i="11"/>
  <c r="L603" i="1"/>
  <c r="H653" i="1"/>
  <c r="L602" i="1"/>
  <c r="G653" i="1" s="1"/>
  <c r="L601" i="1"/>
  <c r="F653" i="1" s="1"/>
  <c r="C40" i="10"/>
  <c r="F52" i="1"/>
  <c r="F104" i="1" s="1"/>
  <c r="G52" i="1"/>
  <c r="H52" i="1"/>
  <c r="I52" i="1"/>
  <c r="C35" i="10"/>
  <c r="F71" i="1"/>
  <c r="C49" i="2" s="1"/>
  <c r="F86" i="1"/>
  <c r="C50" i="2" s="1"/>
  <c r="F103" i="1"/>
  <c r="G103" i="1"/>
  <c r="G104" i="1" s="1"/>
  <c r="G185" i="1" s="1"/>
  <c r="G618" i="1" s="1"/>
  <c r="J618" i="1" s="1"/>
  <c r="H71" i="1"/>
  <c r="H104" i="1" s="1"/>
  <c r="H185" i="1" s="1"/>
  <c r="G619" i="1" s="1"/>
  <c r="H86" i="1"/>
  <c r="H103" i="1"/>
  <c r="I103" i="1"/>
  <c r="I104" i="1"/>
  <c r="J103" i="1"/>
  <c r="J104" i="1"/>
  <c r="F113" i="1"/>
  <c r="F132" i="1" s="1"/>
  <c r="F128" i="1"/>
  <c r="G113" i="1"/>
  <c r="G132" i="1" s="1"/>
  <c r="G128" i="1"/>
  <c r="H113" i="1"/>
  <c r="H128" i="1"/>
  <c r="H132" i="1"/>
  <c r="I113" i="1"/>
  <c r="I128" i="1"/>
  <c r="I132" i="1"/>
  <c r="J113" i="1"/>
  <c r="J132" i="1" s="1"/>
  <c r="J185" i="1" s="1"/>
  <c r="J128" i="1"/>
  <c r="F139" i="1"/>
  <c r="F154" i="1"/>
  <c r="F161" i="1"/>
  <c r="G139" i="1"/>
  <c r="D77" i="2" s="1"/>
  <c r="D83" i="2" s="1"/>
  <c r="G154" i="1"/>
  <c r="G161" i="1"/>
  <c r="C39" i="10" s="1"/>
  <c r="H139" i="1"/>
  <c r="H161" i="1" s="1"/>
  <c r="H154" i="1"/>
  <c r="I139" i="1"/>
  <c r="I154" i="1"/>
  <c r="I161" i="1" s="1"/>
  <c r="I185" i="1" s="1"/>
  <c r="G620" i="1" s="1"/>
  <c r="J620" i="1" s="1"/>
  <c r="C19" i="10"/>
  <c r="L242" i="1"/>
  <c r="L324" i="1"/>
  <c r="C23" i="10" s="1"/>
  <c r="L246" i="1"/>
  <c r="C116" i="2" s="1"/>
  <c r="L260" i="1"/>
  <c r="L261" i="1"/>
  <c r="L341" i="1"/>
  <c r="C26" i="10" s="1"/>
  <c r="L342" i="1"/>
  <c r="I655" i="1"/>
  <c r="I660" i="1"/>
  <c r="L239" i="1"/>
  <c r="F651" i="1"/>
  <c r="G651" i="1"/>
  <c r="H651" i="1"/>
  <c r="F652" i="1"/>
  <c r="I652" i="1" s="1"/>
  <c r="G652" i="1"/>
  <c r="H652" i="1"/>
  <c r="I659" i="1"/>
  <c r="C5" i="10"/>
  <c r="C42" i="10"/>
  <c r="C32" i="10"/>
  <c r="L366" i="1"/>
  <c r="L367" i="1"/>
  <c r="L368" i="1"/>
  <c r="L369" i="1"/>
  <c r="L370" i="1"/>
  <c r="F122" i="2" s="1"/>
  <c r="F136" i="2" s="1"/>
  <c r="F137" i="2" s="1"/>
  <c r="L371" i="1"/>
  <c r="L372" i="1"/>
  <c r="L374" i="1" s="1"/>
  <c r="G626" i="1" s="1"/>
  <c r="J626" i="1" s="1"/>
  <c r="C29" i="10"/>
  <c r="B2" i="10"/>
  <c r="L336" i="1"/>
  <c r="E126" i="2" s="1"/>
  <c r="L337" i="1"/>
  <c r="L343" i="1"/>
  <c r="L338" i="1"/>
  <c r="L339" i="1"/>
  <c r="K343" i="1"/>
  <c r="L511" i="1"/>
  <c r="F539" i="1"/>
  <c r="L512" i="1"/>
  <c r="F540" i="1"/>
  <c r="L513" i="1"/>
  <c r="F541" i="1" s="1"/>
  <c r="L516" i="1"/>
  <c r="G539" i="1" s="1"/>
  <c r="L517" i="1"/>
  <c r="G540" i="1"/>
  <c r="L518" i="1"/>
  <c r="G541" i="1"/>
  <c r="L521" i="1"/>
  <c r="H539" i="1"/>
  <c r="L522" i="1"/>
  <c r="H540" i="1" s="1"/>
  <c r="L523" i="1"/>
  <c r="H541" i="1" s="1"/>
  <c r="L526" i="1"/>
  <c r="I539" i="1" s="1"/>
  <c r="L527" i="1"/>
  <c r="I540" i="1" s="1"/>
  <c r="L528" i="1"/>
  <c r="I541" i="1"/>
  <c r="L531" i="1"/>
  <c r="L534" i="1" s="1"/>
  <c r="J539" i="1"/>
  <c r="L532" i="1"/>
  <c r="J540" i="1" s="1"/>
  <c r="L533" i="1"/>
  <c r="J541" i="1" s="1"/>
  <c r="E124" i="2"/>
  <c r="E123" i="2"/>
  <c r="K262" i="1"/>
  <c r="J262" i="1"/>
  <c r="I262" i="1"/>
  <c r="H262" i="1"/>
  <c r="G262" i="1"/>
  <c r="F262" i="1"/>
  <c r="L262" i="1" s="1"/>
  <c r="C124" i="2"/>
  <c r="A1" i="2"/>
  <c r="A2" i="2"/>
  <c r="C9" i="2"/>
  <c r="C19" i="2" s="1"/>
  <c r="D9" i="2"/>
  <c r="D19" i="2" s="1"/>
  <c r="E9" i="2"/>
  <c r="F9" i="2"/>
  <c r="I431" i="1"/>
  <c r="J9" i="1"/>
  <c r="C10" i="2"/>
  <c r="D10" i="2"/>
  <c r="E10" i="2"/>
  <c r="E19" i="2" s="1"/>
  <c r="F10" i="2"/>
  <c r="I432" i="1"/>
  <c r="I438" i="1" s="1"/>
  <c r="G632" i="1" s="1"/>
  <c r="C11" i="2"/>
  <c r="C12" i="2"/>
  <c r="D12" i="2"/>
  <c r="E12" i="2"/>
  <c r="F12" i="2"/>
  <c r="I433" i="1"/>
  <c r="J12" i="1"/>
  <c r="G12" i="2"/>
  <c r="C13" i="2"/>
  <c r="D13" i="2"/>
  <c r="E13" i="2"/>
  <c r="F13" i="2"/>
  <c r="F19" i="2" s="1"/>
  <c r="I434" i="1"/>
  <c r="J13" i="1"/>
  <c r="C14" i="2"/>
  <c r="D14" i="2"/>
  <c r="E14" i="2"/>
  <c r="F14" i="2"/>
  <c r="I435" i="1"/>
  <c r="J14" i="1"/>
  <c r="G14" i="2" s="1"/>
  <c r="F15" i="2"/>
  <c r="C16" i="2"/>
  <c r="D16" i="2"/>
  <c r="D17" i="2"/>
  <c r="D18" i="2"/>
  <c r="E16" i="2"/>
  <c r="F16" i="2"/>
  <c r="C17" i="2"/>
  <c r="E17" i="2"/>
  <c r="F17" i="2"/>
  <c r="I436" i="1"/>
  <c r="J17" i="1"/>
  <c r="G17" i="2" s="1"/>
  <c r="C18" i="2"/>
  <c r="E18" i="2"/>
  <c r="F18" i="2"/>
  <c r="I437" i="1"/>
  <c r="J18" i="1"/>
  <c r="G18" i="2"/>
  <c r="C22" i="2"/>
  <c r="C32" i="2" s="1"/>
  <c r="D22" i="2"/>
  <c r="E22" i="2"/>
  <c r="F22" i="2"/>
  <c r="I440" i="1"/>
  <c r="I444" i="1" s="1"/>
  <c r="J23" i="1"/>
  <c r="G22" i="2" s="1"/>
  <c r="C23" i="2"/>
  <c r="D23" i="2"/>
  <c r="E23" i="2"/>
  <c r="F23" i="2"/>
  <c r="I441" i="1"/>
  <c r="J24" i="1"/>
  <c r="G23" i="2"/>
  <c r="C24" i="2"/>
  <c r="D24" i="2"/>
  <c r="E24" i="2"/>
  <c r="E32" i="2" s="1"/>
  <c r="F24" i="2"/>
  <c r="I442" i="1"/>
  <c r="J25" i="1" s="1"/>
  <c r="G24" i="2" s="1"/>
  <c r="C25" i="2"/>
  <c r="D25" i="2"/>
  <c r="E25" i="2"/>
  <c r="F25" i="2"/>
  <c r="C26" i="2"/>
  <c r="F26" i="2"/>
  <c r="F32" i="2" s="1"/>
  <c r="C27" i="2"/>
  <c r="F27" i="2"/>
  <c r="C28" i="2"/>
  <c r="D28" i="2"/>
  <c r="D32" i="2" s="1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E42" i="2" s="1"/>
  <c r="E43" i="2" s="1"/>
  <c r="F34" i="2"/>
  <c r="C35" i="2"/>
  <c r="C42" i="2" s="1"/>
  <c r="C43" i="2" s="1"/>
  <c r="D35" i="2"/>
  <c r="E35" i="2"/>
  <c r="F35" i="2"/>
  <c r="F42" i="2" s="1"/>
  <c r="C36" i="2"/>
  <c r="D36" i="2"/>
  <c r="E36" i="2"/>
  <c r="F36" i="2"/>
  <c r="I446" i="1"/>
  <c r="I450" i="1" s="1"/>
  <c r="J37" i="1"/>
  <c r="J43" i="1" s="1"/>
  <c r="G36" i="2"/>
  <c r="C37" i="2"/>
  <c r="D37" i="2"/>
  <c r="E37" i="2"/>
  <c r="F37" i="2"/>
  <c r="I447" i="1"/>
  <c r="J38" i="1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D42" i="2"/>
  <c r="D43" i="2" s="1"/>
  <c r="C48" i="2"/>
  <c r="D48" i="2"/>
  <c r="E48" i="2"/>
  <c r="F48" i="2"/>
  <c r="E50" i="2"/>
  <c r="C51" i="2"/>
  <c r="D51" i="2"/>
  <c r="E51" i="2"/>
  <c r="F51" i="2"/>
  <c r="D52" i="2"/>
  <c r="C53" i="2"/>
  <c r="D53" i="2"/>
  <c r="D54" i="2" s="1"/>
  <c r="E53" i="2"/>
  <c r="F53" i="2"/>
  <c r="C58" i="2"/>
  <c r="C62" i="2" s="1"/>
  <c r="C59" i="2"/>
  <c r="C61" i="2"/>
  <c r="D61" i="2"/>
  <c r="E61" i="2"/>
  <c r="E62" i="2"/>
  <c r="E73" i="2" s="1"/>
  <c r="E71" i="2"/>
  <c r="E72" i="2"/>
  <c r="E68" i="2"/>
  <c r="E69" i="2"/>
  <c r="E70" i="2"/>
  <c r="F61" i="2"/>
  <c r="F62" i="2" s="1"/>
  <c r="F73" i="2" s="1"/>
  <c r="D62" i="2"/>
  <c r="C64" i="2"/>
  <c r="F64" i="2"/>
  <c r="C65" i="2"/>
  <c r="C70" i="2" s="1"/>
  <c r="C73" i="2" s="1"/>
  <c r="F65" i="2"/>
  <c r="C66" i="2"/>
  <c r="C67" i="2"/>
  <c r="C68" i="2"/>
  <c r="F68" i="2"/>
  <c r="C69" i="2"/>
  <c r="D69" i="2"/>
  <c r="D70" i="2"/>
  <c r="D73" i="2" s="1"/>
  <c r="F69" i="2"/>
  <c r="C71" i="2"/>
  <c r="D71" i="2"/>
  <c r="C72" i="2"/>
  <c r="C77" i="2"/>
  <c r="F77" i="2"/>
  <c r="C79" i="2"/>
  <c r="C83" i="2" s="1"/>
  <c r="E79" i="2"/>
  <c r="F79" i="2"/>
  <c r="F83" i="2" s="1"/>
  <c r="C80" i="2"/>
  <c r="D80" i="2"/>
  <c r="E80" i="2"/>
  <c r="F80" i="2"/>
  <c r="C81" i="2"/>
  <c r="D81" i="2"/>
  <c r="E81" i="2"/>
  <c r="F81" i="2"/>
  <c r="C82" i="2"/>
  <c r="C85" i="2"/>
  <c r="C95" i="2" s="1"/>
  <c r="F85" i="2"/>
  <c r="C86" i="2"/>
  <c r="F86" i="2"/>
  <c r="F95" i="2" s="1"/>
  <c r="D88" i="2"/>
  <c r="D95" i="2" s="1"/>
  <c r="E88" i="2"/>
  <c r="F88" i="2"/>
  <c r="C89" i="2"/>
  <c r="D89" i="2"/>
  <c r="E89" i="2"/>
  <c r="E95" i="2" s="1"/>
  <c r="F89" i="2"/>
  <c r="C90" i="2"/>
  <c r="D90" i="2"/>
  <c r="E90" i="2"/>
  <c r="C91" i="2"/>
  <c r="D91" i="2"/>
  <c r="E91" i="2"/>
  <c r="E92" i="2"/>
  <c r="E93" i="2"/>
  <c r="E94" i="2"/>
  <c r="F91" i="2"/>
  <c r="C92" i="2"/>
  <c r="D92" i="2"/>
  <c r="F92" i="2"/>
  <c r="C93" i="2"/>
  <c r="D93" i="2"/>
  <c r="F93" i="2"/>
  <c r="C94" i="2"/>
  <c r="D94" i="2"/>
  <c r="F94" i="2"/>
  <c r="E101" i="2"/>
  <c r="C102" i="2"/>
  <c r="E102" i="2"/>
  <c r="C103" i="2"/>
  <c r="C105" i="2"/>
  <c r="C106" i="2"/>
  <c r="D107" i="2"/>
  <c r="D137" i="2" s="1"/>
  <c r="F107" i="2"/>
  <c r="G107" i="2"/>
  <c r="G137" i="2" s="1"/>
  <c r="E110" i="2"/>
  <c r="E120" i="2" s="1"/>
  <c r="C111" i="2"/>
  <c r="C112" i="2"/>
  <c r="E112" i="2"/>
  <c r="E113" i="2"/>
  <c r="E114" i="2"/>
  <c r="C115" i="2"/>
  <c r="E115" i="2"/>
  <c r="E116" i="2"/>
  <c r="C117" i="2"/>
  <c r="E117" i="2"/>
  <c r="D119" i="2"/>
  <c r="D120" i="2"/>
  <c r="D126" i="2"/>
  <c r="D136" i="2"/>
  <c r="F120" i="2"/>
  <c r="G120" i="2"/>
  <c r="C122" i="2"/>
  <c r="E122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 s="1"/>
  <c r="E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G149" i="2" s="1"/>
  <c r="F149" i="2"/>
  <c r="B150" i="2"/>
  <c r="G150" i="2" s="1"/>
  <c r="C150" i="2"/>
  <c r="D150" i="2"/>
  <c r="E150" i="2"/>
  <c r="F150" i="2"/>
  <c r="B151" i="2"/>
  <c r="C151" i="2"/>
  <c r="D151" i="2"/>
  <c r="E151" i="2"/>
  <c r="F151" i="2"/>
  <c r="B152" i="2"/>
  <c r="C152" i="2"/>
  <c r="G152" i="2" s="1"/>
  <c r="D152" i="2"/>
  <c r="E152" i="2"/>
  <c r="F152" i="2"/>
  <c r="F490" i="1"/>
  <c r="K490" i="1" s="1"/>
  <c r="B153" i="2"/>
  <c r="G153" i="2" s="1"/>
  <c r="G490" i="1"/>
  <c r="C153" i="2"/>
  <c r="H490" i="1"/>
  <c r="D153" i="2" s="1"/>
  <c r="I490" i="1"/>
  <c r="E153" i="2"/>
  <c r="J490" i="1"/>
  <c r="F153" i="2"/>
  <c r="B154" i="2"/>
  <c r="C154" i="2"/>
  <c r="G154" i="2" s="1"/>
  <c r="D154" i="2"/>
  <c r="E154" i="2"/>
  <c r="F154" i="2"/>
  <c r="B155" i="2"/>
  <c r="C155" i="2"/>
  <c r="D155" i="2"/>
  <c r="E155" i="2"/>
  <c r="F155" i="2"/>
  <c r="G155" i="2"/>
  <c r="F493" i="1"/>
  <c r="B156" i="2"/>
  <c r="G493" i="1"/>
  <c r="K493" i="1" s="1"/>
  <c r="C156" i="2"/>
  <c r="G156" i="2" s="1"/>
  <c r="H493" i="1"/>
  <c r="D156" i="2"/>
  <c r="I493" i="1"/>
  <c r="E156" i="2" s="1"/>
  <c r="J493" i="1"/>
  <c r="F156" i="2"/>
  <c r="F19" i="1"/>
  <c r="G607" i="1" s="1"/>
  <c r="G19" i="1"/>
  <c r="G608" i="1" s="1"/>
  <c r="H19" i="1"/>
  <c r="I19" i="1"/>
  <c r="G610" i="1" s="1"/>
  <c r="J610" i="1" s="1"/>
  <c r="F33" i="1"/>
  <c r="G33" i="1"/>
  <c r="H33" i="1"/>
  <c r="I33" i="1"/>
  <c r="F43" i="1"/>
  <c r="H43" i="1"/>
  <c r="I43" i="1"/>
  <c r="G615" i="1" s="1"/>
  <c r="I44" i="1"/>
  <c r="H610" i="1" s="1"/>
  <c r="F169" i="1"/>
  <c r="I169" i="1"/>
  <c r="F175" i="1"/>
  <c r="F184" i="1" s="1"/>
  <c r="G175" i="1"/>
  <c r="G184" i="1"/>
  <c r="H175" i="1"/>
  <c r="H184" i="1" s="1"/>
  <c r="I175" i="1"/>
  <c r="J175" i="1"/>
  <c r="J184" i="1"/>
  <c r="F180" i="1"/>
  <c r="G180" i="1"/>
  <c r="H180" i="1"/>
  <c r="I180" i="1"/>
  <c r="I184" i="1"/>
  <c r="F203" i="1"/>
  <c r="G203" i="1"/>
  <c r="G249" i="1"/>
  <c r="G263" i="1"/>
  <c r="H203" i="1"/>
  <c r="I203" i="1"/>
  <c r="I249" i="1" s="1"/>
  <c r="I263" i="1" s="1"/>
  <c r="J203" i="1"/>
  <c r="J249" i="1"/>
  <c r="J263" i="1" s="1"/>
  <c r="K203" i="1"/>
  <c r="F221" i="1"/>
  <c r="F249" i="1" s="1"/>
  <c r="F263" i="1" s="1"/>
  <c r="G221" i="1"/>
  <c r="H221" i="1"/>
  <c r="I221" i="1"/>
  <c r="J221" i="1"/>
  <c r="K221" i="1"/>
  <c r="K249" i="1" s="1"/>
  <c r="K263" i="1" s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F282" i="1"/>
  <c r="G282" i="1"/>
  <c r="H282" i="1"/>
  <c r="I282" i="1"/>
  <c r="F301" i="1"/>
  <c r="F330" i="1" s="1"/>
  <c r="F344" i="1" s="1"/>
  <c r="G301" i="1"/>
  <c r="H301" i="1"/>
  <c r="H330" i="1" s="1"/>
  <c r="H344" i="1" s="1"/>
  <c r="I301" i="1"/>
  <c r="F320" i="1"/>
  <c r="G320" i="1"/>
  <c r="H320" i="1"/>
  <c r="I320" i="1"/>
  <c r="F329" i="1"/>
  <c r="G329" i="1"/>
  <c r="G330" i="1" s="1"/>
  <c r="G344" i="1" s="1"/>
  <c r="H329" i="1"/>
  <c r="L329" i="1" s="1"/>
  <c r="I329" i="1"/>
  <c r="I330" i="1"/>
  <c r="I344" i="1" s="1"/>
  <c r="J329" i="1"/>
  <c r="K329" i="1"/>
  <c r="K330" i="1"/>
  <c r="K344" i="1" s="1"/>
  <c r="F354" i="1"/>
  <c r="G354" i="1"/>
  <c r="H354" i="1"/>
  <c r="I354" i="1"/>
  <c r="G624" i="1" s="1"/>
  <c r="J354" i="1"/>
  <c r="K354" i="1"/>
  <c r="I360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J634" i="1" s="1"/>
  <c r="I393" i="1"/>
  <c r="I400" i="1" s="1"/>
  <c r="F399" i="1"/>
  <c r="F400" i="1" s="1"/>
  <c r="H633" i="1" s="1"/>
  <c r="J633" i="1" s="1"/>
  <c r="G399" i="1"/>
  <c r="H399" i="1"/>
  <c r="I399" i="1"/>
  <c r="G400" i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I426" i="1" s="1"/>
  <c r="J425" i="1"/>
  <c r="J426" i="1" s="1"/>
  <c r="F438" i="1"/>
  <c r="G438" i="1"/>
  <c r="G630" i="1" s="1"/>
  <c r="J630" i="1" s="1"/>
  <c r="H438" i="1"/>
  <c r="F444" i="1"/>
  <c r="F451" i="1" s="1"/>
  <c r="H629" i="1" s="1"/>
  <c r="J629" i="1" s="1"/>
  <c r="G444" i="1"/>
  <c r="H444" i="1"/>
  <c r="H451" i="1" s="1"/>
  <c r="H631" i="1" s="1"/>
  <c r="F450" i="1"/>
  <c r="G450" i="1"/>
  <c r="H450" i="1"/>
  <c r="G451" i="1"/>
  <c r="H630" i="1" s="1"/>
  <c r="F460" i="1"/>
  <c r="F466" i="1" s="1"/>
  <c r="H612" i="1" s="1"/>
  <c r="J612" i="1" s="1"/>
  <c r="G460" i="1"/>
  <c r="G466" i="1" s="1"/>
  <c r="H613" i="1" s="1"/>
  <c r="I460" i="1"/>
  <c r="J460" i="1"/>
  <c r="G464" i="1"/>
  <c r="H464" i="1"/>
  <c r="I464" i="1"/>
  <c r="I466" i="1"/>
  <c r="H615" i="1" s="1"/>
  <c r="J464" i="1"/>
  <c r="J466" i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I535" i="1" s="1"/>
  <c r="J514" i="1"/>
  <c r="K514" i="1"/>
  <c r="F519" i="1"/>
  <c r="G519" i="1"/>
  <c r="G535" i="1" s="1"/>
  <c r="H519" i="1"/>
  <c r="I519" i="1"/>
  <c r="J519" i="1"/>
  <c r="K519" i="1"/>
  <c r="F524" i="1"/>
  <c r="G524" i="1"/>
  <c r="H524" i="1"/>
  <c r="H535" i="1" s="1"/>
  <c r="I524" i="1"/>
  <c r="J524" i="1"/>
  <c r="K524" i="1"/>
  <c r="K535" i="1" s="1"/>
  <c r="L524" i="1"/>
  <c r="F529" i="1"/>
  <c r="G529" i="1"/>
  <c r="H529" i="1"/>
  <c r="I529" i="1"/>
  <c r="J529" i="1"/>
  <c r="K529" i="1"/>
  <c r="F534" i="1"/>
  <c r="G534" i="1"/>
  <c r="H534" i="1"/>
  <c r="I534" i="1"/>
  <c r="J534" i="1"/>
  <c r="J535" i="1" s="1"/>
  <c r="K534" i="1"/>
  <c r="L547" i="1"/>
  <c r="L548" i="1"/>
  <c r="L550" i="1" s="1"/>
  <c r="L561" i="1" s="1"/>
  <c r="L549" i="1"/>
  <c r="F550" i="1"/>
  <c r="F561" i="1" s="1"/>
  <c r="G550" i="1"/>
  <c r="H550" i="1"/>
  <c r="I550" i="1"/>
  <c r="I561" i="1" s="1"/>
  <c r="J550" i="1"/>
  <c r="K550" i="1"/>
  <c r="K561" i="1"/>
  <c r="L552" i="1"/>
  <c r="L555" i="1"/>
  <c r="L553" i="1"/>
  <c r="L554" i="1"/>
  <c r="F555" i="1"/>
  <c r="G555" i="1"/>
  <c r="G561" i="1" s="1"/>
  <c r="H555" i="1"/>
  <c r="I555" i="1"/>
  <c r="J555" i="1"/>
  <c r="K555" i="1"/>
  <c r="L557" i="1"/>
  <c r="L558" i="1"/>
  <c r="L560" i="1" s="1"/>
  <c r="L559" i="1"/>
  <c r="F560" i="1"/>
  <c r="G560" i="1"/>
  <c r="H560" i="1"/>
  <c r="H561" i="1" s="1"/>
  <c r="I560" i="1"/>
  <c r="J560" i="1"/>
  <c r="K560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J588" i="1"/>
  <c r="H641" i="1"/>
  <c r="J641" i="1"/>
  <c r="K592" i="1"/>
  <c r="K593" i="1"/>
  <c r="K594" i="1"/>
  <c r="K595" i="1"/>
  <c r="G638" i="1" s="1"/>
  <c r="H595" i="1"/>
  <c r="I595" i="1"/>
  <c r="J595" i="1"/>
  <c r="F604" i="1"/>
  <c r="G604" i="1"/>
  <c r="H604" i="1"/>
  <c r="I604" i="1"/>
  <c r="J604" i="1"/>
  <c r="K604" i="1"/>
  <c r="L604" i="1"/>
  <c r="G609" i="1"/>
  <c r="G612" i="1"/>
  <c r="G614" i="1"/>
  <c r="H617" i="1"/>
  <c r="H618" i="1"/>
  <c r="H620" i="1"/>
  <c r="H621" i="1"/>
  <c r="H623" i="1"/>
  <c r="H625" i="1"/>
  <c r="H626" i="1"/>
  <c r="H627" i="1"/>
  <c r="H628" i="1"/>
  <c r="G629" i="1"/>
  <c r="G631" i="1"/>
  <c r="G633" i="1"/>
  <c r="G634" i="1"/>
  <c r="G635" i="1"/>
  <c r="J635" i="1" s="1"/>
  <c r="H635" i="1"/>
  <c r="G639" i="1"/>
  <c r="J639" i="1" s="1"/>
  <c r="G640" i="1"/>
  <c r="H640" i="1"/>
  <c r="J640" i="1" s="1"/>
  <c r="G641" i="1"/>
  <c r="G642" i="1"/>
  <c r="J642" i="1" s="1"/>
  <c r="H642" i="1"/>
  <c r="G643" i="1"/>
  <c r="H643" i="1"/>
  <c r="J643" i="1"/>
  <c r="G644" i="1"/>
  <c r="H644" i="1"/>
  <c r="J644" i="1" s="1"/>
  <c r="G645" i="1"/>
  <c r="H645" i="1"/>
  <c r="J645" i="1"/>
  <c r="G151" i="2"/>
  <c r="F70" i="2"/>
  <c r="F54" i="2"/>
  <c r="F55" i="2"/>
  <c r="G148" i="2"/>
  <c r="D18" i="13"/>
  <c r="C18" i="13" s="1"/>
  <c r="D15" i="13"/>
  <c r="C15" i="13" s="1"/>
  <c r="E8" i="13"/>
  <c r="C8" i="13" s="1"/>
  <c r="G37" i="2"/>
  <c r="C22" i="13"/>
  <c r="G9" i="2"/>
  <c r="G625" i="1"/>
  <c r="J625" i="1" s="1"/>
  <c r="C15" i="10"/>
  <c r="C21" i="10"/>
  <c r="C11" i="10"/>
  <c r="H249" i="1"/>
  <c r="H263" i="1" s="1"/>
  <c r="D14" i="13"/>
  <c r="C14" i="13" s="1"/>
  <c r="D7" i="13"/>
  <c r="I651" i="1"/>
  <c r="F44" i="1"/>
  <c r="H607" i="1"/>
  <c r="C7" i="13"/>
  <c r="A22" i="12"/>
  <c r="G13" i="2"/>
  <c r="H44" i="1"/>
  <c r="H609" i="1"/>
  <c r="J609" i="1"/>
  <c r="C6" i="10"/>
  <c r="H622" i="1"/>
  <c r="J615" i="1" l="1"/>
  <c r="D55" i="2"/>
  <c r="D96" i="2" s="1"/>
  <c r="G42" i="2"/>
  <c r="G616" i="1"/>
  <c r="J616" i="1" s="1"/>
  <c r="J542" i="1"/>
  <c r="I653" i="1"/>
  <c r="C120" i="2"/>
  <c r="F43" i="2"/>
  <c r="I451" i="1"/>
  <c r="H632" i="1" s="1"/>
  <c r="I542" i="1"/>
  <c r="C38" i="10"/>
  <c r="J632" i="1"/>
  <c r="G613" i="1"/>
  <c r="J613" i="1" s="1"/>
  <c r="G44" i="1"/>
  <c r="H608" i="1" s="1"/>
  <c r="J608" i="1" s="1"/>
  <c r="G542" i="1"/>
  <c r="K539" i="1"/>
  <c r="K542" i="1" s="1"/>
  <c r="C25" i="13"/>
  <c r="H33" i="13"/>
  <c r="K541" i="1"/>
  <c r="G32" i="2"/>
  <c r="F542" i="1"/>
  <c r="J631" i="1"/>
  <c r="J638" i="1"/>
  <c r="E136" i="2"/>
  <c r="D31" i="13"/>
  <c r="C31" i="13" s="1"/>
  <c r="J624" i="1"/>
  <c r="D29" i="13"/>
  <c r="C29" i="13" s="1"/>
  <c r="C54" i="2"/>
  <c r="C55" i="2" s="1"/>
  <c r="C96" i="2" s="1"/>
  <c r="K540" i="1"/>
  <c r="H542" i="1"/>
  <c r="G621" i="1"/>
  <c r="J621" i="1" s="1"/>
  <c r="G636" i="1"/>
  <c r="G654" i="1"/>
  <c r="C13" i="13"/>
  <c r="E33" i="13"/>
  <c r="D35" i="13" s="1"/>
  <c r="F96" i="2"/>
  <c r="J607" i="1"/>
  <c r="C130" i="2"/>
  <c r="C133" i="2" s="1"/>
  <c r="L400" i="1"/>
  <c r="C36" i="10"/>
  <c r="F185" i="1"/>
  <c r="G617" i="1" s="1"/>
  <c r="J617" i="1" s="1"/>
  <c r="D6" i="13"/>
  <c r="C6" i="13" s="1"/>
  <c r="L529" i="1"/>
  <c r="H619" i="1"/>
  <c r="J619" i="1" s="1"/>
  <c r="L519" i="1"/>
  <c r="C13" i="10"/>
  <c r="L320" i="1"/>
  <c r="L330" i="1" s="1"/>
  <c r="L344" i="1" s="1"/>
  <c r="G623" i="1" s="1"/>
  <c r="J623" i="1" s="1"/>
  <c r="F31" i="13"/>
  <c r="F33" i="13" s="1"/>
  <c r="D5" i="13"/>
  <c r="C10" i="10"/>
  <c r="D12" i="13"/>
  <c r="C12" i="13" s="1"/>
  <c r="C101" i="2"/>
  <c r="C107" i="2" s="1"/>
  <c r="E77" i="2"/>
  <c r="E83" i="2" s="1"/>
  <c r="E49" i="2"/>
  <c r="E54" i="2" s="1"/>
  <c r="E55" i="2" s="1"/>
  <c r="E96" i="2" s="1"/>
  <c r="L203" i="1"/>
  <c r="J33" i="1"/>
  <c r="J44" i="1" s="1"/>
  <c r="H611" i="1" s="1"/>
  <c r="E105" i="2"/>
  <c r="E107" i="2" s="1"/>
  <c r="E137" i="2" s="1"/>
  <c r="I359" i="1"/>
  <c r="I361" i="1" s="1"/>
  <c r="H624" i="1" s="1"/>
  <c r="C16" i="10"/>
  <c r="J10" i="1"/>
  <c r="H638" i="1"/>
  <c r="L514" i="1"/>
  <c r="C123" i="2"/>
  <c r="C136" i="2" s="1"/>
  <c r="F650" i="1" l="1"/>
  <c r="L249" i="1"/>
  <c r="L263" i="1" s="1"/>
  <c r="G622" i="1" s="1"/>
  <c r="J622" i="1" s="1"/>
  <c r="C41" i="10"/>
  <c r="D36" i="10"/>
  <c r="G662" i="1"/>
  <c r="G657" i="1"/>
  <c r="H650" i="1"/>
  <c r="H654" i="1" s="1"/>
  <c r="J636" i="1"/>
  <c r="L535" i="1"/>
  <c r="C28" i="10"/>
  <c r="D16" i="10" s="1"/>
  <c r="G43" i="2"/>
  <c r="C137" i="2"/>
  <c r="G10" i="2"/>
  <c r="G19" i="2" s="1"/>
  <c r="J19" i="1"/>
  <c r="G611" i="1" s="1"/>
  <c r="G627" i="1"/>
  <c r="J627" i="1" s="1"/>
  <c r="H636" i="1"/>
  <c r="D38" i="10"/>
  <c r="D33" i="13"/>
  <c r="D36" i="13" s="1"/>
  <c r="C5" i="13"/>
  <c r="D13" i="10"/>
  <c r="D10" i="10" l="1"/>
  <c r="D19" i="10"/>
  <c r="C30" i="10"/>
  <c r="D22" i="10"/>
  <c r="D21" i="10"/>
  <c r="D17" i="10"/>
  <c r="D26" i="10"/>
  <c r="D23" i="10"/>
  <c r="D25" i="10"/>
  <c r="D20" i="10"/>
  <c r="D24" i="10"/>
  <c r="D11" i="10"/>
  <c r="D18" i="10"/>
  <c r="D12" i="10"/>
  <c r="D15" i="10"/>
  <c r="D27" i="10"/>
  <c r="J611" i="1"/>
  <c r="H646" i="1"/>
  <c r="D37" i="10"/>
  <c r="D35" i="10"/>
  <c r="D39" i="10"/>
  <c r="D40" i="10"/>
  <c r="H662" i="1"/>
  <c r="H657" i="1"/>
  <c r="I650" i="1"/>
  <c r="I654" i="1" s="1"/>
  <c r="F654" i="1"/>
  <c r="D41" i="10" l="1"/>
  <c r="F662" i="1"/>
  <c r="C4" i="10" s="1"/>
  <c r="F657" i="1"/>
  <c r="I662" i="1"/>
  <c r="C7" i="10" s="1"/>
  <c r="I657" i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C85BC6C5-C047-4172-BE54-DA4F8E37047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6A7F034-ACCA-49AB-A9D1-1A72C3C38EA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A605F3B-2DF1-4EB5-A319-5EDA9CB0D0A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F60F337-E331-488A-A6EC-B8E4E76E730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FB2BBA0-7826-4342-B6F0-B94F52D66621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5D9A11E-B7D9-4CED-AD9E-1312C2EFEE9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89E1CD4-D89A-49BA-A01B-9DEAA55F293F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AA9FF633-4A1A-4818-B601-1A4C7236CF84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9B2D997B-E857-4CD3-8266-3EC7BD7E50D8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243607C5-AB58-413F-AD2D-89F84A78BBF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B7A3B915-7D0C-4D90-8E3F-1621B9A95042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FEB013EC-1B76-4483-A173-01EE4FCF953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<sst xmlns="http://schemas.openxmlformats.org/spreadsheetml/2006/main" count="3860" uniqueCount="897">
  <si>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</si>
  <si>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</si>
  <si>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</si>
  <si>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</si>
  <si>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</si>
  <si>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</si>
  <si>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</si>
  <si>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</si>
  <si>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</si>
  <si>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</si>
  <si>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</si>
  <si>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</si>
  <si>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</si>
  <si>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</si>
  <si>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</si>
  <si>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</si>
  <si>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</si>
  <si>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</si>
  <si>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</si>
  <si>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</si>
  <si>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</si>
  <si>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</si>
  <si>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</si>
  <si>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</si>
  <si>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</si>
  <si>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</si>
  <si>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</si>
  <si>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</si>
  <si>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</si>
  <si>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</si>
  <si>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</si>
  <si>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</si>
  <si>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</si>
  <si>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</si>
  <si>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</si>
  <si>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</si>
  <si>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</si>
  <si>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</si>
  <si>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</si>
  <si>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</si>
  <si>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</si>
  <si>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</si>
  <si>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</si>
  <si>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</si>
  <si>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</si>
  <si>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</si>
  <si>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</si>
  <si>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</si>
  <si>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</si>
  <si>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</si>
  <si>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</si>
  <si>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</si>
  <si>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</si>
  <si>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</si>
  <si>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</si>
  <si>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</si>
  <si>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</si>
  <si>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</si>
  <si>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</si>
  <si>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</si>
  <si>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</si>
  <si>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</si>
  <si>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</si>
  <si>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</si>
  <si>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</si>
  <si>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</si>
  <si>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</si>
  <si>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</si>
  <si>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</si>
  <si>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</si>
  <si>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</si>
  <si>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</si>
  <si>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</si>
  <si>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</si>
  <si>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</si>
  <si>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</si>
  <si>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</si>
  <si>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</si>
  <si>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</si>
  <si>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</si>
  <si>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</si>
  <si>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</si>
  <si>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</si>
  <si>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</si>
  <si>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</si>
  <si>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</si>
  <si>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</si>
  <si>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</si>
  <si>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</si>
  <si>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</si>
  <si>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</si>
  <si>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</si>
  <si>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</si>
  <si>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</si>
  <si>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</si>
  <si>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</si>
  <si>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</si>
  <si>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</si>
  <si>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</si>
  <si>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</si>
  <si>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</si>
  <si>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</si>
  <si>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</si>
  <si>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</si>
  <si>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</si>
  <si>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</si>
  <si>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</si>
  <si>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</si>
  <si>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</si>
  <si>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</si>
  <si>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</si>
  <si>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</si>
  <si>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</si>
  <si>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</si>
  <si>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</si>
  <si>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</si>
  <si>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</si>
  <si>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</si>
  <si>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</si>
  <si>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</si>
  <si>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</si>
  <si>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</si>
  <si>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</si>
  <si>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</si>
  <si>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</si>
  <si>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</si>
  <si>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</si>
  <si>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</si>
  <si>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</si>
  <si>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</si>
  <si>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</si>
  <si>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</si>
  <si>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</si>
  <si>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</si>
  <si>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</si>
  <si>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</si>
  <si>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</si>
  <si>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</si>
  <si>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</si>
  <si>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</si>
  <si>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</si>
  <si>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</si>
  <si>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</si>
  <si>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</si>
  <si>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</si>
  <si>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</si>
  <si>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</si>
  <si>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</si>
  <si>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</si>
  <si>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</si>
  <si>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</si>
  <si>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</si>
  <si>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</si>
  <si>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</si>
  <si>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</si>
  <si>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</si>
  <si>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</si>
  <si>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</si>
  <si>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</si>
  <si>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</si>
  <si>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</si>
  <si>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</si>
  <si>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</si>
  <si>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</si>
  <si>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</si>
  <si>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</si>
  <si>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</si>
  <si>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</si>
  <si>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</si>
  <si>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</si>
  <si>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</si>
  <si>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</si>
  <si>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</si>
  <si>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</si>
  <si>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</si>
  <si>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</si>
  <si>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</si>
  <si>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</si>
  <si>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</si>
  <si>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</si>
  <si>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</si>
  <si>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</si>
  <si>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</si>
  <si>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</si>
  <si>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</si>
  <si>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</si>
  <si>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</si>
  <si>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</si>
  <si>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</si>
  <si>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</si>
  <si>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</si>
  <si>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</si>
  <si>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</si>
  <si>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</si>
  <si>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</si>
  <si>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</si>
  <si>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</si>
  <si>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</si>
  <si>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</si>
  <si>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</si>
  <si>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</si>
  <si>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</si>
  <si>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</si>
  <si>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</si>
  <si>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</si>
  <si>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</si>
  <si>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</si>
  <si>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</si>
  <si>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</si>
  <si>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</si>
  <si>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</si>
  <si>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</si>
  <si>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</si>
  <si>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</si>
  <si>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</si>
  <si>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</si>
  <si>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</si>
  <si>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</si>
  <si>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</si>
  <si>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</si>
  <si>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</si>
  <si>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</si>
  <si>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</si>
  <si>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</si>
  <si>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</si>
  <si>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</si>
  <si>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</si>
  <si>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</si>
  <si>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</si>
  <si>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</si>
  <si>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</si>
  <si>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</si>
  <si>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</si>
  <si>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</si>
  <si>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</si>
  <si>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</si>
  <si>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</si>
  <si>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</si>
  <si>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</si>
  <si>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</si>
  <si>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</si>
  <si>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</si>
  <si>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</si>
  <si>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</si>
  <si>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</si>
  <si>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</si>
  <si>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</si>
  <si>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</si>
  <si>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</si>
  <si>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</si>
  <si>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</si>
  <si>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</si>
  <si>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</si>
  <si>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</si>
  <si>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</si>
  <si>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</si>
  <si>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</si>
  <si>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</si>
  <si>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</si>
  <si>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</si>
  <si>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</si>
  <si>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</si>
  <si>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</si>
  <si>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</si>
  <si>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</si>
  <si>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</si>
  <si>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</si>
  <si>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</si>
  <si>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</si>
  <si>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</si>
  <si>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</si>
  <si>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</si>
  <si>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</si>
  <si>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</si>
  <si>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</si>
  <si>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</si>
  <si>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</si>
  <si>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</si>
  <si>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</si>
  <si>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</si>
  <si>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</si>
  <si>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</si>
  <si>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</si>
  <si>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</si>
  <si>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</si>
  <si>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</si>
  <si>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</si>
  <si>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</si>
  <si>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</si>
  <si>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</si>
  <si>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</si>
  <si>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</si>
  <si>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</si>
  <si>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</si>
  <si>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</si>
  <si>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</si>
  <si>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</si>
  <si>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</si>
  <si>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</si>
  <si>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</si>
  <si>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</si>
  <si>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</si>
  <si>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</si>
  <si>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</si>
  <si>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</si>
  <si>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</si>
  <si>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</si>
  <si>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</si>
  <si>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</si>
  <si>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</si>
  <si>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</si>
  <si>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</si>
  <si>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</si>
  <si>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</si>
  <si>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</si>
  <si>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</si>
  <si>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</si>
  <si>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</si>
  <si>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</si>
  <si>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</si>
  <si>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</si>
  <si>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</si>
  <si>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</si>
  <si>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</si>
  <si>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</si>
  <si>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</si>
  <si>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</si>
  <si>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</si>
  <si>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</si>
  <si>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</si>
  <si>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</si>
  <si>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</si>
  <si>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</si>
  <si>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</si>
  <si>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</si>
  <si>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</si>
  <si>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</si>
  <si>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</si>
  <si>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</si>
  <si>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</si>
  <si>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</si>
  <si>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</si>
  <si>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</si>
  <si>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</si>
  <si>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</si>
  <si>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</si>
  <si>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</si>
  <si>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</si>
  <si>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</si>
  <si>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</si>
  <si>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</si>
  <si>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</si>
  <si>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</si>
  <si>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</si>
  <si>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</si>
  <si>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</si>
  <si>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</si>
  <si>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</si>
  <si>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</si>
  <si>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</si>
  <si>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</si>
  <si>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</si>
  <si>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</si>
  <si>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</si>
  <si>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</si>
  <si>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</si>
  <si>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</si>
  <si>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</si>
  <si>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</si>
  <si>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</si>
  <si>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</si>
  <si>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</si>
  <si>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</si>
  <si>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</si>
  <si>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</si>
  <si>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</si>
  <si>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</si>
  <si>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</si>
  <si>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</si>
  <si>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</si>
  <si>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</si>
  <si>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</si>
  <si>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</si>
  <si>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</si>
  <si>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</si>
  <si>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</si>
  <si>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</si>
  <si>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</si>
  <si>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</si>
  <si>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</si>
  <si>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</si>
  <si>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</si>
  <si>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</si>
  <si>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</si>
  <si>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</si>
  <si>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</si>
  <si>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</si>
  <si>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</si>
  <si>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</si>
  <si>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</si>
  <si>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</si>
  <si>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</si>
  <si>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</si>
  <si>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</si>
  <si>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</si>
  <si>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</si>
  <si>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</si>
  <si>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</si>
  <si>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</si>
  <si>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</si>
  <si>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</si>
  <si>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</si>
  <si>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</si>
  <si>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</si>
  <si>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</si>
  <si>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</si>
  <si>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</si>
  <si>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</si>
  <si>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</si>
  <si>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</si>
  <si>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</si>
  <si>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</si>
  <si>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</si>
  <si>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</si>
  <si>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</si>
  <si>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</si>
  <si>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</si>
  <si>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</si>
  <si>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</si>
  <si>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</si>
  <si>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</si>
  <si>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</si>
  <si>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</si>
  <si>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</si>
  <si>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</si>
  <si>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</si>
  <si>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</si>
  <si>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</si>
  <si>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</si>
  <si>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</si>
  <si>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</si>
  <si>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</si>
  <si>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</si>
  <si>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</si>
  <si>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</si>
  <si>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</si>
  <si>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</si>
  <si>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</si>
  <si>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</si>
  <si>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</si>
  <si>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</si>
  <si>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</si>
  <si>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</si>
  <si>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</si>
  <si>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</si>
  <si>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</si>
  <si>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</si>
  <si>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</si>
  <si>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</si>
  <si>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</si>
  <si>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</si>
  <si>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</si>
  <si>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</si>
  <si>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</si>
  <si>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</si>
  <si>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</si>
  <si>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</si>
  <si>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</si>
  <si>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</si>
  <si>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</si>
  <si>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</si>
  <si>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</si>
  <si>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</si>
  <si>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</si>
  <si>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</si>
  <si>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</si>
  <si>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</si>
  <si>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</si>
  <si>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</si>
  <si>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</si>
  <si>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</si>
  <si>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</si>
  <si>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</si>
  <si>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</si>
  <si>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</si>
  <si>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</si>
  <si>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</si>
  <si>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</si>
  <si>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</si>
  <si>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</si>
  <si>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</si>
  <si>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</si>
  <si>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</si>
  <si>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</si>
  <si>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</si>
  <si>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</si>
  <si>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</si>
  <si>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</si>
  <si>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</si>
  <si>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</si>
  <si>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</si>
  <si>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</si>
  <si>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</si>
  <si>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</si>
  <si>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</si>
  <si>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</si>
  <si>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</si>
  <si>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</si>
  <si>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</si>
  <si>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</si>
  <si>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</si>
  <si>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</si>
  <si>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</si>
  <si>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</si>
  <si>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</si>
  <si>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</si>
  <si>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</si>
  <si>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</si>
  <si>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</si>
  <si>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</si>
  <si>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</si>
  <si>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</si>
  <si>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</si>
  <si>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</si>
  <si>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</si>
  <si>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</si>
  <si>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</si>
  <si>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</si>
  <si>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</si>
  <si>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</si>
  <si>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</si>
  <si>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</si>
  <si>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</si>
  <si>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</si>
  <si>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</si>
  <si>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</si>
  <si>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</si>
  <si>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</si>
  <si>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</si>
  <si>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</si>
  <si>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</si>
  <si>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</si>
  <si>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</si>
  <si>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</si>
  <si>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</si>
  <si>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</si>
  <si>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</si>
  <si>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</si>
  <si>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</si>
  <si>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</si>
  <si>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</si>
  <si>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</si>
  <si>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</si>
  <si>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</si>
  <si>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</si>
  <si>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</si>
  <si>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</si>
  <si>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</si>
  <si>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</si>
  <si>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</si>
  <si>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</si>
  <si>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</si>
  <si>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</si>
  <si>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</si>
  <si>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</si>
  <si>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</si>
  <si>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</si>
  <si>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</si>
  <si>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</si>
  <si>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</si>
  <si>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</si>
  <si>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</si>
  <si>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</si>
  <si>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</si>
  <si>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</si>
  <si>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</si>
  <si>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</si>
  <si>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</si>
  <si>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</si>
  <si>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</si>
  <si>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</si>
  <si>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</si>
  <si>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</si>
  <si>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</si>
  <si>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</si>
  <si>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</si>
  <si>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</si>
  <si>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</si>
  <si>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</si>
  <si>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</si>
  <si>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</si>
  <si>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</si>
  <si>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</si>
  <si>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</si>
  <si>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</si>
  <si>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</si>
  <si>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</si>
  <si>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</si>
  <si>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</si>
  <si>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</si>
  <si>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</si>
  <si>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</si>
  <si>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</si>
  <si>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</si>
  <si>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</si>
  <si>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</si>
  <si>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</si>
  <si>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</si>
  <si>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</si>
  <si>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</si>
  <si>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</si>
  <si>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</si>
  <si>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</si>
  <si>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</si>
  <si>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</si>
  <si>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</si>
  <si>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</si>
  <si>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</si>
  <si>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</si>
  <si>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</si>
  <si>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</si>
  <si>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</si>
  <si>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</si>
  <si>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</si>
  <si>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</si>
  <si>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</si>
  <si>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</si>
  <si>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</si>
  <si>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</si>
  <si>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</si>
  <si>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</si>
  <si>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</si>
  <si>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</si>
  <si>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</si>
  <si>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</si>
  <si>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</si>
  <si>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</si>
  <si>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</si>
  <si>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</si>
  <si>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</si>
  <si>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</si>
  <si>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</si>
  <si>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</si>
  <si>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</si>
  <si>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</si>
  <si>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</si>
  <si>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</si>
  <si>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</si>
  <si>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</si>
  <si>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</si>
  <si>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</si>
  <si>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</si>
  <si>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</si>
  <si>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</si>
  <si>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</si>
  <si>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</si>
  <si>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</si>
  <si>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</si>
  <si>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</si>
  <si>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</si>
  <si>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</si>
  <si>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</si>
  <si>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</si>
  <si>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</si>
  <si>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</si>
  <si>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</si>
  <si>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</si>
  <si>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</si>
  <si>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</si>
  <si>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</si>
  <si>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</si>
  <si>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</si>
  <si>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</si>
  <si>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</si>
  <si>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</si>
  <si>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</si>
  <si>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</si>
  <si>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</si>
  <si>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</si>
  <si>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</si>
  <si>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</si>
  <si>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</si>
  <si>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</si>
  <si>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</si>
  <si>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</si>
  <si>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</si>
  <si>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</si>
  <si>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</si>
  <si>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</si>
  <si>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</si>
  <si>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</si>
  <si>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</si>
  <si>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</si>
  <si>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</si>
  <si>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</si>
  <si>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</si>
  <si>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</si>
  <si>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</si>
  <si>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</si>
  <si>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</si>
  <si>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</si>
  <si>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</si>
  <si>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</si>
  <si>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</si>
  <si>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</si>
  <si>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</si>
  <si>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</si>
  <si>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</si>
  <si>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</si>
  <si>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</si>
  <si>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</si>
  <si>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</si>
  <si>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</si>
  <si>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</si>
  <si>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</si>
  <si>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</si>
  <si>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</si>
  <si>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</si>
  <si>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</si>
  <si>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</si>
  <si>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</si>
  <si>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</si>
  <si>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</si>
  <si>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</si>
  <si>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</si>
  <si>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</si>
  <si>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</si>
  <si>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</si>
  <si>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</si>
  <si>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</si>
  <si>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</si>
  <si>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</si>
  <si>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</si>
  <si>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</si>
  <si>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</si>
  <si>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</si>
  <si>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</si>
  <si>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</si>
  <si>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</si>
  <si>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</si>
  <si>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</si>
  <si>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</si>
  <si>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</si>
  <si>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</si>
  <si>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</si>
  <si>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</si>
  <si>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</si>
  <si>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</si>
  <si>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</si>
  <si>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</si>
  <si>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</si>
  <si>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</si>
  <si>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</si>
  <si>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</si>
  <si>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</si>
  <si>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</si>
  <si>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</si>
  <si>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</si>
  <si>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</si>
  <si>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</si>
  <si>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</si>
  <si>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</si>
  <si>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</si>
  <si>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</si>
  <si>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</si>
  <si>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</si>
  <si>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</si>
  <si>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</si>
  <si>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</si>
  <si>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</si>
  <si>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</si>
  <si>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</si>
  <si>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</si>
  <si>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</si>
  <si>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</si>
  <si>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</si>
  <si>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</si>
  <si>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</si>
  <si>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</si>
  <si>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</si>
  <si>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</si>
  <si>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</si>
  <si>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</si>
  <si>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</si>
  <si>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</si>
  <si>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</si>
  <si>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</si>
  <si>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</si>
  <si>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</si>
  <si>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</si>
  <si>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</si>
  <si>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</si>
  <si>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</si>
  <si>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</si>
  <si>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</si>
  <si>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</si>
  <si>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</si>
  <si>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</si>
  <si>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</si>
  <si>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</si>
  <si>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</si>
  <si>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</si>
  <si>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</si>
  <si>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</si>
  <si>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</si>
  <si>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</si>
  <si>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</si>
  <si>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</si>
  <si>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</si>
  <si>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</si>
  <si>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</si>
  <si>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</si>
  <si>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</si>
  <si>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</si>
  <si>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</si>
  <si>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</si>
  <si>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</si>
  <si>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</si>
  <si>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</si>
  <si>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</si>
  <si>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</si>
  <si>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</si>
  <si>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</si>
  <si>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</si>
  <si>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</si>
  <si>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</si>
  <si>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</si>
  <si>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</si>
  <si>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</si>
  <si>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</si>
  <si>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</si>
  <si>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</si>
  <si>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</si>
  <si>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</si>
  <si>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</si>
  <si>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</si>
  <si>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</si>
  <si>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</si>
  <si>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</si>
  <si>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</si>
  <si>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</si>
  <si>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</si>
  <si>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</si>
  <si>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</si>
  <si>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</si>
  <si>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</si>
  <si>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</si>
  <si>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</si>
  <si>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</si>
  <si>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</si>
  <si>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</si>
  <si>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</si>
  <si>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</si>
  <si>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</si>
  <si>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</si>
  <si>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</si>
  <si>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</si>
  <si>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</si>
  <si>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</si>
  <si>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</si>
  <si>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</si>
  <si>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</si>
  <si>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</si>
  <si>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</si>
  <si>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</si>
  <si>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</si>
  <si>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</si>
  <si>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</si>
  <si>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</si>
  <si>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</si>
  <si>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</si>
  <si>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</si>
  <si>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</si>
  <si>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</si>
  <si>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</si>
  <si>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</si>
  <si>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</si>
  <si>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</si>
  <si>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</si>
  <si>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</si>
  <si>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</si>
  <si>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</si>
  <si>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</si>
  <si>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</si>
  <si>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</si>
  <si>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</si>
  <si>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</si>
  <si>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</si>
  <si>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</si>
  <si>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</si>
  <si>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</si>
  <si>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</si>
  <si>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</si>
  <si>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</si>
  <si>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Andover School District</t>
  </si>
  <si>
    <t>Food Service Commodities Revenue</t>
  </si>
  <si>
    <t>Food Service - Inventories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</si>
</sst>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6CC0D-F94C-462D-8A50-E792649F87A5}">
  <sheetPr transitionEvaluation="1" transitionEntry="1" codeName="Sheet1">
    <tabColor indexed="56"/>
  </sheetPr>
  <dimension ref="A1:AQ666"/>
  <sheetViews>
    <sheetView tabSelected="1" zoomScale="75" zoomScaleNormal="11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55" sqref="H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19</v>
      </c>
      <c r="C2" s="21">
        <v>19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334766.93</v>
      </c>
      <c r="G9" s="18">
        <v>1953.56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44101.279999999999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97784.76</v>
      </c>
      <c r="G12" s="18">
        <v>1726.44</v>
      </c>
      <c r="H12" s="18">
        <f>2690</f>
        <v>2690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4217.3999999999996</v>
      </c>
      <c r="G13" s="18">
        <v>1843.18</v>
      </c>
      <c r="H13" s="18">
        <v>105220.12</v>
      </c>
      <c r="I13" s="18"/>
      <c r="J13" s="67">
        <f>SUM(I434)</f>
        <v>104358.19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430.26</v>
      </c>
      <c r="G14" s="18">
        <v>613.70000000000005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778.34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481300.63</v>
      </c>
      <c r="G19" s="41">
        <f>SUM(G9:G18)</f>
        <v>6915.22</v>
      </c>
      <c r="H19" s="41">
        <f>SUM(H9:H18)</f>
        <v>107910.12</v>
      </c>
      <c r="I19" s="41">
        <f>SUM(I9:I18)</f>
        <v>0</v>
      </c>
      <c r="J19" s="41">
        <f>SUM(J9:J18)</f>
        <v>104358.19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99511.2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193187.96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95169.3</v>
      </c>
      <c r="G25" s="18"/>
      <c r="H25" s="18">
        <v>5708.92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183385.27</v>
      </c>
      <c r="G29" s="18">
        <v>6063.94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-84.39+562.17</f>
        <v>477.78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72.349999999999994</v>
      </c>
      <c r="H31" s="18">
        <v>2690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472220.31000000006</v>
      </c>
      <c r="G33" s="41">
        <f>SUM(G23:G32)</f>
        <v>6136.29</v>
      </c>
      <c r="H33" s="41">
        <f>SUM(H23:H32)</f>
        <v>107910.12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778.34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1293.18+94362.76-95655.35</f>
        <v>0.58999999998195563</v>
      </c>
      <c r="H41" s="18"/>
      <c r="I41" s="18"/>
      <c r="J41" s="13">
        <f>SUM(I449)</f>
        <v>104358.19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221763.62+3910024.02-4122707.32</f>
        <v>9080.320000000298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9080.320000000298</v>
      </c>
      <c r="G43" s="41">
        <f>SUM(G35:G42)</f>
        <v>778.92999999998199</v>
      </c>
      <c r="H43" s="41">
        <f>SUM(H35:H42)</f>
        <v>0</v>
      </c>
      <c r="I43" s="41">
        <f>SUM(I35:I42)</f>
        <v>0</v>
      </c>
      <c r="J43" s="41">
        <f>SUM(J35:J42)</f>
        <v>104358.19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481300.63000000035</v>
      </c>
      <c r="G44" s="41">
        <f>G43+G33</f>
        <v>6915.2199999999821</v>
      </c>
      <c r="H44" s="41">
        <f>H43+H33</f>
        <v>107910.12</v>
      </c>
      <c r="I44" s="41">
        <f>I43+I33</f>
        <v>0</v>
      </c>
      <c r="J44" s="41">
        <f>J43+J33</f>
        <v>104358.19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2442789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2442789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149.1+526.64</f>
        <v>675.74</v>
      </c>
      <c r="G88" s="18">
        <v>34.630000000000003</v>
      </c>
      <c r="H88" s="18"/>
      <c r="I88" s="18"/>
      <c r="J88" s="18">
        <v>139.19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34434.81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313.47000000000003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100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1089.21</v>
      </c>
      <c r="G103" s="41">
        <f>SUM(G88:G102)</f>
        <v>34469.439999999995</v>
      </c>
      <c r="H103" s="41">
        <f>SUM(H88:H102)</f>
        <v>0</v>
      </c>
      <c r="I103" s="41">
        <f>SUM(I88:I102)</f>
        <v>0</v>
      </c>
      <c r="J103" s="41">
        <f>SUM(J88:J102)</f>
        <v>139.19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2443878.21</v>
      </c>
      <c r="G104" s="41">
        <f>G52+G103</f>
        <v>34469.439999999995</v>
      </c>
      <c r="H104" s="41">
        <f>H52+H71+H86+H103</f>
        <v>0</v>
      </c>
      <c r="I104" s="41">
        <f>I52+I103</f>
        <v>0</v>
      </c>
      <c r="J104" s="41">
        <f>J52+J103</f>
        <v>139.19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793902.38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609720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28794.62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1432417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888.86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888.86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1432417</v>
      </c>
      <c r="G132" s="41">
        <f>G113+SUM(G128:G129)</f>
        <v>888.86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40318.75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59383.6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23480.82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94663.81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33728.81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2263.64</v>
      </c>
      <c r="H153" s="18">
        <v>2200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33728.81</v>
      </c>
      <c r="G154" s="41">
        <f>SUM(G142:G153)</f>
        <v>25744.46</v>
      </c>
      <c r="H154" s="41">
        <f>SUM(H142:H153)</f>
        <v>196566.16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33728.81</v>
      </c>
      <c r="G161" s="41">
        <f>G139+G154+SUM(G155:G160)</f>
        <v>25744.46</v>
      </c>
      <c r="H161" s="41">
        <f>H139+H154+SUM(H155:H160)</f>
        <v>196566.16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33260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33260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33260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3910024.02</v>
      </c>
      <c r="G185" s="47">
        <f>G104+G132+G161+G184</f>
        <v>94362.76</v>
      </c>
      <c r="H185" s="47">
        <f>H104+H132+H161+H184</f>
        <v>196566.16</v>
      </c>
      <c r="I185" s="47">
        <f>I104+I132+I161+I184</f>
        <v>0</v>
      </c>
      <c r="J185" s="47">
        <f>J104+J132+J184</f>
        <v>139.19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1026229.84</v>
      </c>
      <c r="G189" s="18">
        <v>405551.81</v>
      </c>
      <c r="H189" s="18">
        <v>7812.5</v>
      </c>
      <c r="I189" s="18">
        <v>35322.49</v>
      </c>
      <c r="J189" s="18">
        <v>2360.46</v>
      </c>
      <c r="K189" s="18"/>
      <c r="L189" s="19">
        <f>SUM(F189:K189)</f>
        <v>1477277.0999999999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148194.43</v>
      </c>
      <c r="G190" s="18">
        <v>80498.240000000005</v>
      </c>
      <c r="H190" s="18">
        <v>164827.79999999999</v>
      </c>
      <c r="I190" s="18">
        <v>2120.85</v>
      </c>
      <c r="J190" s="18"/>
      <c r="K190" s="18">
        <v>655</v>
      </c>
      <c r="L190" s="19">
        <f>SUM(F190:K190)</f>
        <v>396296.31999999995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10150</v>
      </c>
      <c r="G192" s="18">
        <v>1445.88</v>
      </c>
      <c r="H192" s="18">
        <v>1375</v>
      </c>
      <c r="I192" s="18">
        <v>2687.17</v>
      </c>
      <c r="J192" s="18"/>
      <c r="K192" s="18">
        <v>125</v>
      </c>
      <c r="L192" s="19">
        <f>SUM(F192:K192)</f>
        <v>15783.050000000001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76654</v>
      </c>
      <c r="G194" s="18">
        <v>33827.51</v>
      </c>
      <c r="H194" s="18">
        <v>74152.62</v>
      </c>
      <c r="I194" s="18">
        <v>2978.84</v>
      </c>
      <c r="J194" s="18"/>
      <c r="K194" s="18"/>
      <c r="L194" s="19">
        <f t="shared" ref="L194:L200" si="0">SUM(F194:K194)</f>
        <v>187612.97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18376.8</v>
      </c>
      <c r="G195" s="18">
        <v>12130.48</v>
      </c>
      <c r="H195" s="18">
        <f>6611+997.27</f>
        <v>7608.27</v>
      </c>
      <c r="I195" s="18">
        <v>6209.1</v>
      </c>
      <c r="J195" s="18">
        <v>400</v>
      </c>
      <c r="K195" s="18"/>
      <c r="L195" s="19">
        <f t="shared" si="0"/>
        <v>44724.65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1650</v>
      </c>
      <c r="G196" s="18">
        <v>39.549999999999997</v>
      </c>
      <c r="H196" s="18">
        <f>159691.03+5016.85</f>
        <v>164707.88</v>
      </c>
      <c r="I196" s="18">
        <v>470.26</v>
      </c>
      <c r="J196" s="18"/>
      <c r="K196" s="18">
        <v>2943.12</v>
      </c>
      <c r="L196" s="19">
        <f t="shared" si="0"/>
        <v>169810.81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109935.9</v>
      </c>
      <c r="G197" s="18">
        <v>43437.59</v>
      </c>
      <c r="H197" s="18">
        <f>2563.98+4252.65</f>
        <v>6816.6299999999992</v>
      </c>
      <c r="I197" s="18">
        <v>2030.45</v>
      </c>
      <c r="J197" s="18">
        <v>6155.8</v>
      </c>
      <c r="K197" s="18">
        <v>675</v>
      </c>
      <c r="L197" s="19">
        <f t="shared" si="0"/>
        <v>169051.37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74305.240000000005</v>
      </c>
      <c r="G199" s="18">
        <v>26015.59</v>
      </c>
      <c r="H199" s="18">
        <f>45246.9+11615.89</f>
        <v>56862.79</v>
      </c>
      <c r="I199" s="18">
        <v>92213.15</v>
      </c>
      <c r="J199" s="18">
        <v>1500</v>
      </c>
      <c r="K199" s="18"/>
      <c r="L199" s="19">
        <f t="shared" si="0"/>
        <v>250896.77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141764.75</v>
      </c>
      <c r="I200" s="18">
        <v>7857.12</v>
      </c>
      <c r="J200" s="18"/>
      <c r="K200" s="18"/>
      <c r="L200" s="19">
        <f t="shared" si="0"/>
        <v>149621.87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1465496.21</v>
      </c>
      <c r="G203" s="41">
        <f t="shared" si="1"/>
        <v>602946.65</v>
      </c>
      <c r="H203" s="41">
        <f t="shared" si="1"/>
        <v>625928.24</v>
      </c>
      <c r="I203" s="41">
        <f t="shared" si="1"/>
        <v>151889.43</v>
      </c>
      <c r="J203" s="41">
        <f t="shared" si="1"/>
        <v>10416.26</v>
      </c>
      <c r="K203" s="41">
        <f t="shared" si="1"/>
        <v>4398.12</v>
      </c>
      <c r="L203" s="41">
        <f t="shared" si="1"/>
        <v>2861074.91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956995.82</v>
      </c>
      <c r="I225" s="18"/>
      <c r="J225" s="18"/>
      <c r="K225" s="18"/>
      <c r="L225" s="19">
        <f>SUM(F225:K225)</f>
        <v>956995.82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114648.88</v>
      </c>
      <c r="I226" s="18"/>
      <c r="J226" s="18"/>
      <c r="K226" s="18"/>
      <c r="L226" s="19">
        <f>SUM(F226:K226)</f>
        <v>114648.88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150207.71</v>
      </c>
      <c r="I236" s="18"/>
      <c r="J236" s="18"/>
      <c r="K236" s="18"/>
      <c r="L236" s="19">
        <f t="shared" si="4"/>
        <v>150207.71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1221852.4099999999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1221852.4099999999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>
        <f>500+6020</f>
        <v>6520</v>
      </c>
      <c r="L247" s="19">
        <f t="shared" si="6"/>
        <v>6520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6520</v>
      </c>
      <c r="L248" s="41">
        <f>SUM(F248:K248)</f>
        <v>6520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1465496.21</v>
      </c>
      <c r="G249" s="41">
        <f t="shared" si="8"/>
        <v>602946.65</v>
      </c>
      <c r="H249" s="41">
        <f t="shared" si="8"/>
        <v>1847780.65</v>
      </c>
      <c r="I249" s="41">
        <f t="shared" si="8"/>
        <v>151889.43</v>
      </c>
      <c r="J249" s="41">
        <f t="shared" si="8"/>
        <v>10416.26</v>
      </c>
      <c r="K249" s="41">
        <f t="shared" si="8"/>
        <v>10918.119999999999</v>
      </c>
      <c r="L249" s="41">
        <f t="shared" si="8"/>
        <v>4089447.3200000003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33260</v>
      </c>
      <c r="L255" s="19">
        <f>SUM(F255:K255)</f>
        <v>33260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33260</v>
      </c>
      <c r="L262" s="41">
        <f t="shared" si="9"/>
        <v>33260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1465496.21</v>
      </c>
      <c r="G263" s="42">
        <f t="shared" si="11"/>
        <v>602946.65</v>
      </c>
      <c r="H263" s="42">
        <f t="shared" si="11"/>
        <v>1847780.65</v>
      </c>
      <c r="I263" s="42">
        <f t="shared" si="11"/>
        <v>151889.43</v>
      </c>
      <c r="J263" s="42">
        <f t="shared" si="11"/>
        <v>10416.26</v>
      </c>
      <c r="K263" s="42">
        <f t="shared" si="11"/>
        <v>44178.119999999995</v>
      </c>
      <c r="L263" s="42">
        <f t="shared" si="11"/>
        <v>4122707.3200000003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7384.23</v>
      </c>
      <c r="G268" s="18">
        <v>1106.47</v>
      </c>
      <c r="H268" s="18">
        <v>23099.83</v>
      </c>
      <c r="I268" s="18">
        <v>3328.99</v>
      </c>
      <c r="J268" s="18">
        <v>2565.2199999999998</v>
      </c>
      <c r="K268" s="18"/>
      <c r="L268" s="19">
        <f>SUM(F268:K268)</f>
        <v>37484.74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84402.3</v>
      </c>
      <c r="G269" s="18">
        <v>2208.1999999999998</v>
      </c>
      <c r="H269" s="18">
        <v>15893.12</v>
      </c>
      <c r="I269" s="18">
        <v>9981.57</v>
      </c>
      <c r="J269" s="18">
        <v>1827.3</v>
      </c>
      <c r="K269" s="18"/>
      <c r="L269" s="19">
        <f>SUM(F269:K269)</f>
        <v>114312.49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>
        <v>6007.5</v>
      </c>
      <c r="I271" s="18"/>
      <c r="J271" s="18"/>
      <c r="K271" s="18"/>
      <c r="L271" s="19">
        <f>SUM(F271:K271)</f>
        <v>6007.5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23450.2</v>
      </c>
      <c r="I273" s="18"/>
      <c r="J273" s="18"/>
      <c r="K273" s="18"/>
      <c r="L273" s="19">
        <f t="shared" ref="L273:L279" si="12">SUM(F273:K273)</f>
        <v>23450.2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6645</v>
      </c>
      <c r="I274" s="18"/>
      <c r="J274" s="18"/>
      <c r="K274" s="18"/>
      <c r="L274" s="19">
        <f t="shared" si="12"/>
        <v>6645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1732.66</v>
      </c>
      <c r="L277" s="19">
        <f t="shared" si="12"/>
        <v>1732.66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91786.53</v>
      </c>
      <c r="G282" s="42">
        <f t="shared" si="13"/>
        <v>3314.67</v>
      </c>
      <c r="H282" s="42">
        <f t="shared" si="13"/>
        <v>75095.650000000009</v>
      </c>
      <c r="I282" s="42">
        <f t="shared" si="13"/>
        <v>13310.56</v>
      </c>
      <c r="J282" s="42">
        <f t="shared" si="13"/>
        <v>4392.5199999999995</v>
      </c>
      <c r="K282" s="42">
        <f t="shared" si="13"/>
        <v>1732.66</v>
      </c>
      <c r="L282" s="41">
        <f t="shared" si="13"/>
        <v>189632.59000000003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>
        <v>2861.57</v>
      </c>
      <c r="I324" s="18">
        <v>61.68</v>
      </c>
      <c r="J324" s="18">
        <v>4010.32</v>
      </c>
      <c r="K324" s="18"/>
      <c r="L324" s="19">
        <f t="shared" ref="L324:L329" si="18">SUM(F324:K324)</f>
        <v>6933.57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2861.57</v>
      </c>
      <c r="I329" s="41">
        <f t="shared" si="19"/>
        <v>61.68</v>
      </c>
      <c r="J329" s="41">
        <f t="shared" si="19"/>
        <v>4010.32</v>
      </c>
      <c r="K329" s="41">
        <f t="shared" si="19"/>
        <v>0</v>
      </c>
      <c r="L329" s="41">
        <f t="shared" si="18"/>
        <v>6933.57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91786.53</v>
      </c>
      <c r="G330" s="41">
        <f t="shared" si="20"/>
        <v>3314.67</v>
      </c>
      <c r="H330" s="41">
        <f t="shared" si="20"/>
        <v>77957.220000000016</v>
      </c>
      <c r="I330" s="41">
        <f t="shared" si="20"/>
        <v>13372.24</v>
      </c>
      <c r="J330" s="41">
        <f t="shared" si="20"/>
        <v>8402.84</v>
      </c>
      <c r="K330" s="41">
        <f t="shared" si="20"/>
        <v>1732.66</v>
      </c>
      <c r="L330" s="41">
        <f t="shared" si="20"/>
        <v>196566.16000000003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91786.53</v>
      </c>
      <c r="G344" s="41">
        <f>G330</f>
        <v>3314.67</v>
      </c>
      <c r="H344" s="41">
        <f>H330</f>
        <v>77957.220000000016</v>
      </c>
      <c r="I344" s="41">
        <f>I330</f>
        <v>13372.24</v>
      </c>
      <c r="J344" s="41">
        <f>J330</f>
        <v>8402.84</v>
      </c>
      <c r="K344" s="47">
        <f>K330+K343</f>
        <v>1732.66</v>
      </c>
      <c r="L344" s="41">
        <f>L330+L343</f>
        <v>196566.16000000003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36978.97</v>
      </c>
      <c r="G350" s="18">
        <v>13555.1</v>
      </c>
      <c r="H350" s="18">
        <v>1972.21</v>
      </c>
      <c r="I350" s="18">
        <v>43149.07</v>
      </c>
      <c r="J350" s="18"/>
      <c r="K350" s="18"/>
      <c r="L350" s="13">
        <f>SUM(F350:K350)</f>
        <v>95655.35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36978.97</v>
      </c>
      <c r="G354" s="47">
        <f t="shared" si="22"/>
        <v>13555.1</v>
      </c>
      <c r="H354" s="47">
        <f t="shared" si="22"/>
        <v>1972.21</v>
      </c>
      <c r="I354" s="47">
        <f t="shared" si="22"/>
        <v>43149.07</v>
      </c>
      <c r="J354" s="47">
        <f t="shared" si="22"/>
        <v>0</v>
      </c>
      <c r="K354" s="47">
        <f t="shared" si="22"/>
        <v>0</v>
      </c>
      <c r="L354" s="47">
        <f t="shared" si="22"/>
        <v>95655.35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39185.27+2263.64</f>
        <v>41448.909999999996</v>
      </c>
      <c r="G359" s="18"/>
      <c r="H359" s="18"/>
      <c r="I359" s="56">
        <f>SUM(F359:H359)</f>
        <v>41448.909999999996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1700.16</v>
      </c>
      <c r="G360" s="63"/>
      <c r="H360" s="63"/>
      <c r="I360" s="56">
        <f>SUM(F360:H360)</f>
        <v>1700.16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43149.07</v>
      </c>
      <c r="G361" s="47">
        <f>SUM(G359:G360)</f>
        <v>0</v>
      </c>
      <c r="H361" s="47">
        <f>SUM(H359:H360)</f>
        <v>0</v>
      </c>
      <c r="I361" s="47">
        <f>SUM(I359:I360)</f>
        <v>43149.07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16.09</v>
      </c>
      <c r="I381" s="18"/>
      <c r="J381" s="24" t="s">
        <v>312</v>
      </c>
      <c r="K381" s="24" t="s">
        <v>312</v>
      </c>
      <c r="L381" s="56">
        <f t="shared" si="25"/>
        <v>16.09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16.09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16.09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80.55</v>
      </c>
      <c r="I389" s="18"/>
      <c r="J389" s="24" t="s">
        <v>312</v>
      </c>
      <c r="K389" s="24" t="s">
        <v>312</v>
      </c>
      <c r="L389" s="56">
        <f t="shared" si="26"/>
        <v>80.55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42.55</v>
      </c>
      <c r="I390" s="18"/>
      <c r="J390" s="24" t="s">
        <v>312</v>
      </c>
      <c r="K390" s="24" t="s">
        <v>312</v>
      </c>
      <c r="L390" s="56">
        <f t="shared" si="26"/>
        <v>42.55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123.1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123.1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139.19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139.19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104358.19</v>
      </c>
      <c r="H434" s="18"/>
      <c r="I434" s="56">
        <f t="shared" si="33"/>
        <v>104358.19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104358.19</v>
      </c>
      <c r="H438" s="13">
        <f>SUM(H431:H437)</f>
        <v>0</v>
      </c>
      <c r="I438" s="13">
        <f>SUM(I431:I437)</f>
        <v>104358.19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104358.19</v>
      </c>
      <c r="H449" s="18"/>
      <c r="I449" s="56">
        <f>SUM(F449:H449)</f>
        <v>104358.19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104358.19</v>
      </c>
      <c r="H450" s="83">
        <f>SUM(H446:H449)</f>
        <v>0</v>
      </c>
      <c r="I450" s="83">
        <f>SUM(I446:I449)</f>
        <v>104358.19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104358.19</v>
      </c>
      <c r="H451" s="42">
        <f>H444+H450</f>
        <v>0</v>
      </c>
      <c r="I451" s="42">
        <f>I444+I450</f>
        <v>104358.19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221763.62</v>
      </c>
      <c r="G455" s="18">
        <v>1293.18</v>
      </c>
      <c r="H455" s="18"/>
      <c r="I455" s="18"/>
      <c r="J455" s="18">
        <v>104219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3910024.02</v>
      </c>
      <c r="G458" s="18">
        <v>94362.76</v>
      </c>
      <c r="H458" s="18">
        <f>194366.16+2200</f>
        <v>196566.16</v>
      </c>
      <c r="I458" s="18"/>
      <c r="J458" s="18">
        <v>139.19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v>778.34</v>
      </c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3910024.02</v>
      </c>
      <c r="G460" s="53">
        <f>SUM(G458:G459)</f>
        <v>95141.099999999991</v>
      </c>
      <c r="H460" s="53">
        <f>SUM(H458:H459)</f>
        <v>196566.16</v>
      </c>
      <c r="I460" s="53">
        <f>SUM(I458:I459)</f>
        <v>0</v>
      </c>
      <c r="J460" s="53">
        <f>SUM(J458:J459)</f>
        <v>139.19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2900854.9119+1221852.41</f>
        <v>4122707.3218999999</v>
      </c>
      <c r="G462" s="18">
        <v>95655.35</v>
      </c>
      <c r="H462" s="18">
        <v>196566.16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4122707.3218999999</v>
      </c>
      <c r="G464" s="53">
        <f>SUM(G462:G463)</f>
        <v>95655.35</v>
      </c>
      <c r="H464" s="53">
        <f>SUM(H462:H463)</f>
        <v>196566.16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9080.318100000266</v>
      </c>
      <c r="G466" s="53">
        <f>(G455+G460)- G464</f>
        <v>778.92999999997846</v>
      </c>
      <c r="H466" s="53">
        <f>(H455+H460)- H464</f>
        <v>0</v>
      </c>
      <c r="I466" s="53">
        <f>(I455+I460)- I464</f>
        <v>0</v>
      </c>
      <c r="J466" s="53">
        <f>(J455+J460)- J464</f>
        <v>104358.19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75" t="s">
        <v>896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5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232596.73</v>
      </c>
      <c r="G511" s="18">
        <f>82718.26-11.82</f>
        <v>82706.439999999988</v>
      </c>
      <c r="H511" s="18">
        <f>15893.12+164827.8+2861.57</f>
        <v>183582.49</v>
      </c>
      <c r="I511" s="18">
        <f>12102.42+61.68</f>
        <v>12164.1</v>
      </c>
      <c r="J511" s="18">
        <f>1827.3+4010.32</f>
        <v>5837.62</v>
      </c>
      <c r="K511" s="18">
        <v>655</v>
      </c>
      <c r="L511" s="88">
        <f>SUM(F511:K511)</f>
        <v>517542.37999999995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114648.88</v>
      </c>
      <c r="I513" s="18"/>
      <c r="J513" s="18"/>
      <c r="K513" s="18"/>
      <c r="L513" s="88">
        <f>SUM(F513:K513)</f>
        <v>114648.88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232596.73</v>
      </c>
      <c r="G514" s="108">
        <f t="shared" ref="G514:L514" si="35">SUM(G511:G513)</f>
        <v>82706.439999999988</v>
      </c>
      <c r="H514" s="108">
        <f t="shared" si="35"/>
        <v>298231.37</v>
      </c>
      <c r="I514" s="108">
        <f t="shared" si="35"/>
        <v>12164.1</v>
      </c>
      <c r="J514" s="108">
        <f t="shared" si="35"/>
        <v>5837.62</v>
      </c>
      <c r="K514" s="108">
        <f t="shared" si="35"/>
        <v>655</v>
      </c>
      <c r="L514" s="89">
        <f t="shared" si="35"/>
        <v>632191.26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95502.82</f>
        <v>95502.82</v>
      </c>
      <c r="I516" s="18"/>
      <c r="J516" s="18"/>
      <c r="K516" s="18"/>
      <c r="L516" s="88">
        <f>SUM(F516:K516)</f>
        <v>95502.82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95502.82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95502.82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31152.83</v>
      </c>
      <c r="I531" s="18"/>
      <c r="J531" s="18"/>
      <c r="K531" s="18"/>
      <c r="L531" s="88">
        <f>SUM(F531:K531)</f>
        <v>31152.83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34221.71</v>
      </c>
      <c r="I533" s="18"/>
      <c r="J533" s="18"/>
      <c r="K533" s="18"/>
      <c r="L533" s="88">
        <f>SUM(F533:K533)</f>
        <v>34221.71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65374.54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65374.54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232596.73</v>
      </c>
      <c r="G535" s="89">
        <f t="shared" ref="G535:L535" si="40">G514+G519+G524+G529+G534</f>
        <v>82706.439999999988</v>
      </c>
      <c r="H535" s="89">
        <f t="shared" si="40"/>
        <v>459108.73</v>
      </c>
      <c r="I535" s="89">
        <f t="shared" si="40"/>
        <v>12164.1</v>
      </c>
      <c r="J535" s="89">
        <f t="shared" si="40"/>
        <v>5837.62</v>
      </c>
      <c r="K535" s="89">
        <f t="shared" si="40"/>
        <v>655</v>
      </c>
      <c r="L535" s="89">
        <f t="shared" si="40"/>
        <v>793068.62000000011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517542.37999999995</v>
      </c>
      <c r="G539" s="87">
        <f>L516</f>
        <v>95502.82</v>
      </c>
      <c r="H539" s="87">
        <f>L521</f>
        <v>0</v>
      </c>
      <c r="I539" s="87">
        <f>L526</f>
        <v>0</v>
      </c>
      <c r="J539" s="87">
        <f>L531</f>
        <v>31152.83</v>
      </c>
      <c r="K539" s="87">
        <f>SUM(F539:J539)</f>
        <v>644198.02999999991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114648.88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34221.71</v>
      </c>
      <c r="K541" s="87">
        <f>SUM(F541:J541)</f>
        <v>148870.59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632191.26</v>
      </c>
      <c r="G542" s="89">
        <f t="shared" si="41"/>
        <v>95502.82</v>
      </c>
      <c r="H542" s="89">
        <f t="shared" si="41"/>
        <v>0</v>
      </c>
      <c r="I542" s="89">
        <f t="shared" si="41"/>
        <v>0</v>
      </c>
      <c r="J542" s="89">
        <f t="shared" si="41"/>
        <v>65374.54</v>
      </c>
      <c r="K542" s="89">
        <f t="shared" si="41"/>
        <v>793068.61999999988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956995.82</v>
      </c>
      <c r="I565" s="87">
        <f>SUM(F565:H565)</f>
        <v>956995.82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162632.20000000001</v>
      </c>
      <c r="G569" s="18"/>
      <c r="H569" s="18">
        <v>114648.88</v>
      </c>
      <c r="I569" s="87">
        <f t="shared" si="46"/>
        <v>277281.08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111328.87</v>
      </c>
      <c r="I581" s="18"/>
      <c r="J581" s="18">
        <v>115986</v>
      </c>
      <c r="K581" s="104">
        <f t="shared" ref="K581:K587" si="47">SUM(H581:J581)</f>
        <v>227314.87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31152.83</v>
      </c>
      <c r="I582" s="18"/>
      <c r="J582" s="18">
        <v>34221.71</v>
      </c>
      <c r="K582" s="104">
        <f t="shared" si="47"/>
        <v>65374.54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3180.75</v>
      </c>
      <c r="I584" s="18"/>
      <c r="J584" s="18"/>
      <c r="K584" s="104">
        <f t="shared" si="47"/>
        <v>3180.75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3959.42</v>
      </c>
      <c r="I585" s="18"/>
      <c r="J585" s="18"/>
      <c r="K585" s="104">
        <f t="shared" si="47"/>
        <v>3959.42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149621.87000000002</v>
      </c>
      <c r="I588" s="108">
        <f>SUM(I581:I587)</f>
        <v>0</v>
      </c>
      <c r="J588" s="108">
        <f>SUM(J581:J587)</f>
        <v>150207.71</v>
      </c>
      <c r="K588" s="108">
        <f>SUM(K581:K587)</f>
        <v>299829.57999999996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18819.099999999999</v>
      </c>
      <c r="I594" s="18"/>
      <c r="J594" s="18"/>
      <c r="K594" s="104">
        <f>SUM(H594:J594)</f>
        <v>18819.099999999999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18819.099999999999</v>
      </c>
      <c r="I595" s="108">
        <f>SUM(I592:I594)</f>
        <v>0</v>
      </c>
      <c r="J595" s="108">
        <f>SUM(J592:J594)</f>
        <v>0</v>
      </c>
      <c r="K595" s="108">
        <f>SUM(K592:K594)</f>
        <v>18819.099999999999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481300.63</v>
      </c>
      <c r="H607" s="109">
        <f>SUM(F44)</f>
        <v>481300.63000000035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6915.22</v>
      </c>
      <c r="H608" s="109">
        <f>SUM(G44)</f>
        <v>6915.2199999999821</v>
      </c>
      <c r="I608" s="121" t="s">
        <v>102</v>
      </c>
      <c r="J608" s="109">
        <f>G608-H608</f>
        <v>1.8189894035458565E-11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107910.12</v>
      </c>
      <c r="H609" s="109">
        <f>SUM(H44)</f>
        <v>107910.12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104358.19</v>
      </c>
      <c r="H611" s="109">
        <f>SUM(J44)</f>
        <v>104358.19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9080.320000000298</v>
      </c>
      <c r="H612" s="109">
        <f>F466</f>
        <v>9080.318100000266</v>
      </c>
      <c r="I612" s="121" t="s">
        <v>106</v>
      </c>
      <c r="J612" s="109">
        <f t="shared" ref="J612:J645" si="49">G612-H612</f>
        <v>1.9000000320374966E-3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778.92999999998199</v>
      </c>
      <c r="H613" s="109">
        <f>G466</f>
        <v>778.92999999997846</v>
      </c>
      <c r="I613" s="121" t="s">
        <v>108</v>
      </c>
      <c r="J613" s="109">
        <f t="shared" si="49"/>
        <v>3.5242919693700969E-12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104358.19</v>
      </c>
      <c r="H616" s="109">
        <f>J466</f>
        <v>104358.19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3910024.02</v>
      </c>
      <c r="H617" s="104">
        <f>SUM(F458)</f>
        <v>3910024.02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94362.76</v>
      </c>
      <c r="H618" s="104">
        <f>SUM(G458)</f>
        <v>94362.76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196566.16</v>
      </c>
      <c r="H619" s="104">
        <f>SUM(H458)</f>
        <v>196566.16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139.19</v>
      </c>
      <c r="H621" s="104">
        <f>SUM(J458)</f>
        <v>139.19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4122707.3200000003</v>
      </c>
      <c r="H622" s="104">
        <f>SUM(F462)</f>
        <v>4122707.3218999999</v>
      </c>
      <c r="I622" s="140" t="s">
        <v>120</v>
      </c>
      <c r="J622" s="109">
        <f t="shared" si="49"/>
        <v>-1.8999995663762093E-3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196566.16000000003</v>
      </c>
      <c r="H623" s="104">
        <f>SUM(H462)</f>
        <v>196566.16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43149.07</v>
      </c>
      <c r="H624" s="104">
        <f>I361</f>
        <v>43149.07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95655.35</v>
      </c>
      <c r="H625" s="104">
        <f>SUM(G462)</f>
        <v>95655.35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139.19</v>
      </c>
      <c r="H627" s="164">
        <f>SUM(J458)</f>
        <v>139.19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104358.19</v>
      </c>
      <c r="H630" s="104">
        <f>SUM(G451)</f>
        <v>104358.19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104358.19</v>
      </c>
      <c r="H632" s="104">
        <f>SUM(I451)</f>
        <v>104358.19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139.19</v>
      </c>
      <c r="H634" s="104">
        <f>H400</f>
        <v>139.19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139.19</v>
      </c>
      <c r="H636" s="104">
        <f>L400</f>
        <v>139.19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299829.57999999996</v>
      </c>
      <c r="H637" s="104">
        <f>L200+L218+L236</f>
        <v>299829.57999999996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18819.099999999999</v>
      </c>
      <c r="H638" s="104">
        <f>(J249+J330)-(J247+J328)</f>
        <v>18819.099999999999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149621.87</v>
      </c>
      <c r="H639" s="104">
        <f>H588</f>
        <v>149621.87000000002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150207.71</v>
      </c>
      <c r="H641" s="104">
        <f>J588</f>
        <v>150207.71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33260</v>
      </c>
      <c r="H642" s="104">
        <f>K255+K337</f>
        <v>33260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3146362.85</v>
      </c>
      <c r="G650" s="19">
        <f>(L221+L301+L351)</f>
        <v>0</v>
      </c>
      <c r="H650" s="19">
        <f>(L239+L320+L352)</f>
        <v>1221852.4099999999</v>
      </c>
      <c r="I650" s="19">
        <f>SUM(F650:H650)</f>
        <v>4368215.26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34434.81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34434.81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149621.87</v>
      </c>
      <c r="G652" s="19">
        <f>(L218+L298)-(J218+J298)</f>
        <v>0</v>
      </c>
      <c r="H652" s="19">
        <f>(L236+L317)-(J236+J317)</f>
        <v>150207.71</v>
      </c>
      <c r="I652" s="19">
        <f>SUM(F652:H652)</f>
        <v>299829.57999999996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181451.30000000002</v>
      </c>
      <c r="G653" s="200">
        <f>SUM(G565:G577)+SUM(I592:I594)+L602</f>
        <v>0</v>
      </c>
      <c r="H653" s="200">
        <f>SUM(H565:H577)+SUM(J592:J594)+L603</f>
        <v>1071644.7</v>
      </c>
      <c r="I653" s="19">
        <f>SUM(F653:H653)</f>
        <v>1253096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2780854.87</v>
      </c>
      <c r="G654" s="19">
        <f>G650-SUM(G651:G653)</f>
        <v>0</v>
      </c>
      <c r="H654" s="19">
        <f>H650-SUM(H651:H653)</f>
        <v>0</v>
      </c>
      <c r="I654" s="19">
        <f>I650-SUM(I651:I653)</f>
        <v>2780854.87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211.66</v>
      </c>
      <c r="G655" s="249"/>
      <c r="H655" s="249"/>
      <c r="I655" s="19">
        <f>SUM(F655:H655)</f>
        <v>211.66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13138.31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13138.31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13138.31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13138.31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7354-F79D-4CB5-BBA9-9E1047CDEB08}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Andover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1033614.07</v>
      </c>
      <c r="C9" s="230">
        <f>'DOE25'!G189+'DOE25'!G207+'DOE25'!G225+'DOE25'!G268+'DOE25'!G287+'DOE25'!G306</f>
        <v>406658.27999999997</v>
      </c>
    </row>
    <row r="10" spans="1:3" x14ac:dyDescent="0.2">
      <c r="A10" t="s">
        <v>810</v>
      </c>
      <c r="B10" s="241">
        <v>980233.82</v>
      </c>
      <c r="C10" s="241">
        <v>386447.26</v>
      </c>
    </row>
    <row r="11" spans="1:3" x14ac:dyDescent="0.2">
      <c r="A11" t="s">
        <v>811</v>
      </c>
      <c r="B11" s="241">
        <v>19488.05</v>
      </c>
      <c r="C11" s="241">
        <v>7743.22</v>
      </c>
    </row>
    <row r="12" spans="1:3" x14ac:dyDescent="0.2">
      <c r="A12" t="s">
        <v>812</v>
      </c>
      <c r="B12" s="241">
        <v>33892.199999999997</v>
      </c>
      <c r="C12" s="241">
        <v>12467.8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1033614.07</v>
      </c>
      <c r="C13" s="232">
        <f>SUM(C10:C12)</f>
        <v>406658.27999999997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232596.72999999998</v>
      </c>
      <c r="C18" s="230">
        <f>'DOE25'!G190+'DOE25'!G208+'DOE25'!G226+'DOE25'!G269+'DOE25'!G288+'DOE25'!G307</f>
        <v>82706.44</v>
      </c>
    </row>
    <row r="19" spans="1:3" x14ac:dyDescent="0.2">
      <c r="A19" t="s">
        <v>810</v>
      </c>
      <c r="B19" s="241">
        <v>84379.18</v>
      </c>
      <c r="C19" s="241">
        <v>39464.980000000003</v>
      </c>
    </row>
    <row r="20" spans="1:3" x14ac:dyDescent="0.2">
      <c r="A20" t="s">
        <v>811</v>
      </c>
      <c r="B20" s="241">
        <v>27648.3</v>
      </c>
      <c r="C20" s="241">
        <v>8096.42</v>
      </c>
    </row>
    <row r="21" spans="1:3" x14ac:dyDescent="0.2">
      <c r="A21" t="s">
        <v>812</v>
      </c>
      <c r="B21" s="241">
        <v>120569.25</v>
      </c>
      <c r="C21" s="241">
        <v>35145.040000000001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232596.72999999998</v>
      </c>
      <c r="C22" s="232">
        <f>SUM(C19:C21)</f>
        <v>82706.44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10150</v>
      </c>
      <c r="C36" s="236">
        <f>'DOE25'!G192+'DOE25'!G210+'DOE25'!G228+'DOE25'!G271+'DOE25'!G290+'DOE25'!G309</f>
        <v>1445.88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>
        <v>10150</v>
      </c>
      <c r="C38" s="241">
        <v>1445.88</v>
      </c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10150</v>
      </c>
      <c r="C40" s="232">
        <f>SUM(C37:C39)</f>
        <v>1445.88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9928-5DAB-42FC-99F3-811333256854}">
  <sheetPr>
    <tabColor indexed="11"/>
  </sheetPr>
  <dimension ref="A1:I51"/>
  <sheetViews>
    <sheetView zoomScale="110" zoomScaleNormal="110"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Andover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2961001.17</v>
      </c>
      <c r="D5" s="20">
        <f>SUM('DOE25'!L189:L192)+SUM('DOE25'!L207:L210)+SUM('DOE25'!L225:L228)-F5-G5</f>
        <v>2957860.71</v>
      </c>
      <c r="E5" s="244"/>
      <c r="F5" s="256">
        <f>SUM('DOE25'!J189:J192)+SUM('DOE25'!J207:J210)+SUM('DOE25'!J225:J228)</f>
        <v>2360.46</v>
      </c>
      <c r="G5" s="53">
        <f>SUM('DOE25'!K189:K192)+SUM('DOE25'!K207:K210)+SUM('DOE25'!K225:K228)</f>
        <v>780</v>
      </c>
      <c r="H5" s="260"/>
    </row>
    <row r="6" spans="1:9" x14ac:dyDescent="0.2">
      <c r="A6" s="32">
        <v>2100</v>
      </c>
      <c r="B6" t="s">
        <v>832</v>
      </c>
      <c r="C6" s="246">
        <f t="shared" si="0"/>
        <v>187612.97</v>
      </c>
      <c r="D6" s="20">
        <f>'DOE25'!L194+'DOE25'!L212+'DOE25'!L230-F6-G6</f>
        <v>187612.97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44724.65</v>
      </c>
      <c r="D7" s="20">
        <f>'DOE25'!L195+'DOE25'!L213+'DOE25'!L231-F7-G7</f>
        <v>44324.65</v>
      </c>
      <c r="E7" s="244"/>
      <c r="F7" s="256">
        <f>'DOE25'!J195+'DOE25'!J213+'DOE25'!J231</f>
        <v>400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61698.630000000005</v>
      </c>
      <c r="D8" s="244"/>
      <c r="E8" s="20">
        <f>'DOE25'!L196+'DOE25'!L214+'DOE25'!L232-F8-G8-D9-D11</f>
        <v>58755.51</v>
      </c>
      <c r="F8" s="256">
        <f>'DOE25'!J196+'DOE25'!J214+'DOE25'!J232</f>
        <v>0</v>
      </c>
      <c r="G8" s="53">
        <f>'DOE25'!K196+'DOE25'!K214+'DOE25'!K232</f>
        <v>2943.12</v>
      </c>
      <c r="H8" s="260"/>
    </row>
    <row r="9" spans="1:9" x14ac:dyDescent="0.2">
      <c r="A9" s="32">
        <v>2310</v>
      </c>
      <c r="B9" t="s">
        <v>849</v>
      </c>
      <c r="C9" s="246">
        <f t="shared" si="0"/>
        <v>68817.81</v>
      </c>
      <c r="D9" s="245">
        <v>68817.81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6875</v>
      </c>
      <c r="D10" s="244"/>
      <c r="E10" s="245">
        <v>6875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39294.370000000003</v>
      </c>
      <c r="D11" s="245">
        <v>39294.370000000003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169051.37</v>
      </c>
      <c r="D12" s="20">
        <f>'DOE25'!L197+'DOE25'!L215+'DOE25'!L233-F12-G12</f>
        <v>162220.57</v>
      </c>
      <c r="E12" s="244"/>
      <c r="F12" s="256">
        <f>'DOE25'!J197+'DOE25'!J215+'DOE25'!J233</f>
        <v>6155.8</v>
      </c>
      <c r="G12" s="53">
        <f>'DOE25'!K197+'DOE25'!K215+'DOE25'!K233</f>
        <v>675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250896.77</v>
      </c>
      <c r="D14" s="20">
        <f>'DOE25'!L199+'DOE25'!L217+'DOE25'!L235-F14-G14</f>
        <v>249396.77</v>
      </c>
      <c r="E14" s="244"/>
      <c r="F14" s="256">
        <f>'DOE25'!J199+'DOE25'!J217+'DOE25'!J235</f>
        <v>1500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299829.57999999996</v>
      </c>
      <c r="D15" s="20">
        <f>'DOE25'!L200+'DOE25'!L218+'DOE25'!L236-F15-G15</f>
        <v>299829.57999999996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6520</v>
      </c>
      <c r="D22" s="244"/>
      <c r="E22" s="244"/>
      <c r="F22" s="256">
        <f>'DOE25'!L247+'DOE25'!L328</f>
        <v>6520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54206.44000000001</v>
      </c>
      <c r="D29" s="20">
        <f>'DOE25'!L350+'DOE25'!L351+'DOE25'!L352-'DOE25'!I359-F29-G29</f>
        <v>54206.44000000001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189632.59000000003</v>
      </c>
      <c r="D31" s="20">
        <f>'DOE25'!L282+'DOE25'!L301+'DOE25'!L320+'DOE25'!L325+'DOE25'!L326+'DOE25'!L327-F31-G31</f>
        <v>183507.41000000003</v>
      </c>
      <c r="E31" s="244"/>
      <c r="F31" s="256">
        <f>'DOE25'!J282+'DOE25'!J301+'DOE25'!J320+'DOE25'!J325+'DOE25'!J326+'DOE25'!J327</f>
        <v>4392.5199999999995</v>
      </c>
      <c r="G31" s="53">
        <f>'DOE25'!K282+'DOE25'!K301+'DOE25'!K320+'DOE25'!K325+'DOE25'!K326+'DOE25'!K327</f>
        <v>1732.66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4247071.28</v>
      </c>
      <c r="E33" s="247">
        <f>SUM(E5:E31)</f>
        <v>65630.510000000009</v>
      </c>
      <c r="F33" s="247">
        <f>SUM(F5:F31)</f>
        <v>21328.780000000002</v>
      </c>
      <c r="G33" s="247">
        <f>SUM(G5:G31)</f>
        <v>6130.78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65630.510000000009</v>
      </c>
      <c r="E35" s="250"/>
    </row>
    <row r="36" spans="2:8" ht="12" thickTop="1" x14ac:dyDescent="0.2">
      <c r="B36" t="s">
        <v>846</v>
      </c>
      <c r="D36" s="20">
        <f>D33</f>
        <v>4247071.28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46C5-0A9E-4725-B1B1-4E94616FB46F}">
  <sheetPr transitionEvaluation="1" codeName="Sheet2">
    <tabColor indexed="10"/>
  </sheetPr>
  <dimension ref="A1:I156"/>
  <sheetViews>
    <sheetView zoomScale="75" workbookViewId="0">
      <pane ySplit="2" topLeftCell="A6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Andover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334766.93</v>
      </c>
      <c r="D9" s="95">
        <f>'DOE25'!G9</f>
        <v>1953.56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44101.279999999999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97784.76</v>
      </c>
      <c r="D12" s="95">
        <f>'DOE25'!G12</f>
        <v>1726.44</v>
      </c>
      <c r="E12" s="95">
        <f>'DOE25'!H12</f>
        <v>2690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4217.3999999999996</v>
      </c>
      <c r="D13" s="95">
        <f>'DOE25'!G13</f>
        <v>1843.18</v>
      </c>
      <c r="E13" s="95">
        <f>'DOE25'!H13</f>
        <v>105220.12</v>
      </c>
      <c r="F13" s="95">
        <f>'DOE25'!I13</f>
        <v>0</v>
      </c>
      <c r="G13" s="95">
        <f>'DOE25'!J13</f>
        <v>104358.19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430.26</v>
      </c>
      <c r="D14" s="95">
        <f>'DOE25'!G14</f>
        <v>613.70000000000005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778.34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481300.63</v>
      </c>
      <c r="D19" s="41">
        <f>SUM(D9:D18)</f>
        <v>6915.22</v>
      </c>
      <c r="E19" s="41">
        <f>SUM(E9:E18)</f>
        <v>107910.12</v>
      </c>
      <c r="F19" s="41">
        <f>SUM(F9:F18)</f>
        <v>0</v>
      </c>
      <c r="G19" s="41">
        <f>SUM(G9:G18)</f>
        <v>104358.19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99511.2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193187.96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95169.3</v>
      </c>
      <c r="D24" s="95">
        <f>'DOE25'!G25</f>
        <v>0</v>
      </c>
      <c r="E24" s="95">
        <f>'DOE25'!H25</f>
        <v>5708.92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183385.27</v>
      </c>
      <c r="D28" s="95">
        <f>'DOE25'!G29</f>
        <v>6063.94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477.78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72.349999999999994</v>
      </c>
      <c r="E30" s="95">
        <f>'DOE25'!H31</f>
        <v>2690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472220.31000000006</v>
      </c>
      <c r="D32" s="41">
        <f>SUM(D22:D31)</f>
        <v>6136.29</v>
      </c>
      <c r="E32" s="41">
        <f>SUM(E22:E31)</f>
        <v>107910.12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778.34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0.58999999998195563</v>
      </c>
      <c r="E40" s="95">
        <f>'DOE25'!H41</f>
        <v>0</v>
      </c>
      <c r="F40" s="95">
        <f>'DOE25'!I41</f>
        <v>0</v>
      </c>
      <c r="G40" s="95">
        <f>'DOE25'!J41</f>
        <v>104358.19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9080.320000000298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9080.320000000298</v>
      </c>
      <c r="D42" s="41">
        <f>SUM(D34:D41)</f>
        <v>778.92999999998199</v>
      </c>
      <c r="E42" s="41">
        <f>SUM(E34:E41)</f>
        <v>0</v>
      </c>
      <c r="F42" s="41">
        <f>SUM(F34:F41)</f>
        <v>0</v>
      </c>
      <c r="G42" s="41">
        <f>SUM(G34:G41)</f>
        <v>104358.19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481300.63000000035</v>
      </c>
      <c r="D43" s="41">
        <f>D42+D32</f>
        <v>6915.2199999999821</v>
      </c>
      <c r="E43" s="41">
        <f>E42+E32</f>
        <v>107910.12</v>
      </c>
      <c r="F43" s="41">
        <f>F42+F32</f>
        <v>0</v>
      </c>
      <c r="G43" s="41">
        <f>G42+G32</f>
        <v>104358.19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2442789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675.74</v>
      </c>
      <c r="D51" s="95">
        <f>'DOE25'!G88</f>
        <v>34.630000000000003</v>
      </c>
      <c r="E51" s="95">
        <f>'DOE25'!H88</f>
        <v>0</v>
      </c>
      <c r="F51" s="95">
        <f>'DOE25'!I88</f>
        <v>0</v>
      </c>
      <c r="G51" s="95">
        <f>'DOE25'!J88</f>
        <v>139.19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34434.81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413.47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1089.21</v>
      </c>
      <c r="D54" s="130">
        <f>SUM(D49:D53)</f>
        <v>34469.439999999995</v>
      </c>
      <c r="E54" s="130">
        <f>SUM(E49:E53)</f>
        <v>0</v>
      </c>
      <c r="F54" s="130">
        <f>SUM(F49:F53)</f>
        <v>0</v>
      </c>
      <c r="G54" s="130">
        <f>SUM(G49:G53)</f>
        <v>139.19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2443878.21</v>
      </c>
      <c r="D55" s="22">
        <f>D48+D54</f>
        <v>34469.439999999995</v>
      </c>
      <c r="E55" s="22">
        <f>E48+E54</f>
        <v>0</v>
      </c>
      <c r="F55" s="22">
        <f>F48+F54</f>
        <v>0</v>
      </c>
      <c r="G55" s="22">
        <f>G48+G54</f>
        <v>139.19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793902.38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609720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28794.62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1432417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888.86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888.86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1432417</v>
      </c>
      <c r="D73" s="130">
        <f>SUM(D71:D72)+D70+D62</f>
        <v>888.86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33728.81</v>
      </c>
      <c r="D80" s="95">
        <f>SUM('DOE25'!G145:G153)</f>
        <v>25744.46</v>
      </c>
      <c r="E80" s="95">
        <f>SUM('DOE25'!H145:H153)</f>
        <v>196566.16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33728.81</v>
      </c>
      <c r="D83" s="131">
        <f>SUM(D77:D82)</f>
        <v>25744.46</v>
      </c>
      <c r="E83" s="131">
        <f>SUM(E77:E82)</f>
        <v>196566.16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33260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33260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3910024.02</v>
      </c>
      <c r="D96" s="86">
        <f>D55+D73+D83+D95</f>
        <v>94362.76</v>
      </c>
      <c r="E96" s="86">
        <f>E55+E73+E83+E95</f>
        <v>196566.16</v>
      </c>
      <c r="F96" s="86">
        <f>F55+F73+F83+F95</f>
        <v>0</v>
      </c>
      <c r="G96" s="86">
        <f>G55+G73+G95</f>
        <v>139.19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2434272.92</v>
      </c>
      <c r="D101" s="24" t="s">
        <v>312</v>
      </c>
      <c r="E101" s="95">
        <f>('DOE25'!L268)+('DOE25'!L287)+('DOE25'!L306)</f>
        <v>37484.74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510945.19999999995</v>
      </c>
      <c r="D102" s="24" t="s">
        <v>312</v>
      </c>
      <c r="E102" s="95">
        <f>('DOE25'!L269)+('DOE25'!L288)+('DOE25'!L307)</f>
        <v>114312.49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15783.050000000001</v>
      </c>
      <c r="D104" s="24" t="s">
        <v>312</v>
      </c>
      <c r="E104" s="95">
        <f>+('DOE25'!L271)+('DOE25'!L290)+('DOE25'!L309)</f>
        <v>6007.5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6933.57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2961001.17</v>
      </c>
      <c r="D107" s="86">
        <f>SUM(D101:D106)</f>
        <v>0</v>
      </c>
      <c r="E107" s="86">
        <f>SUM(E101:E106)</f>
        <v>164738.30000000002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187612.97</v>
      </c>
      <c r="D110" s="24" t="s">
        <v>312</v>
      </c>
      <c r="E110" s="95">
        <f>+('DOE25'!L273)+('DOE25'!L292)+('DOE25'!L311)</f>
        <v>23450.2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44724.65</v>
      </c>
      <c r="D111" s="24" t="s">
        <v>312</v>
      </c>
      <c r="E111" s="95">
        <f>+('DOE25'!L274)+('DOE25'!L293)+('DOE25'!L312)</f>
        <v>6645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169810.81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169051.37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1732.66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250896.77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299829.57999999996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95655.35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1121926.1499999999</v>
      </c>
      <c r="D120" s="86">
        <f>SUM(D110:D119)</f>
        <v>95655.35</v>
      </c>
      <c r="E120" s="86">
        <f>SUM(E110:E119)</f>
        <v>31827.86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6520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33260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16.09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123.1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-139.19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39779.999999999993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4122707.32</v>
      </c>
      <c r="D137" s="86">
        <f>(D107+D120+D136)</f>
        <v>95655.35</v>
      </c>
      <c r="E137" s="86">
        <f>(E107+E120+E136)</f>
        <v>196566.16000000003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805F-67D8-44EC-903A-1E8738A5CC2E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Andover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13138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13138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2471758</v>
      </c>
      <c r="D10" s="182">
        <f>ROUND((C10/$C$28)*100,1)</f>
        <v>56.9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625258</v>
      </c>
      <c r="D11" s="182">
        <f>ROUND((C11/$C$28)*100,1)</f>
        <v>14.4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21791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211063</v>
      </c>
      <c r="D15" s="182">
        <f t="shared" ref="D15:D27" si="0">ROUND((C15/$C$28)*100,1)</f>
        <v>4.9000000000000004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51370</v>
      </c>
      <c r="D16" s="182">
        <f t="shared" si="0"/>
        <v>1.2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169811</v>
      </c>
      <c r="D17" s="182">
        <f t="shared" si="0"/>
        <v>3.9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169051</v>
      </c>
      <c r="D18" s="182">
        <f t="shared" si="0"/>
        <v>3.9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1733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250897</v>
      </c>
      <c r="D20" s="182">
        <f t="shared" si="0"/>
        <v>5.8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299830</v>
      </c>
      <c r="D21" s="182">
        <f t="shared" si="0"/>
        <v>6.9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6934</v>
      </c>
      <c r="D23" s="182">
        <f t="shared" si="0"/>
        <v>0.2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61220.19</v>
      </c>
      <c r="D27" s="182">
        <f t="shared" si="0"/>
        <v>1.4</v>
      </c>
    </row>
    <row r="28" spans="1:4" x14ac:dyDescent="0.2">
      <c r="B28" s="187" t="s">
        <v>754</v>
      </c>
      <c r="C28" s="180">
        <f>SUM(C10:C27)</f>
        <v>4340716.1900000004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6520</v>
      </c>
    </row>
    <row r="30" spans="1:4" x14ac:dyDescent="0.2">
      <c r="B30" s="187" t="s">
        <v>760</v>
      </c>
      <c r="C30" s="180">
        <f>SUM(C28:C29)</f>
        <v>4347236.1900000004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2442789</v>
      </c>
      <c r="D35" s="182">
        <f t="shared" ref="D35:D40" si="1">ROUND((C35/$C$41)*100,1)</f>
        <v>59.1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1263.0299999997951</v>
      </c>
      <c r="D36" s="182">
        <f t="shared" si="1"/>
        <v>0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1432417</v>
      </c>
      <c r="D37" s="182">
        <f t="shared" si="1"/>
        <v>34.700000000000003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889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256039</v>
      </c>
      <c r="D39" s="182">
        <f t="shared" si="1"/>
        <v>6.2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4133397.03</v>
      </c>
      <c r="D41" s="184">
        <f>SUM(D35:D40)</f>
        <v>100.00000000000001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85D6-9A7F-44FE-975A-9694CB250642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Andover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5</v>
      </c>
      <c r="B4" s="220">
        <v>14</v>
      </c>
      <c r="C4" s="280" t="s">
        <v>895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2011-10-21T14:17:42Z</cp:lastPrinted>
  <dcterms:created xsi:type="dcterms:W3CDTF">1997-12-04T19:04:30Z</dcterms:created>
  <dcterms:modified xsi:type="dcterms:W3CDTF">2025-01-09T20:36:40Z</dcterms:modified>
</cp:coreProperties>
</file>