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52AAFDF-29AE-406C-BBA7-F1E2F27625A2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740C99A5-AC2F-46CD-923E-FF494CE4731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2" l="1"/>
  <c r="B11" i="12"/>
  <c r="B10" i="12"/>
  <c r="H594" i="1"/>
  <c r="I511" i="1"/>
  <c r="H511" i="1"/>
  <c r="G511" i="1"/>
  <c r="F511" i="1"/>
  <c r="J458" i="1"/>
  <c r="H627" i="1" s="1"/>
  <c r="I350" i="1"/>
  <c r="I354" i="1" s="1"/>
  <c r="G624" i="1" s="1"/>
  <c r="J624" i="1" s="1"/>
  <c r="G350" i="1"/>
  <c r="G354" i="1" s="1"/>
  <c r="F350" i="1"/>
  <c r="L350" i="1" s="1"/>
  <c r="H147" i="1"/>
  <c r="H146" i="1"/>
  <c r="H23" i="1"/>
  <c r="H25" i="1"/>
  <c r="H13" i="1"/>
  <c r="H12" i="1"/>
  <c r="J199" i="1"/>
  <c r="I199" i="1"/>
  <c r="I195" i="1"/>
  <c r="L195" i="1" s="1"/>
  <c r="I194" i="1"/>
  <c r="I203" i="1" s="1"/>
  <c r="I249" i="1" s="1"/>
  <c r="I263" i="1" s="1"/>
  <c r="H200" i="1"/>
  <c r="H199" i="1"/>
  <c r="L199" i="1" s="1"/>
  <c r="H196" i="1"/>
  <c r="H195" i="1"/>
  <c r="H194" i="1"/>
  <c r="G195" i="1"/>
  <c r="G194" i="1"/>
  <c r="F195" i="1"/>
  <c r="F194" i="1"/>
  <c r="F189" i="1"/>
  <c r="F30" i="1"/>
  <c r="F33" i="1" s="1"/>
  <c r="F9" i="1"/>
  <c r="C9" i="2" s="1"/>
  <c r="C19" i="2" s="1"/>
  <c r="F113" i="1"/>
  <c r="F132" i="1" s="1"/>
  <c r="F128" i="1"/>
  <c r="G128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191" i="1"/>
  <c r="C12" i="10" s="1"/>
  <c r="L192" i="1"/>
  <c r="C104" i="2" s="1"/>
  <c r="L207" i="1"/>
  <c r="C10" i="10" s="1"/>
  <c r="L208" i="1"/>
  <c r="C11" i="10" s="1"/>
  <c r="L209" i="1"/>
  <c r="L210" i="1"/>
  <c r="L225" i="1"/>
  <c r="L226" i="1"/>
  <c r="L227" i="1"/>
  <c r="L228" i="1"/>
  <c r="F6" i="13"/>
  <c r="G6" i="13"/>
  <c r="G33" i="13" s="1"/>
  <c r="L194" i="1"/>
  <c r="D6" i="13" s="1"/>
  <c r="C6" i="13" s="1"/>
  <c r="L212" i="1"/>
  <c r="L230" i="1"/>
  <c r="L239" i="1" s="1"/>
  <c r="F7" i="13"/>
  <c r="G7" i="13"/>
  <c r="L213" i="1"/>
  <c r="L231" i="1"/>
  <c r="F12" i="13"/>
  <c r="G12" i="13"/>
  <c r="L197" i="1"/>
  <c r="D12" i="13" s="1"/>
  <c r="C12" i="13" s="1"/>
  <c r="L215" i="1"/>
  <c r="L233" i="1"/>
  <c r="F14" i="13"/>
  <c r="G14" i="13"/>
  <c r="L217" i="1"/>
  <c r="L235" i="1"/>
  <c r="F15" i="13"/>
  <c r="G15" i="13"/>
  <c r="L200" i="1"/>
  <c r="D15" i="13" s="1"/>
  <c r="C15" i="13" s="1"/>
  <c r="L218" i="1"/>
  <c r="G640" i="1" s="1"/>
  <c r="L236" i="1"/>
  <c r="H652" i="1" s="1"/>
  <c r="F17" i="13"/>
  <c r="G17" i="13"/>
  <c r="L243" i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1" i="1"/>
  <c r="L352" i="1"/>
  <c r="I359" i="1"/>
  <c r="J282" i="1"/>
  <c r="J330" i="1" s="1"/>
  <c r="J344" i="1" s="1"/>
  <c r="J301" i="1"/>
  <c r="F31" i="13" s="1"/>
  <c r="J320" i="1"/>
  <c r="K282" i="1"/>
  <c r="K301" i="1"/>
  <c r="K320" i="1"/>
  <c r="G31" i="13"/>
  <c r="L268" i="1"/>
  <c r="L269" i="1"/>
  <c r="L270" i="1"/>
  <c r="L271" i="1"/>
  <c r="L273" i="1"/>
  <c r="E110" i="2" s="1"/>
  <c r="L274" i="1"/>
  <c r="E111" i="2" s="1"/>
  <c r="L275" i="1"/>
  <c r="E112" i="2" s="1"/>
  <c r="L276" i="1"/>
  <c r="E113" i="2" s="1"/>
  <c r="L277" i="1"/>
  <c r="L278" i="1"/>
  <c r="L279" i="1"/>
  <c r="L280" i="1"/>
  <c r="L287" i="1"/>
  <c r="L288" i="1"/>
  <c r="L289" i="1"/>
  <c r="L301" i="1" s="1"/>
  <c r="L290" i="1"/>
  <c r="E104" i="2" s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L333" i="1"/>
  <c r="C32" i="10" s="1"/>
  <c r="L334" i="1"/>
  <c r="L247" i="1"/>
  <c r="F22" i="13" s="1"/>
  <c r="C22" i="13" s="1"/>
  <c r="L328" i="1"/>
  <c r="E122" i="2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C35" i="10" s="1"/>
  <c r="G52" i="1"/>
  <c r="G104" i="1" s="1"/>
  <c r="G185" i="1" s="1"/>
  <c r="G618" i="1" s="1"/>
  <c r="J618" i="1" s="1"/>
  <c r="H52" i="1"/>
  <c r="I52" i="1"/>
  <c r="F71" i="1"/>
  <c r="F86" i="1"/>
  <c r="F103" i="1"/>
  <c r="G103" i="1"/>
  <c r="H71" i="1"/>
  <c r="E49" i="2" s="1"/>
  <c r="E54" i="2" s="1"/>
  <c r="H86" i="1"/>
  <c r="E50" i="2" s="1"/>
  <c r="H103" i="1"/>
  <c r="I103" i="1"/>
  <c r="I104" i="1"/>
  <c r="J103" i="1"/>
  <c r="J104" i="1"/>
  <c r="G113" i="1"/>
  <c r="G132" i="1" s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/>
  <c r="H139" i="1"/>
  <c r="E77" i="2" s="1"/>
  <c r="E83" i="2" s="1"/>
  <c r="H154" i="1"/>
  <c r="I139" i="1"/>
  <c r="I154" i="1"/>
  <c r="I161" i="1"/>
  <c r="C19" i="10"/>
  <c r="L242" i="1"/>
  <c r="C23" i="10" s="1"/>
  <c r="L324" i="1"/>
  <c r="L246" i="1"/>
  <c r="C25" i="10"/>
  <c r="L260" i="1"/>
  <c r="L261" i="1"/>
  <c r="L341" i="1"/>
  <c r="L342" i="1"/>
  <c r="E135" i="2" s="1"/>
  <c r="C26" i="10"/>
  <c r="I655" i="1"/>
  <c r="I660" i="1"/>
  <c r="I659" i="1"/>
  <c r="C6" i="10"/>
  <c r="C5" i="10"/>
  <c r="C42" i="10"/>
  <c r="L366" i="1"/>
  <c r="L367" i="1"/>
  <c r="L368" i="1"/>
  <c r="L369" i="1"/>
  <c r="L370" i="1"/>
  <c r="L371" i="1"/>
  <c r="L372" i="1"/>
  <c r="F122" i="2" s="1"/>
  <c r="F136" i="2" s="1"/>
  <c r="B2" i="10"/>
  <c r="L336" i="1"/>
  <c r="L337" i="1"/>
  <c r="L338" i="1"/>
  <c r="L339" i="1"/>
  <c r="K343" i="1"/>
  <c r="L511" i="1"/>
  <c r="F539" i="1" s="1"/>
  <c r="L512" i="1"/>
  <c r="F540" i="1"/>
  <c r="L513" i="1"/>
  <c r="F541" i="1"/>
  <c r="K541" i="1" s="1"/>
  <c r="L516" i="1"/>
  <c r="G539" i="1"/>
  <c r="L517" i="1"/>
  <c r="L519" i="1" s="1"/>
  <c r="G540" i="1"/>
  <c r="G542" i="1" s="1"/>
  <c r="L518" i="1"/>
  <c r="G541" i="1"/>
  <c r="L521" i="1"/>
  <c r="H539" i="1"/>
  <c r="L522" i="1"/>
  <c r="H540" i="1"/>
  <c r="H542" i="1" s="1"/>
  <c r="L523" i="1"/>
  <c r="H541" i="1"/>
  <c r="L526" i="1"/>
  <c r="I539" i="1"/>
  <c r="I542" i="1" s="1"/>
  <c r="L527" i="1"/>
  <c r="I540" i="1"/>
  <c r="L528" i="1"/>
  <c r="I541" i="1" s="1"/>
  <c r="L531" i="1"/>
  <c r="J539" i="1"/>
  <c r="L532" i="1"/>
  <c r="J540" i="1"/>
  <c r="L533" i="1"/>
  <c r="J541" i="1"/>
  <c r="J542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D9" i="2"/>
  <c r="E9" i="2"/>
  <c r="F9" i="2"/>
  <c r="I431" i="1"/>
  <c r="J9" i="1"/>
  <c r="G9" i="2"/>
  <c r="C10" i="2"/>
  <c r="D10" i="2"/>
  <c r="E10" i="2"/>
  <c r="F10" i="2"/>
  <c r="I432" i="1"/>
  <c r="J10" i="1" s="1"/>
  <c r="C11" i="2"/>
  <c r="C12" i="2"/>
  <c r="D12" i="2"/>
  <c r="E12" i="2"/>
  <c r="F12" i="2"/>
  <c r="F19" i="2" s="1"/>
  <c r="I433" i="1"/>
  <c r="I438" i="1" s="1"/>
  <c r="G632" i="1" s="1"/>
  <c r="C13" i="2"/>
  <c r="D13" i="2"/>
  <c r="E13" i="2"/>
  <c r="F13" i="2"/>
  <c r="I434" i="1"/>
  <c r="J13" i="1" s="1"/>
  <c r="G13" i="2" s="1"/>
  <c r="C14" i="2"/>
  <c r="D14" i="2"/>
  <c r="D19" i="2" s="1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I450" i="1" s="1"/>
  <c r="C40" i="2"/>
  <c r="D40" i="2"/>
  <c r="E40" i="2"/>
  <c r="F40" i="2"/>
  <c r="I449" i="1"/>
  <c r="J41" i="1" s="1"/>
  <c r="G40" i="2" s="1"/>
  <c r="C41" i="2"/>
  <c r="D41" i="2"/>
  <c r="E41" i="2"/>
  <c r="F41" i="2"/>
  <c r="C42" i="2"/>
  <c r="C43" i="2" s="1"/>
  <c r="C48" i="2"/>
  <c r="C55" i="2" s="1"/>
  <c r="D48" i="2"/>
  <c r="D55" i="2" s="1"/>
  <c r="E48" i="2"/>
  <c r="E55" i="2" s="1"/>
  <c r="E96" i="2" s="1"/>
  <c r="F48" i="2"/>
  <c r="C49" i="2"/>
  <c r="C50" i="2"/>
  <c r="C54" i="2" s="1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C83" i="2" s="1"/>
  <c r="D80" i="2"/>
  <c r="D83" i="2" s="1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F95" i="2"/>
  <c r="E101" i="2"/>
  <c r="E102" i="2"/>
  <c r="E103" i="2"/>
  <c r="E105" i="2"/>
  <c r="D107" i="2"/>
  <c r="F107" i="2"/>
  <c r="G107" i="2"/>
  <c r="C114" i="2"/>
  <c r="E114" i="2"/>
  <c r="E115" i="2"/>
  <c r="E116" i="2"/>
  <c r="E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 s="1"/>
  <c r="G153" i="2" s="1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C156" i="2"/>
  <c r="H493" i="1"/>
  <c r="D156" i="2" s="1"/>
  <c r="I493" i="1"/>
  <c r="E156" i="2"/>
  <c r="J493" i="1"/>
  <c r="K493" i="1" s="1"/>
  <c r="F156" i="2"/>
  <c r="G19" i="1"/>
  <c r="G608" i="1" s="1"/>
  <c r="H19" i="1"/>
  <c r="I19" i="1"/>
  <c r="G33" i="1"/>
  <c r="H33" i="1"/>
  <c r="I33" i="1"/>
  <c r="F43" i="1"/>
  <c r="G43" i="1"/>
  <c r="G44" i="1" s="1"/>
  <c r="H608" i="1" s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G184" i="1" s="1"/>
  <c r="H175" i="1"/>
  <c r="H184" i="1" s="1"/>
  <c r="I175" i="1"/>
  <c r="J175" i="1"/>
  <c r="F180" i="1"/>
  <c r="G180" i="1"/>
  <c r="H180" i="1"/>
  <c r="I180" i="1"/>
  <c r="I184" i="1"/>
  <c r="J184" i="1"/>
  <c r="J185" i="1" s="1"/>
  <c r="F203" i="1"/>
  <c r="F249" i="1" s="1"/>
  <c r="F263" i="1" s="1"/>
  <c r="G203" i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J249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H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I393" i="1"/>
  <c r="I400" i="1" s="1"/>
  <c r="F399" i="1"/>
  <c r="G399" i="1"/>
  <c r="G400" i="1" s="1"/>
  <c r="H635" i="1" s="1"/>
  <c r="J635" i="1" s="1"/>
  <c r="H399" i="1"/>
  <c r="I399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F426" i="1" s="1"/>
  <c r="G411" i="1"/>
  <c r="H411" i="1"/>
  <c r="H426" i="1" s="1"/>
  <c r="I411" i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G426" i="1" s="1"/>
  <c r="H425" i="1"/>
  <c r="I425" i="1"/>
  <c r="I426" i="1" s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H444" i="1"/>
  <c r="F450" i="1"/>
  <c r="G450" i="1"/>
  <c r="H450" i="1"/>
  <c r="F451" i="1"/>
  <c r="G451" i="1"/>
  <c r="H630" i="1" s="1"/>
  <c r="H451" i="1"/>
  <c r="H631" i="1" s="1"/>
  <c r="F460" i="1"/>
  <c r="G460" i="1"/>
  <c r="H460" i="1"/>
  <c r="H466" i="1" s="1"/>
  <c r="H614" i="1" s="1"/>
  <c r="I460" i="1"/>
  <c r="I466" i="1" s="1"/>
  <c r="H615" i="1" s="1"/>
  <c r="J615" i="1" s="1"/>
  <c r="F464" i="1"/>
  <c r="G464" i="1"/>
  <c r="G466" i="1" s="1"/>
  <c r="H613" i="1" s="1"/>
  <c r="H464" i="1"/>
  <c r="I464" i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J535" i="1" s="1"/>
  <c r="K514" i="1"/>
  <c r="L514" i="1"/>
  <c r="L535" i="1" s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50" i="1" s="1"/>
  <c r="L548" i="1"/>
  <c r="L549" i="1"/>
  <c r="F550" i="1"/>
  <c r="F561" i="1" s="1"/>
  <c r="G550" i="1"/>
  <c r="H550" i="1"/>
  <c r="I550" i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H561" i="1"/>
  <c r="I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588" i="1"/>
  <c r="K588" i="1"/>
  <c r="G637" i="1" s="1"/>
  <c r="J637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9" i="1"/>
  <c r="J609" i="1" s="1"/>
  <c r="G610" i="1"/>
  <c r="J610" i="1" s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8" i="1"/>
  <c r="H629" i="1"/>
  <c r="G630" i="1"/>
  <c r="G633" i="1"/>
  <c r="J633" i="1" s="1"/>
  <c r="G634" i="1"/>
  <c r="J634" i="1" s="1"/>
  <c r="G635" i="1"/>
  <c r="H637" i="1"/>
  <c r="G641" i="1"/>
  <c r="J641" i="1" s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25" i="13" l="1"/>
  <c r="H33" i="13"/>
  <c r="D14" i="13"/>
  <c r="C14" i="13" s="1"/>
  <c r="C115" i="2"/>
  <c r="C20" i="10"/>
  <c r="G137" i="2"/>
  <c r="F651" i="1"/>
  <c r="G651" i="1"/>
  <c r="H651" i="1"/>
  <c r="D119" i="2"/>
  <c r="D120" i="2" s="1"/>
  <c r="D137" i="2" s="1"/>
  <c r="L354" i="1"/>
  <c r="D29" i="13"/>
  <c r="C29" i="13" s="1"/>
  <c r="G156" i="2"/>
  <c r="F137" i="2"/>
  <c r="G23" i="2"/>
  <c r="J33" i="1"/>
  <c r="F542" i="1"/>
  <c r="K539" i="1"/>
  <c r="G55" i="2"/>
  <c r="G96" i="2" s="1"/>
  <c r="C38" i="10"/>
  <c r="C136" i="2"/>
  <c r="C96" i="2"/>
  <c r="J640" i="1"/>
  <c r="C111" i="2"/>
  <c r="C16" i="10"/>
  <c r="D7" i="13"/>
  <c r="C7" i="13" s="1"/>
  <c r="J630" i="1"/>
  <c r="L561" i="1"/>
  <c r="J608" i="1"/>
  <c r="E107" i="2"/>
  <c r="D73" i="2"/>
  <c r="E33" i="13"/>
  <c r="D35" i="13" s="1"/>
  <c r="C8" i="13"/>
  <c r="D96" i="2"/>
  <c r="G42" i="2"/>
  <c r="J614" i="1"/>
  <c r="G32" i="2"/>
  <c r="I653" i="1"/>
  <c r="F33" i="13"/>
  <c r="J613" i="1"/>
  <c r="G636" i="1"/>
  <c r="G621" i="1"/>
  <c r="J621" i="1" s="1"/>
  <c r="F96" i="2"/>
  <c r="C130" i="2"/>
  <c r="C133" i="2" s="1"/>
  <c r="L400" i="1"/>
  <c r="E136" i="2"/>
  <c r="H638" i="1"/>
  <c r="I451" i="1"/>
  <c r="H632" i="1" s="1"/>
  <c r="J632" i="1" s="1"/>
  <c r="C5" i="13"/>
  <c r="H650" i="1"/>
  <c r="J638" i="1"/>
  <c r="G10" i="2"/>
  <c r="F44" i="1"/>
  <c r="H607" i="1" s="1"/>
  <c r="E120" i="2"/>
  <c r="L374" i="1"/>
  <c r="G626" i="1" s="1"/>
  <c r="J626" i="1" s="1"/>
  <c r="F19" i="1"/>
  <c r="G607" i="1" s="1"/>
  <c r="C116" i="2"/>
  <c r="C110" i="2"/>
  <c r="K540" i="1"/>
  <c r="H161" i="1"/>
  <c r="C39" i="10" s="1"/>
  <c r="H104" i="1"/>
  <c r="H185" i="1" s="1"/>
  <c r="G619" i="1" s="1"/>
  <c r="J619" i="1" s="1"/>
  <c r="C103" i="2"/>
  <c r="J40" i="1"/>
  <c r="G39" i="2" s="1"/>
  <c r="J12" i="1"/>
  <c r="G12" i="2" s="1"/>
  <c r="G19" i="2" s="1"/>
  <c r="C29" i="10"/>
  <c r="C21" i="10"/>
  <c r="C18" i="10"/>
  <c r="C102" i="2"/>
  <c r="H203" i="1"/>
  <c r="H249" i="1" s="1"/>
  <c r="H263" i="1" s="1"/>
  <c r="C101" i="2"/>
  <c r="G652" i="1"/>
  <c r="L203" i="1"/>
  <c r="C17" i="10"/>
  <c r="L221" i="1"/>
  <c r="G650" i="1" s="1"/>
  <c r="G654" i="1" s="1"/>
  <c r="G612" i="1"/>
  <c r="J612" i="1" s="1"/>
  <c r="J460" i="1"/>
  <c r="J466" i="1" s="1"/>
  <c r="H616" i="1" s="1"/>
  <c r="F354" i="1"/>
  <c r="J263" i="1"/>
  <c r="C113" i="2"/>
  <c r="L343" i="1"/>
  <c r="F652" i="1"/>
  <c r="I652" i="1" s="1"/>
  <c r="F104" i="1"/>
  <c r="F185" i="1" s="1"/>
  <c r="G617" i="1" s="1"/>
  <c r="J617" i="1" s="1"/>
  <c r="C106" i="2"/>
  <c r="C15" i="10"/>
  <c r="L282" i="1"/>
  <c r="C112" i="2"/>
  <c r="C24" i="10"/>
  <c r="C13" i="10"/>
  <c r="G639" i="1"/>
  <c r="J639" i="1" s="1"/>
  <c r="C105" i="2"/>
  <c r="C117" i="2"/>
  <c r="D24" i="10" l="1"/>
  <c r="J19" i="1"/>
  <c r="G611" i="1" s="1"/>
  <c r="J43" i="1"/>
  <c r="G625" i="1"/>
  <c r="J625" i="1" s="1"/>
  <c r="C27" i="10"/>
  <c r="G43" i="2"/>
  <c r="F650" i="1"/>
  <c r="L249" i="1"/>
  <c r="L263" i="1" s="1"/>
  <c r="G622" i="1" s="1"/>
  <c r="J622" i="1" s="1"/>
  <c r="D16" i="10"/>
  <c r="I651" i="1"/>
  <c r="G662" i="1"/>
  <c r="G657" i="1"/>
  <c r="L330" i="1"/>
  <c r="L344" i="1" s="1"/>
  <c r="G623" i="1" s="1"/>
  <c r="J623" i="1" s="1"/>
  <c r="D31" i="13"/>
  <c r="G627" i="1"/>
  <c r="J627" i="1" s="1"/>
  <c r="H636" i="1"/>
  <c r="C28" i="10"/>
  <c r="D17" i="10" s="1"/>
  <c r="C107" i="2"/>
  <c r="C120" i="2"/>
  <c r="H654" i="1"/>
  <c r="K542" i="1"/>
  <c r="J636" i="1"/>
  <c r="D20" i="10"/>
  <c r="J607" i="1"/>
  <c r="C36" i="10"/>
  <c r="E137" i="2"/>
  <c r="G616" i="1" l="1"/>
  <c r="J616" i="1" s="1"/>
  <c r="J44" i="1"/>
  <c r="H611" i="1" s="1"/>
  <c r="H662" i="1"/>
  <c r="H657" i="1"/>
  <c r="I650" i="1"/>
  <c r="I654" i="1" s="1"/>
  <c r="F654" i="1"/>
  <c r="D15" i="10"/>
  <c r="J611" i="1"/>
  <c r="C41" i="10"/>
  <c r="D36" i="10" s="1"/>
  <c r="D22" i="10"/>
  <c r="C30" i="10"/>
  <c r="D19" i="10"/>
  <c r="D11" i="10"/>
  <c r="D12" i="10"/>
  <c r="D23" i="10"/>
  <c r="D26" i="10"/>
  <c r="D25" i="10"/>
  <c r="D10" i="10"/>
  <c r="D21" i="10"/>
  <c r="D18" i="10"/>
  <c r="D13" i="10"/>
  <c r="C31" i="13"/>
  <c r="D33" i="13"/>
  <c r="D36" i="13" s="1"/>
  <c r="C137" i="2"/>
  <c r="D27" i="10"/>
  <c r="D37" i="10" l="1"/>
  <c r="D35" i="10"/>
  <c r="D41" i="10" s="1"/>
  <c r="D40" i="10"/>
  <c r="D38" i="10"/>
  <c r="D39" i="10"/>
  <c r="D28" i="10"/>
  <c r="F657" i="1"/>
  <c r="F662" i="1"/>
  <c r="C4" i="10" s="1"/>
  <c r="I662" i="1"/>
  <c r="C7" i="10" s="1"/>
  <c r="I657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B0A155F-E984-46D0-975D-A66B511F1ED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CE11C9D-3D94-47A7-AEA2-8C67C20CC3A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D9D5A3F-4173-4701-993F-4BA1AB5288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2044806-3F5F-4FA9-A7CB-6D2D41A9CEC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7BFE8CA-8D86-448F-9736-52EBEC0C9AD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F85C6CA-E595-4E25-89A4-26F806ABEEC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03F5BB2-515B-46C8-AD60-70FD626AA3D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E0B9ED3-43F8-40B1-BEF9-AF3F5B532D4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60AD994-E8B3-4318-81FB-C2A566FEE79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E651BD6-78F1-4D45-B045-CD898488906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AF4BDF0-CA88-45DF-91A6-3311612E69A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62BBDB7-9A13-4713-BB12-20C512E9350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<sst xmlns="http://schemas.openxmlformats.org/spreadsheetml/2006/main" count="3858" uniqueCount="895">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</sst>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009-3862-4A26-9BD8-54082D687FB3}">
  <sheetPr transitionEvaluation="1" transitionEntry="1" codeName="Sheet1">
    <tabColor indexed="56"/>
  </sheetPr>
  <dimension ref="A1:AQ666"/>
  <sheetViews>
    <sheetView tabSelected="1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K199" sqref="K199:K20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</v>
      </c>
      <c r="C2" s="21">
        <v>23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63982.99+350</f>
        <v>64332.99</v>
      </c>
      <c r="G9" s="18"/>
      <c r="H9" s="18"/>
      <c r="I9" s="18"/>
      <c r="J9" s="67">
        <f>SUM(I431)</f>
        <v>110994.46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626532.67000000004</v>
      </c>
      <c r="G12" s="18">
        <v>254904.71</v>
      </c>
      <c r="H12" s="18">
        <f>333801.16+20797.56</f>
        <v>354598.72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96053.4</v>
      </c>
      <c r="G13" s="18">
        <v>6549.87</v>
      </c>
      <c r="H13" s="18">
        <f>25257.23</f>
        <v>25257.23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879.84</v>
      </c>
      <c r="G14" s="18">
        <v>-62.37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787798.9</v>
      </c>
      <c r="G19" s="41">
        <f>SUM(G9:G18)</f>
        <v>261392.21</v>
      </c>
      <c r="H19" s="41">
        <f>SUM(H9:H18)</f>
        <v>379855.94999999995</v>
      </c>
      <c r="I19" s="41">
        <f>SUM(I9:I18)</f>
        <v>0</v>
      </c>
      <c r="J19" s="41">
        <f>SUM(J9:J18)</f>
        <v>110994.46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609503.43000000005</v>
      </c>
      <c r="G23" s="18">
        <v>254967.16</v>
      </c>
      <c r="H23" s="18">
        <f>357760.06+17465.44-3659.99</f>
        <v>371565.51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37275.980000000003</v>
      </c>
      <c r="G25" s="18">
        <v>2079.0300000000002</v>
      </c>
      <c r="H25" s="18">
        <f>1298.33</f>
        <v>1298.33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6063.6-637.7</f>
        <v>5425.9000000000005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8631.2800000000007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660836.59000000008</v>
      </c>
      <c r="G33" s="41">
        <f>SUM(G23:G32)</f>
        <v>257046.19</v>
      </c>
      <c r="H33" s="41">
        <f>SUM(H23:H32)</f>
        <v>372863.84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4842.38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4346.0200000000004</v>
      </c>
      <c r="H41" s="18">
        <v>6992.11</v>
      </c>
      <c r="I41" s="18"/>
      <c r="J41" s="13">
        <f>SUM(I449)</f>
        <v>110994.46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122119.93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126962.31</v>
      </c>
      <c r="G43" s="41">
        <f>SUM(G35:G42)</f>
        <v>4346.0200000000004</v>
      </c>
      <c r="H43" s="41">
        <f>SUM(H35:H42)</f>
        <v>6992.11</v>
      </c>
      <c r="I43" s="41">
        <f>SUM(I35:I42)</f>
        <v>0</v>
      </c>
      <c r="J43" s="41">
        <f>SUM(J35:J42)</f>
        <v>110994.46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787798.90000000014</v>
      </c>
      <c r="G44" s="41">
        <f>G43+G33</f>
        <v>261392.21</v>
      </c>
      <c r="H44" s="41">
        <f>H43+H33</f>
        <v>379855.95</v>
      </c>
      <c r="I44" s="41">
        <f>I43+I33</f>
        <v>0</v>
      </c>
      <c r="J44" s="41">
        <f>J43+J33</f>
        <v>110994.46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1565930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1565930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581.76</v>
      </c>
      <c r="G88" s="18"/>
      <c r="H88" s="18"/>
      <c r="I88" s="18"/>
      <c r="J88" s="18">
        <v>148.63999999999999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24890.97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612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3255.4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370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575.78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2139.54</v>
      </c>
      <c r="G103" s="41">
        <f>SUM(G88:G102)</f>
        <v>24890.97</v>
      </c>
      <c r="H103" s="41">
        <f>SUM(H88:H102)</f>
        <v>3255.4</v>
      </c>
      <c r="I103" s="41">
        <f>SUM(I88:I102)</f>
        <v>0</v>
      </c>
      <c r="J103" s="41">
        <f>SUM(J88:J102)</f>
        <v>148.63999999999999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1568069.54</v>
      </c>
      <c r="G104" s="41">
        <f>G52+G103</f>
        <v>24890.97</v>
      </c>
      <c r="H104" s="41">
        <f>H52+H71+H86+H103</f>
        <v>3255.4</v>
      </c>
      <c r="I104" s="41">
        <f>I52+I103</f>
        <v>0</v>
      </c>
      <c r="J104" s="41">
        <f>J52+J103</f>
        <v>148.63999999999999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449651.28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365770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16308.72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831730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7135.11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1027.58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7135.11</v>
      </c>
      <c r="G128" s="41">
        <f>SUM(G115:G127)</f>
        <v>1027.58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838865.11</v>
      </c>
      <c r="G132" s="41">
        <f>G113+SUM(G128:G129)</f>
        <v>1027.58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3268.07+63272.76+25084.29+4252.56</f>
        <v>95877.68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326.84+12776.78+2455.79+7354.92</f>
        <v>22914.33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34408.959999999999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42870.81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42870.81</v>
      </c>
      <c r="G154" s="41">
        <f>SUM(G142:G153)</f>
        <v>34408.959999999999</v>
      </c>
      <c r="H154" s="41">
        <f>SUM(H142:H153)</f>
        <v>118792.01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429.11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43299.92</v>
      </c>
      <c r="G161" s="41">
        <f>G139+G154+SUM(G155:G160)</f>
        <v>34408.959999999999</v>
      </c>
      <c r="H161" s="41">
        <f>H139+H154+SUM(H155:H160)</f>
        <v>118792.01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30000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30000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30000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2450234.5699999998</v>
      </c>
      <c r="G185" s="47">
        <f>G104+G132+G161+G184</f>
        <v>90327.510000000009</v>
      </c>
      <c r="H185" s="47">
        <f>H104+H132+H161+H184</f>
        <v>122047.40999999999</v>
      </c>
      <c r="I185" s="47">
        <f>I104+I132+I161+I184</f>
        <v>0</v>
      </c>
      <c r="J185" s="47">
        <f>J104+J132+J184</f>
        <v>148.63999999999999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739084.65+24946.07+16101.44</f>
        <v>780132.15999999992</v>
      </c>
      <c r="G189" s="18">
        <v>373999.3</v>
      </c>
      <c r="H189" s="18">
        <v>6237.02</v>
      </c>
      <c r="I189" s="18">
        <v>26409.7</v>
      </c>
      <c r="J189" s="18">
        <v>5397.52</v>
      </c>
      <c r="K189" s="18">
        <v>450</v>
      </c>
      <c r="L189" s="19">
        <f>SUM(F189:K189)</f>
        <v>1192625.7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106186.26</v>
      </c>
      <c r="G190" s="18">
        <v>68524.28</v>
      </c>
      <c r="H190" s="18">
        <v>67292.740000000005</v>
      </c>
      <c r="I190" s="18">
        <v>2197.4499999999998</v>
      </c>
      <c r="J190" s="18">
        <v>2141.5500000000002</v>
      </c>
      <c r="K190" s="18">
        <v>163</v>
      </c>
      <c r="L190" s="19">
        <f>SUM(F190:K190)</f>
        <v>246505.27999999997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23975</v>
      </c>
      <c r="G192" s="18">
        <v>3833</v>
      </c>
      <c r="H192" s="18">
        <v>6800</v>
      </c>
      <c r="I192" s="18">
        <v>1997.77</v>
      </c>
      <c r="J192" s="18">
        <v>3236.74</v>
      </c>
      <c r="K192" s="18">
        <v>150</v>
      </c>
      <c r="L192" s="19">
        <f>SUM(F192:K192)</f>
        <v>39992.509999999995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61673.76+52521+12768.6</f>
        <v>126963.36000000002</v>
      </c>
      <c r="G194" s="18">
        <f>14041.08+22455.68+1080.67</f>
        <v>37577.43</v>
      </c>
      <c r="H194" s="18">
        <f>361.18+48346.74</f>
        <v>48707.92</v>
      </c>
      <c r="I194" s="18">
        <f>2427.36+1018.91+1591.44+1161.3</f>
        <v>6199.01</v>
      </c>
      <c r="J194" s="18"/>
      <c r="K194" s="18">
        <v>246</v>
      </c>
      <c r="L194" s="19">
        <f t="shared" ref="L194:L200" si="0">SUM(F194:K194)</f>
        <v>219693.72000000003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22874.72+6400+34319.8</f>
        <v>63594.520000000004</v>
      </c>
      <c r="G195" s="18">
        <f>1879.25+1029.38+28967.76</f>
        <v>31876.39</v>
      </c>
      <c r="H195" s="18">
        <f>7958.98+21173.47+666.4</f>
        <v>29798.850000000002</v>
      </c>
      <c r="I195" s="18">
        <f>1658.49+8546.28</f>
        <v>10204.77</v>
      </c>
      <c r="J195" s="18">
        <v>3645.92</v>
      </c>
      <c r="K195" s="18"/>
      <c r="L195" s="19">
        <f t="shared" si="0"/>
        <v>139120.45000000001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3740</v>
      </c>
      <c r="G196" s="18">
        <v>372.47</v>
      </c>
      <c r="H196" s="18">
        <f>2050.17+9625+1318.5+59263</f>
        <v>72256.67</v>
      </c>
      <c r="I196" s="18">
        <v>832.64</v>
      </c>
      <c r="J196" s="18"/>
      <c r="K196" s="18">
        <v>3319.46</v>
      </c>
      <c r="L196" s="19">
        <f t="shared" si="0"/>
        <v>80521.240000000005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125638.16</v>
      </c>
      <c r="G197" s="18">
        <v>36382.83</v>
      </c>
      <c r="H197" s="18">
        <v>9175.08</v>
      </c>
      <c r="I197" s="18">
        <v>1532.84</v>
      </c>
      <c r="J197" s="18"/>
      <c r="K197" s="18">
        <v>685</v>
      </c>
      <c r="L197" s="19">
        <f t="shared" si="0"/>
        <v>173413.90999999997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97792.29</v>
      </c>
      <c r="G199" s="18">
        <v>58590.45</v>
      </c>
      <c r="H199" s="18">
        <f>23386.39+43364.5+6311.67</f>
        <v>73062.559999999998</v>
      </c>
      <c r="I199" s="18">
        <f>98688.85+5673.12+1773.43</f>
        <v>106135.4</v>
      </c>
      <c r="J199" s="18">
        <f>6464.31+3158+842.61</f>
        <v>10464.920000000002</v>
      </c>
      <c r="K199" s="18"/>
      <c r="L199" s="19">
        <f t="shared" si="0"/>
        <v>346045.61999999994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38739+280+3260+5010</f>
        <v>47289</v>
      </c>
      <c r="I200" s="18"/>
      <c r="J200" s="18"/>
      <c r="K200" s="18"/>
      <c r="L200" s="19">
        <f t="shared" si="0"/>
        <v>47289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1328021.7499999998</v>
      </c>
      <c r="G203" s="41">
        <f t="shared" si="1"/>
        <v>611156.14999999991</v>
      </c>
      <c r="H203" s="41">
        <f t="shared" si="1"/>
        <v>360619.83999999997</v>
      </c>
      <c r="I203" s="41">
        <f t="shared" si="1"/>
        <v>155509.57999999999</v>
      </c>
      <c r="J203" s="41">
        <f t="shared" si="1"/>
        <v>24886.65</v>
      </c>
      <c r="K203" s="41">
        <f t="shared" si="1"/>
        <v>5013.46</v>
      </c>
      <c r="L203" s="41">
        <f t="shared" si="1"/>
        <v>2485207.4299999997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1328021.7499999998</v>
      </c>
      <c r="G249" s="41">
        <f t="shared" si="8"/>
        <v>611156.14999999991</v>
      </c>
      <c r="H249" s="41">
        <f t="shared" si="8"/>
        <v>360619.83999999997</v>
      </c>
      <c r="I249" s="41">
        <f t="shared" si="8"/>
        <v>155509.57999999999</v>
      </c>
      <c r="J249" s="41">
        <f t="shared" si="8"/>
        <v>24886.65</v>
      </c>
      <c r="K249" s="41">
        <f t="shared" si="8"/>
        <v>5013.46</v>
      </c>
      <c r="L249" s="41">
        <f t="shared" si="8"/>
        <v>2485207.4299999997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30000</v>
      </c>
      <c r="L255" s="19">
        <f>SUM(F255:K255)</f>
        <v>30000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30000</v>
      </c>
      <c r="L262" s="41">
        <f t="shared" si="9"/>
        <v>30000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1328021.7499999998</v>
      </c>
      <c r="G263" s="42">
        <f t="shared" si="11"/>
        <v>611156.14999999991</v>
      </c>
      <c r="H263" s="42">
        <f t="shared" si="11"/>
        <v>360619.83999999997</v>
      </c>
      <c r="I263" s="42">
        <f t="shared" si="11"/>
        <v>155509.57999999999</v>
      </c>
      <c r="J263" s="42">
        <f t="shared" si="11"/>
        <v>24886.65</v>
      </c>
      <c r="K263" s="42">
        <f t="shared" si="11"/>
        <v>35013.46</v>
      </c>
      <c r="L263" s="42">
        <f t="shared" si="11"/>
        <v>2515207.4299999997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75204</v>
      </c>
      <c r="G268" s="18">
        <v>10350.4</v>
      </c>
      <c r="H268" s="18"/>
      <c r="I268" s="18">
        <v>4584.67</v>
      </c>
      <c r="J268" s="18">
        <v>1763.75</v>
      </c>
      <c r="K268" s="18"/>
      <c r="L268" s="19">
        <f>SUM(F268:K268)</f>
        <v>91902.819999999992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3621.1</v>
      </c>
      <c r="G271" s="18">
        <v>573.03</v>
      </c>
      <c r="H271" s="18"/>
      <c r="I271" s="18"/>
      <c r="J271" s="18"/>
      <c r="K271" s="18"/>
      <c r="L271" s="19">
        <f>SUM(F271:K271)</f>
        <v>4194.13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4000</v>
      </c>
      <c r="G274" s="18">
        <v>552.11</v>
      </c>
      <c r="H274" s="18">
        <v>9560.74</v>
      </c>
      <c r="I274" s="18">
        <v>6756.04</v>
      </c>
      <c r="J274" s="18">
        <v>319.8</v>
      </c>
      <c r="K274" s="18"/>
      <c r="L274" s="19">
        <f t="shared" si="12"/>
        <v>21188.69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2122.6</v>
      </c>
      <c r="L275" s="19">
        <f t="shared" si="12"/>
        <v>2122.6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82825.100000000006</v>
      </c>
      <c r="G282" s="42">
        <f t="shared" si="13"/>
        <v>11475.54</v>
      </c>
      <c r="H282" s="42">
        <f t="shared" si="13"/>
        <v>9560.74</v>
      </c>
      <c r="I282" s="42">
        <f t="shared" si="13"/>
        <v>11340.71</v>
      </c>
      <c r="J282" s="42">
        <f t="shared" si="13"/>
        <v>2083.5500000000002</v>
      </c>
      <c r="K282" s="42">
        <f t="shared" si="13"/>
        <v>2122.6</v>
      </c>
      <c r="L282" s="41">
        <f t="shared" si="13"/>
        <v>119408.24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82825.100000000006</v>
      </c>
      <c r="G330" s="41">
        <f t="shared" si="20"/>
        <v>11475.54</v>
      </c>
      <c r="H330" s="41">
        <f t="shared" si="20"/>
        <v>9560.74</v>
      </c>
      <c r="I330" s="41">
        <f t="shared" si="20"/>
        <v>11340.71</v>
      </c>
      <c r="J330" s="41">
        <f t="shared" si="20"/>
        <v>2083.5500000000002</v>
      </c>
      <c r="K330" s="41">
        <f t="shared" si="20"/>
        <v>2122.6</v>
      </c>
      <c r="L330" s="41">
        <f t="shared" si="20"/>
        <v>119408.24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82825.100000000006</v>
      </c>
      <c r="G344" s="41">
        <f>G330</f>
        <v>11475.54</v>
      </c>
      <c r="H344" s="41">
        <f>H330</f>
        <v>9560.74</v>
      </c>
      <c r="I344" s="41">
        <f>I330</f>
        <v>11340.71</v>
      </c>
      <c r="J344" s="41">
        <f>J330</f>
        <v>2083.5500000000002</v>
      </c>
      <c r="K344" s="47">
        <f>K330+K343</f>
        <v>2122.6</v>
      </c>
      <c r="L344" s="41">
        <f>L330+L343</f>
        <v>119408.24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25523.68+14802.23</f>
        <v>40325.910000000003</v>
      </c>
      <c r="G350" s="18">
        <f>6849.01+590+1891.07+2337.94+143.69+655.76+6359.99+259.14+459+1012.44</f>
        <v>20558.039999999997</v>
      </c>
      <c r="H350" s="18"/>
      <c r="I350" s="18">
        <f>1725.63+25338.97</f>
        <v>27064.600000000002</v>
      </c>
      <c r="J350" s="18"/>
      <c r="K350" s="18"/>
      <c r="L350" s="13">
        <f>SUM(F350:K350)</f>
        <v>87948.55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40325.910000000003</v>
      </c>
      <c r="G354" s="47">
        <f t="shared" si="22"/>
        <v>20558.039999999997</v>
      </c>
      <c r="H354" s="47">
        <f t="shared" si="22"/>
        <v>0</v>
      </c>
      <c r="I354" s="47">
        <f t="shared" si="22"/>
        <v>27064.600000000002</v>
      </c>
      <c r="J354" s="47">
        <f t="shared" si="22"/>
        <v>0</v>
      </c>
      <c r="K354" s="47">
        <f t="shared" si="22"/>
        <v>0</v>
      </c>
      <c r="L354" s="47">
        <f t="shared" si="22"/>
        <v>87948.55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25338.97</v>
      </c>
      <c r="G359" s="18"/>
      <c r="H359" s="18"/>
      <c r="I359" s="56">
        <f>SUM(F359:H359)</f>
        <v>25338.97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1725.63</v>
      </c>
      <c r="G360" s="63"/>
      <c r="H360" s="63"/>
      <c r="I360" s="56">
        <f>SUM(F360:H360)</f>
        <v>1725.63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27064.600000000002</v>
      </c>
      <c r="G361" s="47">
        <f>SUM(G359:G360)</f>
        <v>0</v>
      </c>
      <c r="H361" s="47">
        <f>SUM(H359:H360)</f>
        <v>0</v>
      </c>
      <c r="I361" s="47">
        <f>SUM(I359:I360)</f>
        <v>27064.600000000002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66.78</v>
      </c>
      <c r="I387" s="18"/>
      <c r="J387" s="24" t="s">
        <v>312</v>
      </c>
      <c r="K387" s="24" t="s">
        <v>312</v>
      </c>
      <c r="L387" s="56">
        <f t="shared" ref="L387:L392" si="26">SUM(F387:K387)</f>
        <v>66.78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81.86</v>
      </c>
      <c r="I389" s="18"/>
      <c r="J389" s="24" t="s">
        <v>312</v>
      </c>
      <c r="K389" s="24" t="s">
        <v>312</v>
      </c>
      <c r="L389" s="56">
        <f t="shared" si="26"/>
        <v>81.86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148.63999999999999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148.63999999999999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148.63999999999999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148.63999999999999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110994.46</v>
      </c>
      <c r="H431" s="18"/>
      <c r="I431" s="56">
        <f t="shared" ref="I431:I437" si="33">SUM(F431:H431)</f>
        <v>110994.46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110994.46</v>
      </c>
      <c r="H438" s="13">
        <f>SUM(H431:H437)</f>
        <v>0</v>
      </c>
      <c r="I438" s="13">
        <f>SUM(I431:I437)</f>
        <v>110994.46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110994.46</v>
      </c>
      <c r="H449" s="18"/>
      <c r="I449" s="56">
        <f>SUM(F449:H449)</f>
        <v>110994.46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110994.46</v>
      </c>
      <c r="H450" s="83">
        <f>SUM(H446:H449)</f>
        <v>0</v>
      </c>
      <c r="I450" s="83">
        <f>SUM(I446:I449)</f>
        <v>110994.46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110994.46</v>
      </c>
      <c r="H451" s="42">
        <f>H444+H450</f>
        <v>0</v>
      </c>
      <c r="I451" s="42">
        <f>I444+I450</f>
        <v>110994.46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191935.17</v>
      </c>
      <c r="G455" s="18">
        <v>1967.06</v>
      </c>
      <c r="H455" s="18">
        <v>4352.9399999999996</v>
      </c>
      <c r="I455" s="18"/>
      <c r="J455" s="18">
        <v>110845.82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2450234.5699999998</v>
      </c>
      <c r="G458" s="18">
        <v>90327.51</v>
      </c>
      <c r="H458" s="18">
        <v>122047.41</v>
      </c>
      <c r="I458" s="18"/>
      <c r="J458" s="18">
        <f>66.78+81.86</f>
        <v>148.63999999999999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2450234.5699999998</v>
      </c>
      <c r="G460" s="53">
        <f>SUM(G458:G459)</f>
        <v>90327.51</v>
      </c>
      <c r="H460" s="53">
        <f>SUM(H458:H459)</f>
        <v>122047.41</v>
      </c>
      <c r="I460" s="53">
        <f>SUM(I458:I459)</f>
        <v>0</v>
      </c>
      <c r="J460" s="53">
        <f>SUM(J458:J459)</f>
        <v>148.63999999999999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2515207.4300000002</v>
      </c>
      <c r="G462" s="18">
        <v>87948.55</v>
      </c>
      <c r="H462" s="18">
        <v>119408.24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2515207.4300000002</v>
      </c>
      <c r="G464" s="53">
        <f>SUM(G462:G463)</f>
        <v>87948.55</v>
      </c>
      <c r="H464" s="53">
        <f>SUM(H462:H463)</f>
        <v>119408.24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126962.30999999959</v>
      </c>
      <c r="G466" s="53">
        <f>(G455+G460)- G464</f>
        <v>4346.0199999999895</v>
      </c>
      <c r="H466" s="53">
        <f>(H455+H460)- H464</f>
        <v>6992.1100000000006</v>
      </c>
      <c r="I466" s="53">
        <f>(I455+I460)- I464</f>
        <v>0</v>
      </c>
      <c r="J466" s="53">
        <f>(J455+J460)- J464</f>
        <v>110994.46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104986.26+1200</f>
        <v>106186.26</v>
      </c>
      <c r="G511" s="18">
        <f>68429.47+94.81</f>
        <v>68524.28</v>
      </c>
      <c r="H511" s="18">
        <f>53020.18+14272.56</f>
        <v>67292.740000000005</v>
      </c>
      <c r="I511" s="18">
        <f>2197.45</f>
        <v>2197.4499999999998</v>
      </c>
      <c r="J511" s="18">
        <v>2141.5500000000002</v>
      </c>
      <c r="K511" s="18">
        <v>163</v>
      </c>
      <c r="L511" s="88">
        <f>SUM(F511:K511)</f>
        <v>246505.27999999997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106186.26</v>
      </c>
      <c r="G514" s="108">
        <f t="shared" ref="G514:L514" si="35">SUM(G511:G513)</f>
        <v>68524.28</v>
      </c>
      <c r="H514" s="108">
        <f t="shared" si="35"/>
        <v>67292.740000000005</v>
      </c>
      <c r="I514" s="108">
        <f t="shared" si="35"/>
        <v>2197.4499999999998</v>
      </c>
      <c r="J514" s="108">
        <f t="shared" si="35"/>
        <v>2141.5500000000002</v>
      </c>
      <c r="K514" s="108">
        <f t="shared" si="35"/>
        <v>163</v>
      </c>
      <c r="L514" s="89">
        <f t="shared" si="35"/>
        <v>246505.27999999997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35607.550000000003</v>
      </c>
      <c r="G516" s="18">
        <v>8380.02</v>
      </c>
      <c r="H516" s="18">
        <v>48707.92</v>
      </c>
      <c r="I516" s="18">
        <v>3441.99</v>
      </c>
      <c r="J516" s="18"/>
      <c r="K516" s="18">
        <v>49.2</v>
      </c>
      <c r="L516" s="88">
        <f>SUM(F516:K516)</f>
        <v>96186.680000000008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35607.550000000003</v>
      </c>
      <c r="G519" s="89">
        <f t="shared" ref="G519:L519" si="36">SUM(G516:G518)</f>
        <v>8380.02</v>
      </c>
      <c r="H519" s="89">
        <f t="shared" si="36"/>
        <v>48707.92</v>
      </c>
      <c r="I519" s="89">
        <f t="shared" si="36"/>
        <v>3441.99</v>
      </c>
      <c r="J519" s="89">
        <f t="shared" si="36"/>
        <v>0</v>
      </c>
      <c r="K519" s="89">
        <f t="shared" si="36"/>
        <v>49.2</v>
      </c>
      <c r="L519" s="89">
        <f t="shared" si="36"/>
        <v>96186.680000000008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11027.33</v>
      </c>
      <c r="I521" s="18"/>
      <c r="J521" s="18"/>
      <c r="K521" s="18"/>
      <c r="L521" s="88">
        <f>SUM(F521:K521)</f>
        <v>11027.33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11027.33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11027.33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280</v>
      </c>
      <c r="I531" s="18"/>
      <c r="J531" s="18"/>
      <c r="K531" s="18"/>
      <c r="L531" s="88">
        <f>SUM(F531:K531)</f>
        <v>280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280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280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141793.81</v>
      </c>
      <c r="G535" s="89">
        <f t="shared" ref="G535:L535" si="40">G514+G519+G524+G529+G534</f>
        <v>76904.3</v>
      </c>
      <c r="H535" s="89">
        <f t="shared" si="40"/>
        <v>127307.99</v>
      </c>
      <c r="I535" s="89">
        <f t="shared" si="40"/>
        <v>5639.44</v>
      </c>
      <c r="J535" s="89">
        <f t="shared" si="40"/>
        <v>2141.5500000000002</v>
      </c>
      <c r="K535" s="89">
        <f t="shared" si="40"/>
        <v>212.2</v>
      </c>
      <c r="L535" s="89">
        <f t="shared" si="40"/>
        <v>353999.29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246505.27999999997</v>
      </c>
      <c r="G539" s="87">
        <f>L516</f>
        <v>96186.680000000008</v>
      </c>
      <c r="H539" s="87">
        <f>L521</f>
        <v>11027.33</v>
      </c>
      <c r="I539" s="87">
        <f>L526</f>
        <v>0</v>
      </c>
      <c r="J539" s="87">
        <f>L531</f>
        <v>280</v>
      </c>
      <c r="K539" s="87">
        <f>SUM(F539:J539)</f>
        <v>353999.29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246505.27999999997</v>
      </c>
      <c r="G542" s="89">
        <f t="shared" si="41"/>
        <v>96186.680000000008</v>
      </c>
      <c r="H542" s="89">
        <f t="shared" si="41"/>
        <v>11027.33</v>
      </c>
      <c r="I542" s="89">
        <f t="shared" si="41"/>
        <v>0</v>
      </c>
      <c r="J542" s="89">
        <f t="shared" si="41"/>
        <v>280</v>
      </c>
      <c r="K542" s="89">
        <f t="shared" si="41"/>
        <v>353999.29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14272.56</v>
      </c>
      <c r="I552" s="18"/>
      <c r="J552" s="18"/>
      <c r="K552" s="18"/>
      <c r="L552" s="88">
        <f>SUM(F552:K552)</f>
        <v>14272.56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14272.56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14272.56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14272.56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14272.56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38739</v>
      </c>
      <c r="I581" s="18"/>
      <c r="J581" s="18"/>
      <c r="K581" s="104">
        <f t="shared" ref="K581:K587" si="47">SUM(H581:J581)</f>
        <v>38739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280</v>
      </c>
      <c r="I582" s="18"/>
      <c r="J582" s="18"/>
      <c r="K582" s="104">
        <f t="shared" si="47"/>
        <v>280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3260</v>
      </c>
      <c r="I584" s="18"/>
      <c r="J584" s="18"/>
      <c r="K584" s="104">
        <f t="shared" si="47"/>
        <v>3260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5010</v>
      </c>
      <c r="I585" s="18"/>
      <c r="J585" s="18"/>
      <c r="K585" s="104">
        <f t="shared" si="47"/>
        <v>5010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47289</v>
      </c>
      <c r="I588" s="108">
        <f>SUM(I581:I587)</f>
        <v>0</v>
      </c>
      <c r="J588" s="108">
        <f>SUM(J581:J587)</f>
        <v>0</v>
      </c>
      <c r="K588" s="108">
        <f>SUM(K581:K587)</f>
        <v>47289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24886.65+2083.55</f>
        <v>26970.2</v>
      </c>
      <c r="I594" s="18"/>
      <c r="J594" s="18"/>
      <c r="K594" s="104">
        <f>SUM(H594:J594)</f>
        <v>26970.2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26970.2</v>
      </c>
      <c r="I595" s="108">
        <f>SUM(I592:I594)</f>
        <v>0</v>
      </c>
      <c r="J595" s="108">
        <f>SUM(J592:J594)</f>
        <v>0</v>
      </c>
      <c r="K595" s="108">
        <f>SUM(K592:K594)</f>
        <v>26970.2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3621.1</v>
      </c>
      <c r="G601" s="18">
        <v>573.03</v>
      </c>
      <c r="H601" s="18"/>
      <c r="I601" s="18"/>
      <c r="J601" s="18"/>
      <c r="K601" s="18"/>
      <c r="L601" s="88">
        <f>SUM(F601:K601)</f>
        <v>4194.13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3621.1</v>
      </c>
      <c r="G604" s="108">
        <f t="shared" si="48"/>
        <v>573.03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4194.13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787798.9</v>
      </c>
      <c r="H607" s="109">
        <f>SUM(F44)</f>
        <v>787798.90000000014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261392.21</v>
      </c>
      <c r="H608" s="109">
        <f>SUM(G44)</f>
        <v>261392.21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379855.94999999995</v>
      </c>
      <c r="H609" s="109">
        <f>SUM(H44)</f>
        <v>379855.95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110994.46</v>
      </c>
      <c r="H611" s="109">
        <f>SUM(J44)</f>
        <v>110994.46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126962.31</v>
      </c>
      <c r="H612" s="109">
        <f>F466</f>
        <v>126962.30999999959</v>
      </c>
      <c r="I612" s="121" t="s">
        <v>106</v>
      </c>
      <c r="J612" s="109">
        <f t="shared" ref="J612:J645" si="49">G612-H612</f>
        <v>4.0745362639427185E-10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4346.0200000000004</v>
      </c>
      <c r="H613" s="109">
        <f>G466</f>
        <v>4346.0199999999895</v>
      </c>
      <c r="I613" s="121" t="s">
        <v>108</v>
      </c>
      <c r="J613" s="109">
        <f t="shared" si="49"/>
        <v>1.0913936421275139E-11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6992.11</v>
      </c>
      <c r="H614" s="109">
        <f>H466</f>
        <v>6992.1100000000006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110994.46</v>
      </c>
      <c r="H616" s="109">
        <f>J466</f>
        <v>110994.46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2450234.5699999998</v>
      </c>
      <c r="H617" s="104">
        <f>SUM(F458)</f>
        <v>2450234.5699999998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90327.510000000009</v>
      </c>
      <c r="H618" s="104">
        <f>SUM(G458)</f>
        <v>90327.51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122047.40999999999</v>
      </c>
      <c r="H619" s="104">
        <f>SUM(H458)</f>
        <v>122047.41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148.63999999999999</v>
      </c>
      <c r="H621" s="104">
        <f>SUM(J458)</f>
        <v>148.63999999999999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2515207.4299999997</v>
      </c>
      <c r="H622" s="104">
        <f>SUM(F462)</f>
        <v>2515207.4300000002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119408.24</v>
      </c>
      <c r="H623" s="104">
        <f>SUM(H462)</f>
        <v>119408.24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27064.600000000002</v>
      </c>
      <c r="H624" s="104">
        <f>I361</f>
        <v>27064.600000000002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87948.55</v>
      </c>
      <c r="H625" s="104">
        <f>SUM(G462)</f>
        <v>87948.55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148.63999999999999</v>
      </c>
      <c r="H627" s="164">
        <f>SUM(J458)</f>
        <v>148.63999999999999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110994.46</v>
      </c>
      <c r="H630" s="104">
        <f>SUM(G451)</f>
        <v>110994.46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110994.46</v>
      </c>
      <c r="H632" s="104">
        <f>SUM(I451)</f>
        <v>110994.46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148.63999999999999</v>
      </c>
      <c r="H634" s="104">
        <f>H400</f>
        <v>148.63999999999999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148.63999999999999</v>
      </c>
      <c r="H636" s="104">
        <f>L400</f>
        <v>148.63999999999999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47289</v>
      </c>
      <c r="H637" s="104">
        <f>L200+L218+L236</f>
        <v>47289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26970.2</v>
      </c>
      <c r="H638" s="104">
        <f>(J249+J330)-(J247+J328)</f>
        <v>26970.2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47289</v>
      </c>
      <c r="H639" s="104">
        <f>H588</f>
        <v>47289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30000</v>
      </c>
      <c r="H642" s="104">
        <f>K255+K337</f>
        <v>30000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2692564.2199999997</v>
      </c>
      <c r="G650" s="19">
        <f>(L221+L301+L351)</f>
        <v>0</v>
      </c>
      <c r="H650" s="19">
        <f>(L239+L320+L352)</f>
        <v>0</v>
      </c>
      <c r="I650" s="19">
        <f>SUM(F650:H650)</f>
        <v>2692564.2199999997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24890.97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24890.97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47289</v>
      </c>
      <c r="G652" s="19">
        <f>(L218+L298)-(J218+J298)</f>
        <v>0</v>
      </c>
      <c r="H652" s="19">
        <f>(L236+L317)-(J236+J317)</f>
        <v>0</v>
      </c>
      <c r="I652" s="19">
        <f>SUM(F652:H652)</f>
        <v>47289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31164.33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31164.33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2589219.92</v>
      </c>
      <c r="G654" s="19">
        <f>G650-SUM(G651:G653)</f>
        <v>0</v>
      </c>
      <c r="H654" s="19">
        <f>H650-SUM(H651:H653)</f>
        <v>0</v>
      </c>
      <c r="I654" s="19">
        <f>I650-SUM(I651:I653)</f>
        <v>2589219.92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156.51</v>
      </c>
      <c r="G655" s="249"/>
      <c r="H655" s="249"/>
      <c r="I655" s="19">
        <f>SUM(F655:H655)</f>
        <v>156.51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16543.48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16543.48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16543.48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16543.48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F2B2-4B1B-49C2-B1F3-441EBAA6CFC3}">
  <sheetPr>
    <tabColor indexed="20"/>
  </sheetPr>
  <dimension ref="A1:C52"/>
  <sheetViews>
    <sheetView topLeftCell="A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Ashland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855336.15999999992</v>
      </c>
      <c r="C9" s="230">
        <f>'DOE25'!G189+'DOE25'!G207+'DOE25'!G225+'DOE25'!G268+'DOE25'!G287+'DOE25'!G306</f>
        <v>384349.7</v>
      </c>
    </row>
    <row r="10" spans="1:3" x14ac:dyDescent="0.2">
      <c r="A10" t="s">
        <v>810</v>
      </c>
      <c r="B10" s="241">
        <f>739084.65+1411.52+52509.96+19529.6</f>
        <v>812535.73</v>
      </c>
      <c r="C10" s="241">
        <v>364834.2</v>
      </c>
    </row>
    <row r="11" spans="1:3" x14ac:dyDescent="0.2">
      <c r="A11" t="s">
        <v>811</v>
      </c>
      <c r="B11" s="241">
        <f>24946.07+1752.92</f>
        <v>26698.989999999998</v>
      </c>
      <c r="C11" s="241">
        <v>18127.689999999999</v>
      </c>
    </row>
    <row r="12" spans="1:3" x14ac:dyDescent="0.2">
      <c r="A12" t="s">
        <v>812</v>
      </c>
      <c r="B12" s="241">
        <v>16101.44</v>
      </c>
      <c r="C12" s="241">
        <v>1387.81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855336.15999999992</v>
      </c>
      <c r="C13" s="232">
        <f>SUM(C10:C12)</f>
        <v>384349.7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106186.26</v>
      </c>
      <c r="C18" s="230">
        <f>'DOE25'!G190+'DOE25'!G208+'DOE25'!G226+'DOE25'!G269+'DOE25'!G288+'DOE25'!G307</f>
        <v>68524.28</v>
      </c>
    </row>
    <row r="19" spans="1:3" x14ac:dyDescent="0.2">
      <c r="A19" t="s">
        <v>810</v>
      </c>
      <c r="B19" s="241">
        <v>48442</v>
      </c>
      <c r="C19" s="241">
        <v>30576.16</v>
      </c>
    </row>
    <row r="20" spans="1:3" x14ac:dyDescent="0.2">
      <c r="A20" t="s">
        <v>811</v>
      </c>
      <c r="B20" s="241">
        <v>57744.26</v>
      </c>
      <c r="C20" s="241">
        <v>37948.120000000003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106186.26000000001</v>
      </c>
      <c r="C22" s="232">
        <f>SUM(C19:C21)</f>
        <v>68524.28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27596.1</v>
      </c>
      <c r="C36" s="236">
        <f>'DOE25'!G192+'DOE25'!G210+'DOE25'!G228+'DOE25'!G271+'DOE25'!G290+'DOE25'!G309</f>
        <v>4406.03</v>
      </c>
    </row>
    <row r="37" spans="1:3" x14ac:dyDescent="0.2">
      <c r="A37" t="s">
        <v>810</v>
      </c>
      <c r="B37" s="241">
        <f>1701.1+1920</f>
        <v>3621.1</v>
      </c>
      <c r="C37" s="241">
        <v>573.03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23975</v>
      </c>
      <c r="C39" s="241">
        <v>3833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27596.1</v>
      </c>
      <c r="C40" s="232">
        <f>SUM(C37:C39)</f>
        <v>4406.03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C62D-9173-4D65-A293-B065048A12C3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Ashland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1479123.49</v>
      </c>
      <c r="D5" s="20">
        <f>SUM('DOE25'!L189:L192)+SUM('DOE25'!L207:L210)+SUM('DOE25'!L225:L228)-F5-G5</f>
        <v>1467584.68</v>
      </c>
      <c r="E5" s="244"/>
      <c r="F5" s="256">
        <f>SUM('DOE25'!J189:J192)+SUM('DOE25'!J207:J210)+SUM('DOE25'!J225:J228)</f>
        <v>10775.810000000001</v>
      </c>
      <c r="G5" s="53">
        <f>SUM('DOE25'!K189:K192)+SUM('DOE25'!K207:K210)+SUM('DOE25'!K225:K228)</f>
        <v>763</v>
      </c>
      <c r="H5" s="260"/>
    </row>
    <row r="6" spans="1:9" x14ac:dyDescent="0.2">
      <c r="A6" s="32">
        <v>2100</v>
      </c>
      <c r="B6" t="s">
        <v>832</v>
      </c>
      <c r="C6" s="246">
        <f t="shared" si="0"/>
        <v>219693.72000000003</v>
      </c>
      <c r="D6" s="20">
        <f>'DOE25'!L194+'DOE25'!L212+'DOE25'!L230-F6-G6</f>
        <v>219447.72000000003</v>
      </c>
      <c r="E6" s="244"/>
      <c r="F6" s="256">
        <f>'DOE25'!J194+'DOE25'!J212+'DOE25'!J230</f>
        <v>0</v>
      </c>
      <c r="G6" s="53">
        <f>'DOE25'!K194+'DOE25'!K212+'DOE25'!K230</f>
        <v>246</v>
      </c>
      <c r="H6" s="260"/>
    </row>
    <row r="7" spans="1:9" x14ac:dyDescent="0.2">
      <c r="A7" s="32">
        <v>2200</v>
      </c>
      <c r="B7" t="s">
        <v>865</v>
      </c>
      <c r="C7" s="246">
        <f t="shared" si="0"/>
        <v>139120.45000000001</v>
      </c>
      <c r="D7" s="20">
        <f>'DOE25'!L195+'DOE25'!L213+'DOE25'!L231-F7-G7</f>
        <v>135474.53</v>
      </c>
      <c r="E7" s="244"/>
      <c r="F7" s="256">
        <f>'DOE25'!J195+'DOE25'!J213+'DOE25'!J231</f>
        <v>3645.92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40928.929999999993</v>
      </c>
      <c r="D8" s="244"/>
      <c r="E8" s="20">
        <f>'DOE25'!L196+'DOE25'!L214+'DOE25'!L232-F8-G8-D9-D11</f>
        <v>37609.469999999994</v>
      </c>
      <c r="F8" s="256">
        <f>'DOE25'!J196+'DOE25'!J214+'DOE25'!J232</f>
        <v>0</v>
      </c>
      <c r="G8" s="53">
        <f>'DOE25'!K196+'DOE25'!K214+'DOE25'!K232</f>
        <v>3319.46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10314.74</v>
      </c>
      <c r="D9" s="245">
        <v>10314.74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9625</v>
      </c>
      <c r="D10" s="244"/>
      <c r="E10" s="245">
        <v>9625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29277.57</v>
      </c>
      <c r="D11" s="245">
        <v>29277.57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173413.90999999997</v>
      </c>
      <c r="D12" s="20">
        <f>'DOE25'!L197+'DOE25'!L215+'DOE25'!L233-F12-G12</f>
        <v>172728.90999999997</v>
      </c>
      <c r="E12" s="244"/>
      <c r="F12" s="256">
        <f>'DOE25'!J197+'DOE25'!J215+'DOE25'!J233</f>
        <v>0</v>
      </c>
      <c r="G12" s="53">
        <f>'DOE25'!K197+'DOE25'!K215+'DOE25'!K233</f>
        <v>685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346045.61999999994</v>
      </c>
      <c r="D14" s="20">
        <f>'DOE25'!L199+'DOE25'!L217+'DOE25'!L235-F14-G14</f>
        <v>335580.69999999995</v>
      </c>
      <c r="E14" s="244"/>
      <c r="F14" s="256">
        <f>'DOE25'!J199+'DOE25'!J217+'DOE25'!J235</f>
        <v>10464.920000000002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47289</v>
      </c>
      <c r="D15" s="20">
        <f>'DOE25'!L200+'DOE25'!L218+'DOE25'!L236-F15-G15</f>
        <v>47289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62609.58</v>
      </c>
      <c r="D29" s="20">
        <f>'DOE25'!L350+'DOE25'!L351+'DOE25'!L352-'DOE25'!I359-F29-G29</f>
        <v>62609.58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119408.24</v>
      </c>
      <c r="D31" s="20">
        <f>'DOE25'!L282+'DOE25'!L301+'DOE25'!L320+'DOE25'!L325+'DOE25'!L326+'DOE25'!L327-F31-G31</f>
        <v>115202.09</v>
      </c>
      <c r="E31" s="244"/>
      <c r="F31" s="256">
        <f>'DOE25'!J282+'DOE25'!J301+'DOE25'!J320+'DOE25'!J325+'DOE25'!J326+'DOE25'!J327</f>
        <v>2083.5500000000002</v>
      </c>
      <c r="G31" s="53">
        <f>'DOE25'!K282+'DOE25'!K301+'DOE25'!K320+'DOE25'!K325+'DOE25'!K326+'DOE25'!K327</f>
        <v>2122.6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2595509.5199999996</v>
      </c>
      <c r="E33" s="247">
        <f>SUM(E5:E31)</f>
        <v>47234.469999999994</v>
      </c>
      <c r="F33" s="247">
        <f>SUM(F5:F31)</f>
        <v>26970.2</v>
      </c>
      <c r="G33" s="247">
        <f>SUM(G5:G31)</f>
        <v>7136.0599999999995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47234.469999999994</v>
      </c>
      <c r="E35" s="250"/>
    </row>
    <row r="36" spans="2:8" ht="12" thickTop="1" x14ac:dyDescent="0.2">
      <c r="B36" t="s">
        <v>846</v>
      </c>
      <c r="D36" s="20">
        <f>D33</f>
        <v>2595509.5199999996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20C5-59BA-4482-83B1-941D42D0B008}">
  <sheetPr transitionEvaluation="1" codeName="Sheet2">
    <tabColor indexed="10"/>
  </sheetPr>
  <dimension ref="A1:I156"/>
  <sheetViews>
    <sheetView zoomScale="75" workbookViewId="0">
      <pane ySplit="2" topLeftCell="A3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64332.99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110994.46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626532.67000000004</v>
      </c>
      <c r="D12" s="95">
        <f>'DOE25'!G12</f>
        <v>254904.71</v>
      </c>
      <c r="E12" s="95">
        <f>'DOE25'!H12</f>
        <v>354598.72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96053.4</v>
      </c>
      <c r="D13" s="95">
        <f>'DOE25'!G13</f>
        <v>6549.87</v>
      </c>
      <c r="E13" s="95">
        <f>'DOE25'!H13</f>
        <v>25257.23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879.84</v>
      </c>
      <c r="D14" s="95">
        <f>'DOE25'!G14</f>
        <v>-62.37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787798.9</v>
      </c>
      <c r="D19" s="41">
        <f>SUM(D9:D18)</f>
        <v>261392.21</v>
      </c>
      <c r="E19" s="41">
        <f>SUM(E9:E18)</f>
        <v>379855.94999999995</v>
      </c>
      <c r="F19" s="41">
        <f>SUM(F9:F18)</f>
        <v>0</v>
      </c>
      <c r="G19" s="41">
        <f>SUM(G9:G18)</f>
        <v>110994.46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609503.43000000005</v>
      </c>
      <c r="D22" s="95">
        <f>'DOE25'!G23</f>
        <v>254967.16</v>
      </c>
      <c r="E22" s="95">
        <f>'DOE25'!H23</f>
        <v>371565.51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37275.980000000003</v>
      </c>
      <c r="D24" s="95">
        <f>'DOE25'!G25</f>
        <v>2079.0300000000002</v>
      </c>
      <c r="E24" s="95">
        <f>'DOE25'!H25</f>
        <v>1298.33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5425.9000000000005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8631.2800000000007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660836.59000000008</v>
      </c>
      <c r="D32" s="41">
        <f>SUM(D22:D31)</f>
        <v>257046.19</v>
      </c>
      <c r="E32" s="41">
        <f>SUM(E22:E31)</f>
        <v>372863.84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4842.38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4346.0200000000004</v>
      </c>
      <c r="E40" s="95">
        <f>'DOE25'!H41</f>
        <v>6992.11</v>
      </c>
      <c r="F40" s="95">
        <f>'DOE25'!I41</f>
        <v>0</v>
      </c>
      <c r="G40" s="95">
        <f>'DOE25'!J41</f>
        <v>110994.46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122119.93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126962.31</v>
      </c>
      <c r="D42" s="41">
        <f>SUM(D34:D41)</f>
        <v>4346.0200000000004</v>
      </c>
      <c r="E42" s="41">
        <f>SUM(E34:E41)</f>
        <v>6992.11</v>
      </c>
      <c r="F42" s="41">
        <f>SUM(F34:F41)</f>
        <v>0</v>
      </c>
      <c r="G42" s="41">
        <f>SUM(G34:G41)</f>
        <v>110994.46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787798.90000000014</v>
      </c>
      <c r="D43" s="41">
        <f>D42+D32</f>
        <v>261392.21</v>
      </c>
      <c r="E43" s="41">
        <f>E42+E32</f>
        <v>379855.95</v>
      </c>
      <c r="F43" s="41">
        <f>F42+F32</f>
        <v>0</v>
      </c>
      <c r="G43" s="41">
        <f>G42+G32</f>
        <v>110994.46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1565930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581.76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148.63999999999999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24890.97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1557.78</v>
      </c>
      <c r="D53" s="95">
        <f>SUM('DOE25'!G90:G102)</f>
        <v>0</v>
      </c>
      <c r="E53" s="95">
        <f>SUM('DOE25'!H90:H102)</f>
        <v>3255.4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2139.54</v>
      </c>
      <c r="D54" s="130">
        <f>SUM(D49:D53)</f>
        <v>24890.97</v>
      </c>
      <c r="E54" s="130">
        <f>SUM(E49:E53)</f>
        <v>3255.4</v>
      </c>
      <c r="F54" s="130">
        <f>SUM(F49:F53)</f>
        <v>0</v>
      </c>
      <c r="G54" s="130">
        <f>SUM(G49:G53)</f>
        <v>148.63999999999999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1568069.54</v>
      </c>
      <c r="D55" s="22">
        <f>D48+D54</f>
        <v>24890.97</v>
      </c>
      <c r="E55" s="22">
        <f>E48+E54</f>
        <v>3255.4</v>
      </c>
      <c r="F55" s="22">
        <f>F48+F54</f>
        <v>0</v>
      </c>
      <c r="G55" s="22">
        <f>G48+G54</f>
        <v>148.63999999999999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449651.28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365770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16308.72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831730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7135.11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1027.58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7135.11</v>
      </c>
      <c r="D70" s="130">
        <f>SUM(D64:D69)</f>
        <v>1027.58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838865.11</v>
      </c>
      <c r="D73" s="130">
        <f>SUM(D71:D72)+D70+D62</f>
        <v>1027.58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42870.81</v>
      </c>
      <c r="D80" s="95">
        <f>SUM('DOE25'!G145:G153)</f>
        <v>34408.959999999999</v>
      </c>
      <c r="E80" s="95">
        <f>SUM('DOE25'!H145:H153)</f>
        <v>118792.01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429.11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43299.92</v>
      </c>
      <c r="D83" s="131">
        <f>SUM(D77:D82)</f>
        <v>34408.959999999999</v>
      </c>
      <c r="E83" s="131">
        <f>SUM(E77:E82)</f>
        <v>118792.01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30000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30000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2450234.5699999998</v>
      </c>
      <c r="D96" s="86">
        <f>D55+D73+D83+D95</f>
        <v>90327.510000000009</v>
      </c>
      <c r="E96" s="86">
        <f>E55+E73+E83+E95</f>
        <v>122047.40999999999</v>
      </c>
      <c r="F96" s="86">
        <f>F55+F73+F83+F95</f>
        <v>0</v>
      </c>
      <c r="G96" s="86">
        <f>G55+G73+G95</f>
        <v>148.63999999999999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1192625.7</v>
      </c>
      <c r="D101" s="24" t="s">
        <v>312</v>
      </c>
      <c r="E101" s="95">
        <f>('DOE25'!L268)+('DOE25'!L287)+('DOE25'!L306)</f>
        <v>91902.819999999992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246505.27999999997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39992.509999999995</v>
      </c>
      <c r="D104" s="24" t="s">
        <v>312</v>
      </c>
      <c r="E104" s="95">
        <f>+('DOE25'!L271)+('DOE25'!L290)+('DOE25'!L309)</f>
        <v>4194.13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1479123.49</v>
      </c>
      <c r="D107" s="86">
        <f>SUM(D101:D106)</f>
        <v>0</v>
      </c>
      <c r="E107" s="86">
        <f>SUM(E101:E106)</f>
        <v>96096.95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219693.72000000003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139120.45000000001</v>
      </c>
      <c r="D111" s="24" t="s">
        <v>312</v>
      </c>
      <c r="E111" s="95">
        <f>+('DOE25'!L274)+('DOE25'!L293)+('DOE25'!L312)</f>
        <v>21188.69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80521.240000000005</v>
      </c>
      <c r="D112" s="24" t="s">
        <v>312</v>
      </c>
      <c r="E112" s="95">
        <f>+('DOE25'!L275)+('DOE25'!L294)+('DOE25'!L313)</f>
        <v>2122.6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173413.90999999997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346045.61999999994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47289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87948.55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1006083.94</v>
      </c>
      <c r="D120" s="86">
        <f>SUM(D110:D119)</f>
        <v>87948.55</v>
      </c>
      <c r="E120" s="86">
        <f>SUM(E110:E119)</f>
        <v>23311.289999999997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30000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148.63999999999999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-148.63999999999999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2515207.4299999997</v>
      </c>
      <c r="D137" s="86">
        <f>(D107+D120+D136)</f>
        <v>87948.55</v>
      </c>
      <c r="E137" s="86">
        <f>(E107+E120+E136)</f>
        <v>119408.23999999999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ECC-C8B2-4591-A829-6CA135722E3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Ashland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16543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16543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1284529</v>
      </c>
      <c r="D10" s="182">
        <f>ROUND((C10/$C$28)*100,1)</f>
        <v>48.2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246505</v>
      </c>
      <c r="D11" s="182">
        <f>ROUND((C11/$C$28)*100,1)</f>
        <v>9.1999999999999993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44187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219694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160309</v>
      </c>
      <c r="D16" s="182">
        <f t="shared" si="0"/>
        <v>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82644</v>
      </c>
      <c r="D17" s="182">
        <f t="shared" si="0"/>
        <v>3.1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173414</v>
      </c>
      <c r="D18" s="182">
        <f t="shared" si="0"/>
        <v>6.5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346046</v>
      </c>
      <c r="D20" s="182">
        <f t="shared" si="0"/>
        <v>13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47289</v>
      </c>
      <c r="D21" s="182">
        <f t="shared" si="0"/>
        <v>1.8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63058.03</v>
      </c>
      <c r="D27" s="182">
        <f t="shared" si="0"/>
        <v>2.4</v>
      </c>
    </row>
    <row r="28" spans="1:4" x14ac:dyDescent="0.2">
      <c r="B28" s="187" t="s">
        <v>754</v>
      </c>
      <c r="C28" s="180">
        <f>SUM(C10:C27)</f>
        <v>2667675.0299999998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2667675.0299999998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1565930</v>
      </c>
      <c r="D35" s="182">
        <f t="shared" ref="D35:D40" si="1">ROUND((C35/$C$41)*100,1)</f>
        <v>60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5543.5799999998417</v>
      </c>
      <c r="D36" s="182">
        <f t="shared" si="1"/>
        <v>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831730</v>
      </c>
      <c r="D37" s="182">
        <f t="shared" si="1"/>
        <v>31.9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8163</v>
      </c>
      <c r="D38" s="182">
        <f t="shared" si="1"/>
        <v>0.3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196501</v>
      </c>
      <c r="D39" s="182">
        <f t="shared" si="1"/>
        <v>7.5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2607867.58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8050-2065-4441-AD46-CF30165F656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Ashland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2011-10-27T19:08:59Z</cp:lastPrinted>
  <dcterms:created xsi:type="dcterms:W3CDTF">1997-12-04T19:04:30Z</dcterms:created>
  <dcterms:modified xsi:type="dcterms:W3CDTF">2025-01-09T20:36:34Z</dcterms:modified>
</cp:coreProperties>
</file>