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A265951-65F0-41B3-877F-96011B7FCAC8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F87F2002-4121-4D94-B035-A2C22B82D52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2" l="1"/>
  <c r="C22" i="12"/>
  <c r="B20" i="12"/>
  <c r="B22" i="12" s="1"/>
  <c r="A22" i="12" s="1"/>
  <c r="B12" i="12"/>
  <c r="C11" i="12"/>
  <c r="B11" i="12"/>
  <c r="B10" i="12"/>
  <c r="F9" i="1"/>
  <c r="C37" i="10"/>
  <c r="C60" i="2"/>
  <c r="B2" i="13"/>
  <c r="F8" i="13"/>
  <c r="G8" i="13"/>
  <c r="L196" i="1"/>
  <c r="C112" i="2" s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C101" i="2" s="1"/>
  <c r="L190" i="1"/>
  <c r="C11" i="10" s="1"/>
  <c r="L191" i="1"/>
  <c r="L192" i="1"/>
  <c r="L207" i="1"/>
  <c r="L221" i="1" s="1"/>
  <c r="G650" i="1" s="1"/>
  <c r="G654" i="1" s="1"/>
  <c r="L208" i="1"/>
  <c r="L209" i="1"/>
  <c r="L210" i="1"/>
  <c r="L225" i="1"/>
  <c r="L226" i="1"/>
  <c r="L227" i="1"/>
  <c r="L228" i="1"/>
  <c r="C104" i="2" s="1"/>
  <c r="F6" i="13"/>
  <c r="G6" i="13"/>
  <c r="L194" i="1"/>
  <c r="C15" i="10" s="1"/>
  <c r="L212" i="1"/>
  <c r="L230" i="1"/>
  <c r="F7" i="13"/>
  <c r="D7" i="13" s="1"/>
  <c r="C7" i="13" s="1"/>
  <c r="G7" i="13"/>
  <c r="L195" i="1"/>
  <c r="L213" i="1"/>
  <c r="C111" i="2" s="1"/>
  <c r="L231" i="1"/>
  <c r="F12" i="13"/>
  <c r="G12" i="13"/>
  <c r="G33" i="13" s="1"/>
  <c r="L197" i="1"/>
  <c r="L215" i="1"/>
  <c r="D12" i="13" s="1"/>
  <c r="C12" i="13" s="1"/>
  <c r="L233" i="1"/>
  <c r="F14" i="13"/>
  <c r="G14" i="13"/>
  <c r="L199" i="1"/>
  <c r="C115" i="2" s="1"/>
  <c r="L217" i="1"/>
  <c r="L235" i="1"/>
  <c r="F15" i="13"/>
  <c r="G15" i="13"/>
  <c r="L200" i="1"/>
  <c r="F652" i="1" s="1"/>
  <c r="L218" i="1"/>
  <c r="G652" i="1" s="1"/>
  <c r="L236" i="1"/>
  <c r="H652" i="1" s="1"/>
  <c r="F17" i="13"/>
  <c r="G17" i="13"/>
  <c r="L243" i="1"/>
  <c r="D17" i="13" s="1"/>
  <c r="C17" i="13" s="1"/>
  <c r="F18" i="13"/>
  <c r="G18" i="13"/>
  <c r="L244" i="1"/>
  <c r="C24" i="10" s="1"/>
  <c r="F19" i="13"/>
  <c r="G19" i="13"/>
  <c r="L245" i="1"/>
  <c r="D19" i="13" s="1"/>
  <c r="C19" i="13" s="1"/>
  <c r="F29" i="13"/>
  <c r="G29" i="13"/>
  <c r="L350" i="1"/>
  <c r="F651" i="1" s="1"/>
  <c r="I651" i="1" s="1"/>
  <c r="L351" i="1"/>
  <c r="L352" i="1"/>
  <c r="I359" i="1"/>
  <c r="J282" i="1"/>
  <c r="J301" i="1"/>
  <c r="F31" i="13" s="1"/>
  <c r="J320" i="1"/>
  <c r="K282" i="1"/>
  <c r="G31" i="13" s="1"/>
  <c r="K301" i="1"/>
  <c r="K320" i="1"/>
  <c r="L268" i="1"/>
  <c r="L269" i="1"/>
  <c r="L270" i="1"/>
  <c r="L271" i="1"/>
  <c r="L273" i="1"/>
  <c r="L274" i="1"/>
  <c r="L282" i="1" s="1"/>
  <c r="L275" i="1"/>
  <c r="E112" i="2" s="1"/>
  <c r="L276" i="1"/>
  <c r="L277" i="1"/>
  <c r="E114" i="2" s="1"/>
  <c r="L278" i="1"/>
  <c r="E115" i="2" s="1"/>
  <c r="L279" i="1"/>
  <c r="L280" i="1"/>
  <c r="E117" i="2" s="1"/>
  <c r="L287" i="1"/>
  <c r="L301" i="1" s="1"/>
  <c r="L288" i="1"/>
  <c r="L289" i="1"/>
  <c r="L290" i="1"/>
  <c r="L292" i="1"/>
  <c r="L293" i="1"/>
  <c r="L294" i="1"/>
  <c r="L295" i="1"/>
  <c r="E113" i="2" s="1"/>
  <c r="L296" i="1"/>
  <c r="L297" i="1"/>
  <c r="L298" i="1"/>
  <c r="L299" i="1"/>
  <c r="L306" i="1"/>
  <c r="L307" i="1"/>
  <c r="L308" i="1"/>
  <c r="L309" i="1"/>
  <c r="L311" i="1"/>
  <c r="E110" i="2"/>
  <c r="L312" i="1"/>
  <c r="L313" i="1"/>
  <c r="L314" i="1"/>
  <c r="L315" i="1"/>
  <c r="L316" i="1"/>
  <c r="L317" i="1"/>
  <c r="L318" i="1"/>
  <c r="L320" i="1"/>
  <c r="L325" i="1"/>
  <c r="E106" i="2" s="1"/>
  <c r="L326" i="1"/>
  <c r="L327" i="1"/>
  <c r="L252" i="1"/>
  <c r="C123" i="2" s="1"/>
  <c r="L253" i="1"/>
  <c r="L333" i="1"/>
  <c r="L343" i="1" s="1"/>
  <c r="L334" i="1"/>
  <c r="L247" i="1"/>
  <c r="L328" i="1"/>
  <c r="C29" i="10" s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C9" i="12"/>
  <c r="C13" i="12"/>
  <c r="B18" i="12"/>
  <c r="C18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G51" i="2"/>
  <c r="G54" i="2" s="1"/>
  <c r="G53" i="2"/>
  <c r="F2" i="11"/>
  <c r="L603" i="1"/>
  <c r="L602" i="1"/>
  <c r="G653" i="1" s="1"/>
  <c r="L601" i="1"/>
  <c r="L604" i="1" s="1"/>
  <c r="F653" i="1"/>
  <c r="I653" i="1" s="1"/>
  <c r="C40" i="10"/>
  <c r="F52" i="1"/>
  <c r="C48" i="2" s="1"/>
  <c r="C55" i="2" s="1"/>
  <c r="G52" i="1"/>
  <c r="G104" i="1" s="1"/>
  <c r="H52" i="1"/>
  <c r="H104" i="1" s="1"/>
  <c r="I52" i="1"/>
  <c r="F71" i="1"/>
  <c r="F86" i="1"/>
  <c r="F103" i="1"/>
  <c r="G103" i="1"/>
  <c r="H71" i="1"/>
  <c r="E49" i="2" s="1"/>
  <c r="E54" i="2" s="1"/>
  <c r="H86" i="1"/>
  <c r="E50" i="2"/>
  <c r="E51" i="2"/>
  <c r="E53" i="2"/>
  <c r="H103" i="1"/>
  <c r="I103" i="1"/>
  <c r="I104" i="1"/>
  <c r="J103" i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 s="1"/>
  <c r="J113" i="1"/>
  <c r="J128" i="1"/>
  <c r="F139" i="1"/>
  <c r="F154" i="1"/>
  <c r="F161" i="1"/>
  <c r="G139" i="1"/>
  <c r="D77" i="2" s="1"/>
  <c r="D83" i="2" s="1"/>
  <c r="G154" i="1"/>
  <c r="H139" i="1"/>
  <c r="H154" i="1"/>
  <c r="I139" i="1"/>
  <c r="I161" i="1" s="1"/>
  <c r="I154" i="1"/>
  <c r="L242" i="1"/>
  <c r="L324" i="1"/>
  <c r="E105" i="2" s="1"/>
  <c r="E107" i="2" s="1"/>
  <c r="C23" i="10"/>
  <c r="L246" i="1"/>
  <c r="C25" i="10"/>
  <c r="L260" i="1"/>
  <c r="L261" i="1"/>
  <c r="L341" i="1"/>
  <c r="L342" i="1"/>
  <c r="I655" i="1"/>
  <c r="I660" i="1"/>
  <c r="I659" i="1"/>
  <c r="C6" i="10"/>
  <c r="C5" i="10"/>
  <c r="C4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E126" i="2" s="1"/>
  <c r="L337" i="1"/>
  <c r="L338" i="1"/>
  <c r="L339" i="1"/>
  <c r="K343" i="1"/>
  <c r="L511" i="1"/>
  <c r="F539" i="1" s="1"/>
  <c r="L514" i="1"/>
  <c r="L512" i="1"/>
  <c r="F540" i="1" s="1"/>
  <c r="L513" i="1"/>
  <c r="F541" i="1"/>
  <c r="K541" i="1" s="1"/>
  <c r="L516" i="1"/>
  <c r="G539" i="1" s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/>
  <c r="L526" i="1"/>
  <c r="I539" i="1" s="1"/>
  <c r="I542" i="1" s="1"/>
  <c r="L527" i="1"/>
  <c r="I540" i="1"/>
  <c r="L528" i="1"/>
  <c r="I541" i="1"/>
  <c r="L531" i="1"/>
  <c r="J539" i="1" s="1"/>
  <c r="L532" i="1"/>
  <c r="J540" i="1" s="1"/>
  <c r="L533" i="1"/>
  <c r="J541" i="1"/>
  <c r="E123" i="2"/>
  <c r="K262" i="1"/>
  <c r="J262" i="1"/>
  <c r="I262" i="1"/>
  <c r="H262" i="1"/>
  <c r="G262" i="1"/>
  <c r="F262" i="1"/>
  <c r="L262" i="1" s="1"/>
  <c r="C124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F19" i="2" s="1"/>
  <c r="I432" i="1"/>
  <c r="J10" i="1" s="1"/>
  <c r="G10" i="2" s="1"/>
  <c r="C11" i="2"/>
  <c r="C12" i="2"/>
  <c r="D12" i="2"/>
  <c r="D19" i="2" s="1"/>
  <c r="E12" i="2"/>
  <c r="E19" i="2" s="1"/>
  <c r="F12" i="2"/>
  <c r="I433" i="1"/>
  <c r="I438" i="1" s="1"/>
  <c r="G632" i="1" s="1"/>
  <c r="J12" i="1"/>
  <c r="G12" i="2"/>
  <c r="C13" i="2"/>
  <c r="C14" i="2"/>
  <c r="C16" i="2"/>
  <c r="C17" i="2"/>
  <c r="C18" i="2"/>
  <c r="D13" i="2"/>
  <c r="E13" i="2"/>
  <c r="F13" i="2"/>
  <c r="I434" i="1"/>
  <c r="J13" i="1"/>
  <c r="G13" i="2"/>
  <c r="D14" i="2"/>
  <c r="E14" i="2"/>
  <c r="F14" i="2"/>
  <c r="I435" i="1"/>
  <c r="J14" i="1"/>
  <c r="G14" i="2" s="1"/>
  <c r="F15" i="2"/>
  <c r="D16" i="2"/>
  <c r="E16" i="2"/>
  <c r="F16" i="2"/>
  <c r="D17" i="2"/>
  <c r="E17" i="2"/>
  <c r="F17" i="2"/>
  <c r="I436" i="1"/>
  <c r="J17" i="1" s="1"/>
  <c r="G17" i="2" s="1"/>
  <c r="D18" i="2"/>
  <c r="E18" i="2"/>
  <c r="F18" i="2"/>
  <c r="I437" i="1"/>
  <c r="J18" i="1" s="1"/>
  <c r="G18" i="2" s="1"/>
  <c r="C22" i="2"/>
  <c r="C32" i="2" s="1"/>
  <c r="D22" i="2"/>
  <c r="D32" i="2" s="1"/>
  <c r="E22" i="2"/>
  <c r="E32" i="2" s="1"/>
  <c r="F22" i="2"/>
  <c r="F23" i="2"/>
  <c r="F24" i="2"/>
  <c r="F25" i="2"/>
  <c r="F26" i="2"/>
  <c r="F27" i="2"/>
  <c r="F32" i="2" s="1"/>
  <c r="F28" i="2"/>
  <c r="F29" i="2"/>
  <c r="F30" i="2"/>
  <c r="F31" i="2"/>
  <c r="I440" i="1"/>
  <c r="J23" i="1" s="1"/>
  <c r="C23" i="2"/>
  <c r="D23" i="2"/>
  <c r="E23" i="2"/>
  <c r="I441" i="1"/>
  <c r="J24" i="1"/>
  <c r="G23" i="2" s="1"/>
  <c r="C24" i="2"/>
  <c r="D24" i="2"/>
  <c r="D25" i="2"/>
  <c r="D28" i="2"/>
  <c r="D29" i="2"/>
  <c r="D30" i="2"/>
  <c r="D31" i="2"/>
  <c r="E24" i="2"/>
  <c r="I442" i="1"/>
  <c r="I444" i="1"/>
  <c r="C25" i="2"/>
  <c r="E25" i="2"/>
  <c r="E28" i="2"/>
  <c r="E29" i="2"/>
  <c r="E30" i="2"/>
  <c r="E31" i="2"/>
  <c r="C26" i="2"/>
  <c r="C27" i="2"/>
  <c r="C28" i="2"/>
  <c r="C29" i="2"/>
  <c r="C30" i="2"/>
  <c r="C31" i="2"/>
  <c r="I443" i="1"/>
  <c r="J32" i="1"/>
  <c r="G31" i="2"/>
  <c r="C34" i="2"/>
  <c r="C42" i="2" s="1"/>
  <c r="C43" i="2" s="1"/>
  <c r="D34" i="2"/>
  <c r="E34" i="2"/>
  <c r="F34" i="2"/>
  <c r="C35" i="2"/>
  <c r="D35" i="2"/>
  <c r="E35" i="2"/>
  <c r="E42" i="2" s="1"/>
  <c r="E43" i="2" s="1"/>
  <c r="F35" i="2"/>
  <c r="F42" i="2" s="1"/>
  <c r="C36" i="2"/>
  <c r="D36" i="2"/>
  <c r="E36" i="2"/>
  <c r="F36" i="2"/>
  <c r="I446" i="1"/>
  <c r="J37" i="1" s="1"/>
  <c r="C37" i="2"/>
  <c r="D37" i="2"/>
  <c r="E37" i="2"/>
  <c r="F37" i="2"/>
  <c r="F38" i="2"/>
  <c r="F40" i="2"/>
  <c r="F41" i="2"/>
  <c r="I447" i="1"/>
  <c r="J38" i="1" s="1"/>
  <c r="G37" i="2" s="1"/>
  <c r="C38" i="2"/>
  <c r="D38" i="2"/>
  <c r="E38" i="2"/>
  <c r="I448" i="1"/>
  <c r="I450" i="1" s="1"/>
  <c r="J40" i="1"/>
  <c r="G39" i="2" s="1"/>
  <c r="C40" i="2"/>
  <c r="D40" i="2"/>
  <c r="E40" i="2"/>
  <c r="I449" i="1"/>
  <c r="J41" i="1" s="1"/>
  <c r="G40" i="2" s="1"/>
  <c r="C41" i="2"/>
  <c r="D41" i="2"/>
  <c r="D42" i="2" s="1"/>
  <c r="D43" i="2" s="1"/>
  <c r="E41" i="2"/>
  <c r="F48" i="2"/>
  <c r="C50" i="2"/>
  <c r="C51" i="2"/>
  <c r="D51" i="2"/>
  <c r="D54" i="2" s="1"/>
  <c r="F51" i="2"/>
  <c r="D52" i="2"/>
  <c r="C53" i="2"/>
  <c r="D53" i="2"/>
  <c r="F53" i="2"/>
  <c r="C58" i="2"/>
  <c r="C62" i="2" s="1"/>
  <c r="C59" i="2"/>
  <c r="C61" i="2"/>
  <c r="D61" i="2"/>
  <c r="D62" i="2"/>
  <c r="E61" i="2"/>
  <c r="E62" i="2" s="1"/>
  <c r="F61" i="2"/>
  <c r="F62" i="2" s="1"/>
  <c r="G61" i="2"/>
  <c r="G62" i="2"/>
  <c r="F64" i="2"/>
  <c r="F70" i="2" s="1"/>
  <c r="F73" i="2" s="1"/>
  <c r="F65" i="2"/>
  <c r="F68" i="2"/>
  <c r="F69" i="2"/>
  <c r="C64" i="2"/>
  <c r="C65" i="2"/>
  <c r="C66" i="2"/>
  <c r="C67" i="2"/>
  <c r="C68" i="2"/>
  <c r="C69" i="2"/>
  <c r="C70" i="2"/>
  <c r="C73" i="2" s="1"/>
  <c r="E68" i="2"/>
  <c r="E70" i="2" s="1"/>
  <c r="E73" i="2" s="1"/>
  <c r="D69" i="2"/>
  <c r="D70" i="2"/>
  <c r="D71" i="2"/>
  <c r="D73" i="2"/>
  <c r="E69" i="2"/>
  <c r="G69" i="2"/>
  <c r="G70" i="2" s="1"/>
  <c r="G73" i="2" s="1"/>
  <c r="C71" i="2"/>
  <c r="E71" i="2"/>
  <c r="C72" i="2"/>
  <c r="E72" i="2"/>
  <c r="C77" i="2"/>
  <c r="D80" i="2"/>
  <c r="D81" i="2"/>
  <c r="E77" i="2"/>
  <c r="C79" i="2"/>
  <c r="E79" i="2"/>
  <c r="F79" i="2"/>
  <c r="C80" i="2"/>
  <c r="C81" i="2"/>
  <c r="C82" i="2"/>
  <c r="C83" i="2"/>
  <c r="E80" i="2"/>
  <c r="F80" i="2"/>
  <c r="E81" i="2"/>
  <c r="F81" i="2"/>
  <c r="C85" i="2"/>
  <c r="F85" i="2"/>
  <c r="F86" i="2"/>
  <c r="F88" i="2"/>
  <c r="F89" i="2"/>
  <c r="F91" i="2"/>
  <c r="F92" i="2"/>
  <c r="F95" i="2" s="1"/>
  <c r="F93" i="2"/>
  <c r="F94" i="2"/>
  <c r="C86" i="2"/>
  <c r="D88" i="2"/>
  <c r="E88" i="2"/>
  <c r="E89" i="2"/>
  <c r="E90" i="2"/>
  <c r="E91" i="2"/>
  <c r="E92" i="2"/>
  <c r="E93" i="2"/>
  <c r="E94" i="2"/>
  <c r="E95" i="2"/>
  <c r="G88" i="2"/>
  <c r="C89" i="2"/>
  <c r="D89" i="2"/>
  <c r="G89" i="2"/>
  <c r="G95" i="2" s="1"/>
  <c r="C90" i="2"/>
  <c r="D90" i="2"/>
  <c r="G90" i="2"/>
  <c r="C91" i="2"/>
  <c r="D91" i="2"/>
  <c r="C92" i="2"/>
  <c r="D92" i="2"/>
  <c r="C93" i="2"/>
  <c r="C95" i="2" s="1"/>
  <c r="D93" i="2"/>
  <c r="C94" i="2"/>
  <c r="D94" i="2"/>
  <c r="C103" i="2"/>
  <c r="E104" i="2"/>
  <c r="C105" i="2"/>
  <c r="D107" i="2"/>
  <c r="F107" i="2"/>
  <c r="G107" i="2"/>
  <c r="G137" i="2" s="1"/>
  <c r="E116" i="2"/>
  <c r="C117" i="2"/>
  <c r="F120" i="2"/>
  <c r="G120" i="2"/>
  <c r="C122" i="2"/>
  <c r="D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G149" i="2" s="1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G152" i="2" s="1"/>
  <c r="C152" i="2"/>
  <c r="D152" i="2"/>
  <c r="E152" i="2"/>
  <c r="F152" i="2"/>
  <c r="F490" i="1"/>
  <c r="B153" i="2"/>
  <c r="G490" i="1"/>
  <c r="K490" i="1"/>
  <c r="C153" i="2"/>
  <c r="E153" i="2"/>
  <c r="F153" i="2"/>
  <c r="H490" i="1"/>
  <c r="D153" i="2" s="1"/>
  <c r="I490" i="1"/>
  <c r="J490" i="1"/>
  <c r="B154" i="2"/>
  <c r="C154" i="2"/>
  <c r="D154" i="2"/>
  <c r="E154" i="2"/>
  <c r="G154" i="2" s="1"/>
  <c r="F154" i="2"/>
  <c r="B155" i="2"/>
  <c r="C155" i="2"/>
  <c r="G155" i="2" s="1"/>
  <c r="D155" i="2"/>
  <c r="E155" i="2"/>
  <c r="F155" i="2"/>
  <c r="F493" i="1"/>
  <c r="B156" i="2" s="1"/>
  <c r="G156" i="2" s="1"/>
  <c r="E156" i="2"/>
  <c r="F156" i="2"/>
  <c r="G493" i="1"/>
  <c r="C156" i="2" s="1"/>
  <c r="H493" i="1"/>
  <c r="D156" i="2" s="1"/>
  <c r="I493" i="1"/>
  <c r="J493" i="1"/>
  <c r="F19" i="1"/>
  <c r="G607" i="1" s="1"/>
  <c r="G19" i="1"/>
  <c r="G608" i="1"/>
  <c r="H19" i="1"/>
  <c r="G609" i="1"/>
  <c r="J609" i="1" s="1"/>
  <c r="I19" i="1"/>
  <c r="G610" i="1" s="1"/>
  <c r="J610" i="1" s="1"/>
  <c r="F33" i="1"/>
  <c r="G33" i="1"/>
  <c r="H33" i="1"/>
  <c r="I33" i="1"/>
  <c r="F43" i="1"/>
  <c r="F44" i="1" s="1"/>
  <c r="H607" i="1" s="1"/>
  <c r="G43" i="1"/>
  <c r="H43" i="1"/>
  <c r="G614" i="1"/>
  <c r="I43" i="1"/>
  <c r="G615" i="1" s="1"/>
  <c r="I44" i="1"/>
  <c r="H610" i="1" s="1"/>
  <c r="G44" i="1"/>
  <c r="H608" i="1" s="1"/>
  <c r="J608" i="1" s="1"/>
  <c r="F169" i="1"/>
  <c r="I169" i="1"/>
  <c r="F175" i="1"/>
  <c r="G175" i="1"/>
  <c r="H175" i="1"/>
  <c r="I175" i="1"/>
  <c r="J175" i="1"/>
  <c r="J184" i="1" s="1"/>
  <c r="F180" i="1"/>
  <c r="G180" i="1"/>
  <c r="H180" i="1"/>
  <c r="H184" i="1" s="1"/>
  <c r="I180" i="1"/>
  <c r="G184" i="1"/>
  <c r="F203" i="1"/>
  <c r="F249" i="1" s="1"/>
  <c r="F263" i="1" s="1"/>
  <c r="G203" i="1"/>
  <c r="H203" i="1"/>
  <c r="I203" i="1"/>
  <c r="I249" i="1" s="1"/>
  <c r="I263" i="1" s="1"/>
  <c r="J203" i="1"/>
  <c r="J249" i="1" s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I330" i="1"/>
  <c r="I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L405" i="1"/>
  <c r="L411" i="1" s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F438" i="1"/>
  <c r="G629" i="1" s="1"/>
  <c r="J629" i="1" s="1"/>
  <c r="G438" i="1"/>
  <c r="G630" i="1" s="1"/>
  <c r="J630" i="1" s="1"/>
  <c r="H438" i="1"/>
  <c r="G631" i="1" s="1"/>
  <c r="J631" i="1" s="1"/>
  <c r="F444" i="1"/>
  <c r="G444" i="1"/>
  <c r="G451" i="1" s="1"/>
  <c r="H630" i="1" s="1"/>
  <c r="H444" i="1"/>
  <c r="F450" i="1"/>
  <c r="G450" i="1"/>
  <c r="H450" i="1"/>
  <c r="F451" i="1"/>
  <c r="H629" i="1"/>
  <c r="H451" i="1"/>
  <c r="H631" i="1" s="1"/>
  <c r="F460" i="1"/>
  <c r="G460" i="1"/>
  <c r="G466" i="1" s="1"/>
  <c r="H613" i="1" s="1"/>
  <c r="H460" i="1"/>
  <c r="I460" i="1"/>
  <c r="J460" i="1"/>
  <c r="F464" i="1"/>
  <c r="F466" i="1"/>
  <c r="H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/>
  <c r="I588" i="1"/>
  <c r="J588" i="1"/>
  <c r="H641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2" i="1"/>
  <c r="G613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G634" i="1"/>
  <c r="H635" i="1"/>
  <c r="H640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 s="1"/>
  <c r="A40" i="12"/>
  <c r="B13" i="12"/>
  <c r="A13" i="12" s="1"/>
  <c r="K595" i="1"/>
  <c r="G638" i="1" s="1"/>
  <c r="L519" i="1"/>
  <c r="F535" i="1"/>
  <c r="I535" i="1"/>
  <c r="H535" i="1"/>
  <c r="L529" i="1"/>
  <c r="J466" i="1"/>
  <c r="H616" i="1" s="1"/>
  <c r="H400" i="1"/>
  <c r="H634" i="1"/>
  <c r="J634" i="1" s="1"/>
  <c r="G249" i="1"/>
  <c r="G263" i="1" s="1"/>
  <c r="D14" i="13"/>
  <c r="C14" i="13" s="1"/>
  <c r="D95" i="2"/>
  <c r="F184" i="1"/>
  <c r="H161" i="1"/>
  <c r="E83" i="2"/>
  <c r="C49" i="2"/>
  <c r="C54" i="2"/>
  <c r="H44" i="1"/>
  <c r="H609" i="1" s="1"/>
  <c r="J561" i="1"/>
  <c r="E135" i="2"/>
  <c r="C26" i="10"/>
  <c r="H653" i="1"/>
  <c r="G535" i="1"/>
  <c r="E102" i="2"/>
  <c r="H466" i="1"/>
  <c r="H614" i="1"/>
  <c r="J614" i="1" s="1"/>
  <c r="K493" i="1"/>
  <c r="H330" i="1"/>
  <c r="H344" i="1"/>
  <c r="I184" i="1"/>
  <c r="J25" i="1"/>
  <c r="G24" i="2" s="1"/>
  <c r="C12" i="10"/>
  <c r="E103" i="2"/>
  <c r="C110" i="2"/>
  <c r="F561" i="1"/>
  <c r="E124" i="2"/>
  <c r="G640" i="1"/>
  <c r="J640" i="1"/>
  <c r="C18" i="10"/>
  <c r="C113" i="2"/>
  <c r="F54" i="2"/>
  <c r="F55" i="2"/>
  <c r="C20" i="10"/>
  <c r="E8" i="13"/>
  <c r="C8" i="13" s="1"/>
  <c r="C13" i="10"/>
  <c r="D48" i="2"/>
  <c r="C32" i="10"/>
  <c r="J132" i="1"/>
  <c r="E101" i="2"/>
  <c r="D29" i="13"/>
  <c r="C29" i="13"/>
  <c r="G651" i="1"/>
  <c r="L354" i="1"/>
  <c r="C27" i="10" s="1"/>
  <c r="H651" i="1"/>
  <c r="D119" i="2"/>
  <c r="D120" i="2"/>
  <c r="D137" i="2" s="1"/>
  <c r="E13" i="13"/>
  <c r="C13" i="13" s="1"/>
  <c r="G662" i="1" l="1"/>
  <c r="G657" i="1"/>
  <c r="J613" i="1"/>
  <c r="J637" i="1"/>
  <c r="J615" i="1"/>
  <c r="D55" i="2"/>
  <c r="D96" i="2" s="1"/>
  <c r="J612" i="1"/>
  <c r="G153" i="2"/>
  <c r="G9" i="2"/>
  <c r="G19" i="2" s="1"/>
  <c r="J19" i="1"/>
  <c r="G611" i="1" s="1"/>
  <c r="K540" i="1"/>
  <c r="J43" i="1"/>
  <c r="G36" i="2"/>
  <c r="G42" i="2" s="1"/>
  <c r="J607" i="1"/>
  <c r="J632" i="1"/>
  <c r="C38" i="10"/>
  <c r="F33" i="13"/>
  <c r="I451" i="1"/>
  <c r="H632" i="1" s="1"/>
  <c r="K539" i="1"/>
  <c r="K542" i="1" s="1"/>
  <c r="F542" i="1"/>
  <c r="F43" i="2"/>
  <c r="I185" i="1"/>
  <c r="G620" i="1" s="1"/>
  <c r="J620" i="1" s="1"/>
  <c r="J185" i="1"/>
  <c r="I652" i="1"/>
  <c r="J263" i="1"/>
  <c r="H638" i="1"/>
  <c r="J638" i="1" s="1"/>
  <c r="F137" i="2"/>
  <c r="H185" i="1"/>
  <c r="G619" i="1" s="1"/>
  <c r="J619" i="1" s="1"/>
  <c r="L561" i="1"/>
  <c r="G22" i="2"/>
  <c r="G32" i="2" s="1"/>
  <c r="J33" i="1"/>
  <c r="D31" i="13"/>
  <c r="C31" i="13" s="1"/>
  <c r="L426" i="1"/>
  <c r="G628" i="1" s="1"/>
  <c r="J628" i="1" s="1"/>
  <c r="J542" i="1"/>
  <c r="C96" i="2"/>
  <c r="C130" i="2"/>
  <c r="C133" i="2" s="1"/>
  <c r="L400" i="1"/>
  <c r="C21" i="10"/>
  <c r="D6" i="13"/>
  <c r="C6" i="13" s="1"/>
  <c r="E33" i="13"/>
  <c r="D35" i="13" s="1"/>
  <c r="E122" i="2"/>
  <c r="E136" i="2" s="1"/>
  <c r="E137" i="2" s="1"/>
  <c r="H637" i="1"/>
  <c r="F104" i="1"/>
  <c r="F185" i="1" s="1"/>
  <c r="G617" i="1" s="1"/>
  <c r="J617" i="1" s="1"/>
  <c r="C10" i="10"/>
  <c r="G641" i="1"/>
  <c r="J641" i="1" s="1"/>
  <c r="G635" i="1"/>
  <c r="J635" i="1" s="1"/>
  <c r="D15" i="13"/>
  <c r="C15" i="13" s="1"/>
  <c r="L239" i="1"/>
  <c r="H650" i="1" s="1"/>
  <c r="H654" i="1" s="1"/>
  <c r="C19" i="10"/>
  <c r="J330" i="1"/>
  <c r="J344" i="1" s="1"/>
  <c r="C106" i="2"/>
  <c r="C116" i="2"/>
  <c r="C120" i="2" s="1"/>
  <c r="G161" i="1"/>
  <c r="C39" i="10" s="1"/>
  <c r="E111" i="2"/>
  <c r="E120" i="2" s="1"/>
  <c r="D18" i="13"/>
  <c r="C18" i="13" s="1"/>
  <c r="F122" i="2"/>
  <c r="F136" i="2" s="1"/>
  <c r="H25" i="13"/>
  <c r="E48" i="2"/>
  <c r="E55" i="2" s="1"/>
  <c r="E96" i="2" s="1"/>
  <c r="C35" i="10"/>
  <c r="F77" i="2"/>
  <c r="F83" i="2" s="1"/>
  <c r="F96" i="2" s="1"/>
  <c r="L203" i="1"/>
  <c r="C16" i="10"/>
  <c r="C17" i="10"/>
  <c r="L524" i="1"/>
  <c r="L535" i="1" s="1"/>
  <c r="L329" i="1"/>
  <c r="L330" i="1" s="1"/>
  <c r="L344" i="1" s="1"/>
  <c r="G623" i="1" s="1"/>
  <c r="J623" i="1" s="1"/>
  <c r="G625" i="1"/>
  <c r="J625" i="1" s="1"/>
  <c r="L534" i="1"/>
  <c r="G639" i="1"/>
  <c r="J639" i="1" s="1"/>
  <c r="G48" i="2"/>
  <c r="G55" i="2" s="1"/>
  <c r="G96" i="2" s="1"/>
  <c r="D5" i="13"/>
  <c r="C102" i="2"/>
  <c r="C107" i="2" s="1"/>
  <c r="G185" i="1" l="1"/>
  <c r="G618" i="1" s="1"/>
  <c r="J618" i="1" s="1"/>
  <c r="D16" i="10"/>
  <c r="D21" i="10"/>
  <c r="G636" i="1"/>
  <c r="G621" i="1"/>
  <c r="J621" i="1" s="1"/>
  <c r="L249" i="1"/>
  <c r="L263" i="1" s="1"/>
  <c r="G622" i="1" s="1"/>
  <c r="J622" i="1" s="1"/>
  <c r="F650" i="1"/>
  <c r="H636" i="1"/>
  <c r="G627" i="1"/>
  <c r="J627" i="1" s="1"/>
  <c r="G43" i="2"/>
  <c r="C136" i="2"/>
  <c r="C137" i="2" s="1"/>
  <c r="H662" i="1"/>
  <c r="H657" i="1"/>
  <c r="G616" i="1"/>
  <c r="J44" i="1"/>
  <c r="H611" i="1" s="1"/>
  <c r="J611" i="1" s="1"/>
  <c r="C36" i="10"/>
  <c r="C28" i="10"/>
  <c r="D19" i="10" s="1"/>
  <c r="D10" i="10"/>
  <c r="C5" i="13"/>
  <c r="D33" i="13"/>
  <c r="D36" i="13" s="1"/>
  <c r="H33" i="13"/>
  <c r="C25" i="13"/>
  <c r="I650" i="1" l="1"/>
  <c r="I654" i="1" s="1"/>
  <c r="F654" i="1"/>
  <c r="C30" i="10"/>
  <c r="D23" i="10"/>
  <c r="D26" i="10"/>
  <c r="D22" i="10"/>
  <c r="D12" i="10"/>
  <c r="D25" i="10"/>
  <c r="D11" i="10"/>
  <c r="D28" i="10" s="1"/>
  <c r="D18" i="10"/>
  <c r="D24" i="10"/>
  <c r="D15" i="10"/>
  <c r="D27" i="10"/>
  <c r="D13" i="10"/>
  <c r="D20" i="10"/>
  <c r="C41" i="10"/>
  <c r="J616" i="1"/>
  <c r="H646" i="1"/>
  <c r="J636" i="1"/>
  <c r="D17" i="10"/>
  <c r="D40" i="10" l="1"/>
  <c r="D37" i="10"/>
  <c r="D39" i="10"/>
  <c r="D38" i="10"/>
  <c r="D35" i="10"/>
  <c r="D36" i="10"/>
  <c r="F662" i="1"/>
  <c r="C4" i="10" s="1"/>
  <c r="F657" i="1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13BD6FA-C4DD-42FB-A7D9-71CDD97E205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FD3CB26-168A-4DAB-8045-FC8CEB28B61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F57E45A-B8C1-4CA4-B3CB-89CFB6939DF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0E99B15-264C-4E35-B533-CADF9D2F59B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F51D845-205B-4AA0-85A6-C3535FFE602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A9E501C-003E-4F59-BA2C-AF098FE760F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9164AE9-F2F0-48EC-9C47-5FB41FA0DF7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4DCD598-BA65-4A1D-AC29-4DE7F2D44B5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E6862C4-91C9-453E-BEEE-4110E93350D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3FE37E6-9B53-4E02-A271-EB781D5B55C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17A0978-70EC-4EB7-87F8-68778CB3CC7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3447A81-9A70-48C7-880A-736ACAD0293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<sst xmlns="http://schemas.openxmlformats.org/spreadsheetml/2006/main" count="3859" uniqueCount="896">
  <si>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</si>
  <si>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</si>
  <si>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</si>
  <si>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</si>
  <si>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</si>
  <si>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</si>
  <si>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</si>
  <si>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</si>
  <si>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</si>
  <si>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</si>
  <si>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</si>
  <si>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</si>
  <si>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</si>
  <si>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</si>
  <si>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</si>
  <si>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</si>
  <si>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</si>
  <si>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</si>
  <si>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</si>
  <si>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</si>
  <si>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</si>
  <si>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</si>
  <si>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</si>
  <si>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</si>
  <si>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</si>
  <si>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</si>
  <si>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</si>
  <si>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</si>
  <si>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</si>
  <si>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</si>
  <si>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</si>
  <si>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</si>
  <si>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</si>
  <si>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</si>
  <si>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</si>
  <si>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</si>
  <si>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</si>
  <si>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</si>
  <si>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</si>
  <si>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</si>
  <si>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</si>
  <si>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</si>
  <si>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</si>
  <si>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</si>
  <si>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</si>
  <si>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</si>
  <si>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</si>
  <si>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</si>
  <si>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</si>
  <si>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</si>
  <si>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</si>
  <si>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</si>
  <si>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</si>
  <si>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</si>
  <si>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</si>
  <si>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</si>
  <si>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</si>
  <si>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</si>
  <si>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</si>
  <si>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</si>
  <si>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</si>
  <si>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</si>
  <si>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</si>
  <si>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</si>
  <si>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</si>
  <si>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</si>
  <si>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</si>
  <si>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</si>
  <si>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</si>
  <si>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</si>
  <si>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</si>
  <si>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</si>
  <si>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</si>
  <si>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</si>
  <si>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</si>
  <si>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</si>
  <si>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</si>
  <si>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</si>
  <si>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</si>
  <si>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</si>
  <si>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</si>
  <si>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</si>
  <si>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</si>
  <si>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</si>
  <si>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</si>
  <si>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</si>
  <si>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</si>
  <si>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</si>
  <si>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</si>
  <si>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</si>
  <si>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</si>
  <si>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</si>
  <si>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</si>
  <si>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</si>
  <si>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</si>
  <si>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</si>
  <si>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</si>
  <si>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</si>
  <si>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</si>
  <si>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</si>
  <si>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</si>
  <si>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</si>
  <si>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</si>
  <si>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</si>
  <si>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</si>
  <si>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</si>
  <si>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</si>
  <si>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</si>
  <si>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</si>
  <si>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</si>
  <si>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</si>
  <si>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</si>
  <si>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</si>
  <si>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</si>
  <si>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</si>
  <si>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</si>
  <si>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</si>
  <si>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</si>
  <si>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</si>
  <si>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</si>
  <si>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</si>
  <si>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</si>
  <si>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</si>
  <si>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</si>
  <si>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</si>
  <si>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</si>
  <si>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</si>
  <si>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</si>
  <si>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</si>
  <si>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</si>
  <si>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</si>
  <si>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</si>
  <si>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</si>
  <si>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</si>
  <si>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</si>
  <si>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</si>
  <si>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</si>
  <si>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</si>
  <si>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</si>
  <si>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</si>
  <si>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</si>
  <si>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</si>
  <si>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</si>
  <si>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</si>
  <si>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</si>
  <si>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</si>
  <si>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</si>
  <si>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</si>
  <si>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</si>
  <si>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</si>
  <si>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</si>
  <si>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</si>
  <si>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</si>
  <si>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</si>
  <si>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</si>
  <si>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</si>
  <si>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</si>
  <si>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</si>
  <si>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</si>
  <si>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</si>
  <si>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</si>
  <si>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</si>
  <si>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</si>
  <si>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</si>
  <si>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</si>
  <si>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</si>
  <si>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</si>
  <si>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</si>
  <si>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</si>
  <si>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</si>
  <si>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</si>
  <si>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</si>
  <si>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</si>
  <si>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</si>
  <si>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</si>
  <si>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</si>
  <si>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</si>
  <si>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</si>
  <si>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</si>
  <si>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</si>
  <si>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</si>
  <si>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</si>
  <si>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</si>
  <si>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</si>
  <si>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</si>
  <si>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</si>
  <si>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</si>
  <si>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</si>
  <si>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</si>
  <si>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</si>
  <si>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</si>
  <si>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</si>
  <si>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</si>
  <si>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</si>
  <si>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</si>
  <si>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</si>
  <si>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</si>
  <si>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</si>
  <si>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</si>
  <si>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</si>
  <si>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</si>
  <si>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</si>
  <si>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</si>
  <si>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</si>
  <si>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</si>
  <si>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</si>
  <si>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</si>
  <si>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</si>
  <si>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</si>
  <si>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</si>
  <si>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</si>
  <si>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</si>
  <si>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</si>
  <si>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</si>
  <si>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</si>
  <si>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</si>
  <si>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</si>
  <si>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</si>
  <si>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</si>
  <si>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</si>
  <si>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</si>
  <si>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</si>
  <si>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</si>
  <si>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</si>
  <si>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</si>
  <si>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</si>
  <si>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</si>
  <si>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</si>
  <si>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</si>
  <si>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</si>
  <si>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</si>
  <si>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</si>
  <si>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</si>
  <si>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</si>
  <si>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</si>
  <si>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</si>
  <si>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</si>
  <si>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</si>
  <si>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</si>
  <si>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</si>
  <si>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</si>
  <si>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</si>
  <si>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</si>
  <si>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</si>
  <si>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</si>
  <si>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</si>
  <si>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</si>
  <si>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</si>
  <si>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</si>
  <si>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</si>
  <si>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</si>
  <si>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</si>
  <si>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</si>
  <si>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</si>
  <si>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</si>
  <si>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</si>
  <si>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</si>
  <si>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</si>
  <si>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</si>
  <si>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</si>
  <si>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</si>
  <si>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</si>
  <si>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</si>
  <si>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</si>
  <si>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</si>
  <si>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</si>
  <si>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</si>
  <si>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</si>
  <si>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</si>
  <si>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</si>
  <si>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</si>
  <si>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</si>
  <si>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</si>
  <si>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</si>
  <si>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</si>
  <si>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</si>
  <si>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</si>
  <si>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</si>
  <si>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</si>
  <si>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</si>
  <si>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</si>
  <si>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</si>
  <si>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</si>
  <si>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</si>
  <si>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</si>
  <si>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</si>
  <si>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</si>
  <si>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</si>
  <si>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</si>
  <si>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</si>
  <si>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</si>
  <si>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</si>
  <si>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</si>
  <si>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</si>
  <si>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</si>
  <si>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</si>
  <si>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</si>
  <si>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</si>
  <si>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</si>
  <si>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</si>
  <si>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</si>
  <si>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</si>
  <si>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</si>
  <si>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</si>
  <si>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</si>
  <si>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</si>
  <si>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</si>
  <si>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</si>
  <si>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</si>
  <si>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</si>
  <si>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</si>
  <si>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</si>
  <si>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</si>
  <si>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</si>
  <si>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</si>
  <si>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</si>
  <si>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</si>
  <si>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</si>
  <si>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</si>
  <si>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</si>
  <si>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</si>
  <si>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</si>
  <si>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</si>
  <si>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</si>
  <si>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</si>
  <si>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</si>
  <si>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</si>
  <si>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</si>
  <si>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</si>
  <si>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</si>
  <si>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</si>
  <si>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</si>
  <si>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</si>
  <si>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</si>
  <si>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</si>
  <si>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</si>
  <si>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</si>
  <si>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</si>
  <si>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</si>
  <si>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</si>
  <si>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</si>
  <si>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</si>
  <si>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</si>
  <si>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</si>
  <si>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</si>
  <si>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</si>
  <si>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</si>
  <si>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</si>
  <si>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</si>
  <si>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</si>
  <si>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</si>
  <si>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</si>
  <si>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</si>
  <si>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</si>
  <si>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</si>
  <si>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</si>
  <si>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</si>
  <si>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</si>
  <si>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</si>
  <si>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</si>
  <si>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</si>
  <si>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</si>
  <si>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</si>
  <si>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</si>
  <si>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</si>
  <si>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</si>
  <si>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</si>
  <si>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</si>
  <si>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</si>
  <si>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</si>
  <si>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</si>
  <si>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</si>
  <si>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</si>
  <si>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</si>
  <si>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</si>
  <si>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</si>
  <si>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</si>
  <si>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</si>
  <si>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</si>
  <si>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</si>
  <si>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</si>
  <si>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</si>
  <si>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</si>
  <si>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</si>
  <si>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</si>
  <si>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</si>
  <si>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</si>
  <si>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</si>
  <si>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</si>
  <si>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</si>
  <si>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</si>
  <si>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</si>
  <si>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</si>
  <si>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</si>
  <si>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</si>
  <si>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</si>
  <si>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</si>
  <si>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</si>
  <si>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</si>
  <si>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</si>
  <si>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</si>
  <si>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</si>
  <si>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</si>
  <si>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</si>
  <si>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</si>
  <si>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</si>
  <si>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</si>
  <si>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</si>
  <si>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</si>
  <si>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</si>
  <si>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</si>
  <si>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</si>
  <si>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</si>
  <si>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</si>
  <si>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</si>
  <si>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</si>
  <si>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</si>
  <si>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</si>
  <si>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</si>
  <si>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</si>
  <si>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</si>
  <si>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</si>
  <si>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</si>
  <si>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</si>
  <si>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</si>
  <si>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</si>
  <si>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</si>
  <si>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</si>
  <si>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</si>
  <si>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</si>
  <si>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</si>
  <si>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</si>
  <si>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</si>
  <si>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</si>
  <si>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</si>
  <si>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</si>
  <si>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</si>
  <si>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</si>
  <si>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</si>
  <si>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</si>
  <si>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</si>
  <si>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</si>
  <si>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</si>
  <si>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</si>
  <si>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</si>
  <si>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</si>
  <si>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</si>
  <si>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</si>
  <si>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</si>
  <si>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</si>
  <si>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</si>
  <si>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</si>
  <si>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</si>
  <si>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</si>
  <si>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</si>
  <si>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</si>
  <si>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</si>
  <si>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</si>
  <si>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</si>
  <si>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</si>
  <si>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</si>
  <si>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</si>
  <si>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</si>
  <si>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</si>
  <si>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</si>
  <si>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</si>
  <si>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</si>
  <si>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</si>
  <si>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</si>
  <si>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</si>
  <si>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</si>
  <si>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</si>
  <si>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</si>
  <si>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</si>
  <si>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</si>
  <si>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</si>
  <si>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</si>
  <si>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</si>
  <si>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</si>
  <si>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</si>
  <si>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</si>
  <si>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</si>
  <si>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</si>
  <si>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</si>
  <si>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</si>
  <si>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</si>
  <si>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</si>
  <si>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</si>
  <si>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</si>
  <si>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</si>
  <si>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</si>
  <si>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</si>
  <si>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</si>
  <si>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</si>
  <si>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</si>
  <si>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</si>
  <si>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</si>
  <si>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</si>
  <si>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</si>
  <si>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</si>
  <si>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</si>
  <si>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</si>
  <si>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</si>
  <si>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</si>
  <si>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</si>
  <si>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</si>
  <si>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</si>
  <si>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</si>
  <si>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</si>
  <si>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</si>
  <si>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</si>
  <si>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</si>
  <si>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</si>
  <si>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</si>
  <si>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</si>
  <si>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</si>
  <si>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</si>
  <si>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</si>
  <si>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</si>
  <si>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</si>
  <si>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</si>
  <si>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</si>
  <si>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</si>
  <si>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</si>
  <si>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</si>
  <si>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</si>
  <si>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</si>
  <si>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</si>
  <si>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</si>
  <si>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</si>
  <si>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</si>
  <si>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</si>
  <si>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</si>
  <si>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</si>
  <si>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</si>
  <si>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</si>
  <si>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</si>
  <si>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</si>
  <si>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</si>
  <si>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</si>
  <si>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</si>
  <si>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</si>
  <si>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</si>
  <si>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</si>
  <si>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</si>
  <si>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</si>
  <si>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</si>
  <si>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</si>
  <si>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</si>
  <si>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</si>
  <si>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</si>
  <si>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</si>
  <si>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</si>
  <si>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</si>
  <si>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</si>
  <si>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</si>
  <si>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</si>
  <si>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</si>
  <si>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</si>
  <si>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</si>
  <si>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</si>
  <si>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</si>
  <si>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</si>
  <si>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</si>
  <si>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</si>
  <si>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</si>
  <si>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</si>
  <si>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</si>
  <si>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</si>
  <si>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</si>
  <si>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</si>
  <si>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</si>
  <si>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</si>
  <si>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</si>
  <si>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</si>
  <si>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</si>
  <si>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</si>
  <si>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</si>
  <si>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</si>
  <si>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</si>
  <si>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</si>
  <si>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</si>
  <si>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</si>
  <si>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</si>
  <si>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</si>
  <si>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</si>
  <si>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</si>
  <si>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</si>
  <si>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</si>
  <si>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</si>
  <si>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</si>
  <si>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</si>
  <si>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</si>
  <si>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</si>
  <si>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</si>
  <si>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</si>
  <si>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</si>
  <si>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</si>
  <si>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</si>
  <si>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</si>
  <si>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</si>
  <si>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</si>
  <si>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</si>
  <si>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</si>
  <si>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</si>
  <si>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</si>
  <si>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</si>
  <si>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</si>
  <si>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</si>
  <si>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</si>
  <si>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</si>
  <si>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</si>
  <si>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</si>
  <si>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</si>
  <si>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</si>
  <si>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</si>
  <si>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</si>
  <si>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</si>
  <si>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</si>
  <si>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</si>
  <si>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</si>
  <si>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</si>
  <si>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</si>
  <si>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</si>
  <si>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</si>
  <si>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</si>
  <si>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</si>
  <si>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</si>
  <si>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</si>
  <si>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</si>
  <si>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</si>
  <si>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</si>
  <si>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</si>
  <si>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</si>
  <si>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</si>
  <si>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</si>
  <si>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</si>
  <si>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</si>
  <si>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</si>
  <si>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</si>
  <si>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</si>
  <si>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</si>
  <si>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</si>
  <si>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</si>
  <si>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</si>
  <si>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</si>
  <si>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</si>
  <si>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</si>
  <si>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</si>
  <si>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</si>
  <si>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</si>
  <si>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</si>
  <si>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</si>
  <si>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</si>
  <si>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</si>
  <si>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</si>
  <si>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</si>
  <si>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</si>
  <si>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</si>
  <si>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</si>
  <si>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</si>
  <si>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</si>
  <si>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</si>
  <si>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</si>
  <si>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</si>
  <si>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</si>
  <si>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</si>
  <si>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</si>
  <si>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</si>
  <si>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</si>
  <si>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</si>
  <si>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</si>
  <si>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</si>
  <si>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</si>
  <si>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</si>
  <si>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</si>
  <si>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</si>
  <si>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</si>
  <si>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</si>
  <si>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</si>
  <si>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</si>
  <si>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</si>
  <si>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</si>
  <si>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</si>
  <si>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</si>
  <si>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</si>
  <si>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</si>
  <si>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</si>
  <si>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</si>
  <si>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</si>
  <si>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</si>
  <si>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</si>
  <si>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</si>
  <si>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</si>
  <si>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</si>
  <si>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</si>
  <si>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</si>
  <si>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</si>
  <si>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</si>
  <si>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</si>
  <si>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</si>
  <si>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</si>
  <si>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</si>
  <si>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</si>
  <si>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</si>
  <si>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</si>
  <si>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</si>
  <si>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</si>
  <si>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</si>
  <si>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</si>
  <si>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</si>
  <si>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</si>
  <si>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</si>
  <si>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</si>
  <si>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</si>
  <si>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</si>
  <si>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</si>
  <si>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</si>
  <si>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</si>
  <si>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</si>
  <si>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</si>
  <si>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</si>
  <si>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</si>
  <si>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</si>
  <si>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</si>
  <si>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</si>
  <si>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</si>
  <si>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</si>
  <si>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</si>
  <si>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</si>
  <si>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</si>
  <si>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</si>
  <si>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</si>
  <si>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</si>
  <si>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</si>
  <si>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</si>
  <si>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</si>
  <si>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</si>
  <si>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</si>
  <si>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</si>
  <si>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</si>
  <si>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</si>
  <si>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</si>
  <si>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</si>
  <si>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</si>
  <si>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</si>
  <si>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</si>
  <si>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</si>
  <si>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</si>
  <si>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</si>
  <si>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</si>
  <si>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</si>
  <si>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</si>
  <si>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</si>
  <si>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</si>
  <si>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</si>
  <si>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</si>
  <si>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</si>
  <si>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</si>
  <si>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</si>
  <si>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</si>
  <si>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</si>
  <si>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</si>
  <si>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</si>
  <si>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</si>
  <si>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</si>
  <si>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</si>
  <si>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</si>
  <si>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</si>
  <si>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</si>
  <si>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</si>
  <si>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</si>
  <si>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</si>
  <si>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</si>
  <si>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</si>
  <si>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</si>
  <si>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</si>
  <si>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</si>
  <si>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</si>
  <si>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</si>
  <si>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</si>
  <si>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</si>
  <si>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</si>
  <si>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</si>
  <si>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</si>
  <si>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</si>
  <si>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</si>
  <si>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</si>
  <si>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</si>
  <si>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</si>
  <si>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</si>
  <si>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</si>
  <si>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</si>
  <si>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</si>
  <si>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</si>
  <si>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</si>
  <si>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</si>
  <si>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</si>
  <si>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</si>
  <si>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</si>
  <si>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</si>
  <si>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</si>
  <si>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</si>
  <si>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</si>
  <si>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</si>
  <si>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</si>
  <si>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</si>
  <si>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</si>
  <si>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</si>
  <si>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</si>
  <si>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</si>
  <si>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</si>
  <si>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</si>
  <si>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</si>
  <si>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</si>
  <si>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</si>
  <si>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</si>
  <si>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</si>
  <si>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</si>
  <si>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</si>
  <si>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</si>
  <si>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</si>
  <si>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</si>
  <si>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</si>
  <si>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</si>
  <si>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</si>
  <si>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</si>
  <si>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</si>
  <si>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</si>
  <si>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</si>
  <si>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</si>
  <si>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</si>
  <si>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</si>
  <si>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</si>
  <si>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</si>
  <si>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</si>
  <si>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</si>
  <si>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</si>
  <si>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</si>
  <si>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</si>
  <si>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</si>
  <si>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</si>
  <si>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</si>
  <si>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</si>
  <si>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</si>
  <si>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</si>
  <si>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</si>
  <si>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</si>
  <si>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</si>
  <si>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</si>
  <si>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</si>
  <si>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</si>
  <si>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</si>
  <si>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</si>
  <si>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</si>
  <si>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</si>
  <si>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</si>
  <si>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</si>
  <si>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</si>
  <si>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</si>
  <si>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</si>
  <si>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</si>
  <si>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</si>
  <si>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</si>
  <si>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</si>
  <si>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</si>
  <si>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</si>
  <si>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</si>
  <si>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</si>
  <si>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</si>
  <si>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</si>
  <si>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</si>
  <si>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</si>
  <si>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</si>
  <si>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</si>
  <si>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</si>
  <si>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</si>
  <si>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</si>
  <si>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</si>
  <si>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</si>
  <si>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</si>
  <si>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</si>
  <si>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</si>
  <si>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</si>
  <si>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</si>
  <si>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</si>
  <si>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</si>
  <si>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</si>
  <si>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</si>
  <si>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</si>
  <si>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</si>
  <si>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</si>
  <si>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</si>
  <si>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</si>
  <si>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School Building Verified Actual Received $13066.86  - Differs from State Revenue Listing</t>
  </si>
  <si>
    <t>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</si>
</sst>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245A-B49B-4E2D-B315-211BB9EDDCD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35</v>
      </c>
      <c r="C2" s="21">
        <v>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58751.09+300</f>
        <v>59051.09</v>
      </c>
      <c r="G9" s="18">
        <v>63326.34</v>
      </c>
      <c r="H9" s="18"/>
      <c r="I9" s="18"/>
      <c r="J9" s="67">
        <f>SUM(I431)</f>
        <v>221589.93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156520.85999999999</v>
      </c>
      <c r="G12" s="18">
        <v>21652.12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21462.959999999999</v>
      </c>
      <c r="G13" s="18">
        <v>11539.38</v>
      </c>
      <c r="H13" s="18">
        <v>65913.31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237034.90999999997</v>
      </c>
      <c r="G19" s="41">
        <f>SUM(G9:G18)</f>
        <v>96525.84</v>
      </c>
      <c r="H19" s="41">
        <f>SUM(H9:H18)</f>
        <v>65913.31</v>
      </c>
      <c r="I19" s="41">
        <f>SUM(I9:I18)</f>
        <v>0</v>
      </c>
      <c r="J19" s="41">
        <f>SUM(J9:J18)</f>
        <v>221589.93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96008.04</v>
      </c>
      <c r="H23" s="18">
        <v>60512.82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43501.78</v>
      </c>
      <c r="G25" s="18"/>
      <c r="H25" s="18">
        <v>3594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8245.0300000000007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26563.32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78310.13</v>
      </c>
      <c r="G33" s="41">
        <f>SUM(G23:G32)</f>
        <v>96008.04</v>
      </c>
      <c r="H33" s="41">
        <f>SUM(H23:H32)</f>
        <v>64106.82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517.79999999999995</v>
      </c>
      <c r="H41" s="18">
        <v>1806.49</v>
      </c>
      <c r="I41" s="18"/>
      <c r="J41" s="13">
        <f>SUM(I449)</f>
        <v>221589.93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158724.78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158724.78</v>
      </c>
      <c r="G43" s="41">
        <f>SUM(G35:G42)</f>
        <v>517.79999999999995</v>
      </c>
      <c r="H43" s="41">
        <f>SUM(H35:H42)</f>
        <v>1806.49</v>
      </c>
      <c r="I43" s="41">
        <f>SUM(I35:I42)</f>
        <v>0</v>
      </c>
      <c r="J43" s="41">
        <f>SUM(J35:J42)</f>
        <v>221589.93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237034.91</v>
      </c>
      <c r="G44" s="41">
        <f>G43+G33</f>
        <v>96525.84</v>
      </c>
      <c r="H44" s="41">
        <f>H43+H33</f>
        <v>65913.31</v>
      </c>
      <c r="I44" s="41">
        <f>I43+I33</f>
        <v>0</v>
      </c>
      <c r="J44" s="41">
        <f>J43+J33</f>
        <v>221589.93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4333931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4333931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243418.99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243418.99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1315.95</v>
      </c>
      <c r="G88" s="18">
        <v>30.52</v>
      </c>
      <c r="H88" s="18"/>
      <c r="I88" s="18"/>
      <c r="J88" s="18">
        <v>725.57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82174.69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2547.36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27825.279999999999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5228.2700000000004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36916.86</v>
      </c>
      <c r="G103" s="41">
        <f>SUM(G88:G102)</f>
        <v>82205.210000000006</v>
      </c>
      <c r="H103" s="41">
        <f>SUM(H88:H102)</f>
        <v>0</v>
      </c>
      <c r="I103" s="41">
        <f>SUM(I88:I102)</f>
        <v>0</v>
      </c>
      <c r="J103" s="41">
        <f>SUM(J88:J102)</f>
        <v>725.57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4614266.8500000006</v>
      </c>
      <c r="G104" s="41">
        <f>G52+G103</f>
        <v>82205.210000000006</v>
      </c>
      <c r="H104" s="41">
        <f>H52+H71+H86+H103</f>
        <v>0</v>
      </c>
      <c r="I104" s="41">
        <f>I52+I103</f>
        <v>0</v>
      </c>
      <c r="J104" s="41">
        <f>J52+J103</f>
        <v>725.57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17667.22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2316613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640.78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2334921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13066.86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121704.55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1779.17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134771.41</v>
      </c>
      <c r="G128" s="41">
        <f>SUM(G115:G127)</f>
        <v>1779.17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2469692.41</v>
      </c>
      <c r="G132" s="41">
        <f>G113+SUM(G128:G129)</f>
        <v>1779.17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89335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55796.43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46469.3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73101.149999999994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54207.21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54207.21</v>
      </c>
      <c r="G154" s="41">
        <f>SUM(G142:G153)</f>
        <v>46469.3</v>
      </c>
      <c r="H154" s="41">
        <f>SUM(H142:H153)</f>
        <v>218232.58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20606.68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74813.89</v>
      </c>
      <c r="G161" s="41">
        <f>G139+G154+SUM(G155:G160)</f>
        <v>46469.3</v>
      </c>
      <c r="H161" s="41">
        <f>H139+H154+SUM(H155:H160)</f>
        <v>218232.58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21652.12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21652.12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30000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56850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86850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86850</v>
      </c>
      <c r="G184" s="41">
        <f>G175+SUM(G180:G183)</f>
        <v>21652.12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7245623.1500000004</v>
      </c>
      <c r="G185" s="47">
        <f>G104+G132+G161+G184</f>
        <v>152105.80000000002</v>
      </c>
      <c r="H185" s="47">
        <f>H104+H132+H161+H184</f>
        <v>218232.58</v>
      </c>
      <c r="I185" s="47">
        <f>I104+I132+I161+I184</f>
        <v>0</v>
      </c>
      <c r="J185" s="47">
        <f>J104+J132+J184</f>
        <v>725.57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1476796.61</v>
      </c>
      <c r="G189" s="18">
        <v>552551.26</v>
      </c>
      <c r="H189" s="18">
        <v>19416.490000000002</v>
      </c>
      <c r="I189" s="18">
        <v>45164.19</v>
      </c>
      <c r="J189" s="18">
        <v>15685.89</v>
      </c>
      <c r="K189" s="18"/>
      <c r="L189" s="19">
        <f>SUM(F189:K189)</f>
        <v>2109614.44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400270.93</v>
      </c>
      <c r="G190" s="18">
        <v>280616.13</v>
      </c>
      <c r="H190" s="18">
        <v>128486.27</v>
      </c>
      <c r="I190" s="18">
        <v>495.86</v>
      </c>
      <c r="J190" s="18"/>
      <c r="K190" s="18"/>
      <c r="L190" s="19">
        <f>SUM(F190:K190)</f>
        <v>809869.19000000006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55100</v>
      </c>
      <c r="G192" s="18">
        <v>8269.5300000000007</v>
      </c>
      <c r="H192" s="18">
        <v>30180.2</v>
      </c>
      <c r="I192" s="18">
        <v>3796.71</v>
      </c>
      <c r="J192" s="18">
        <v>2448.7399999999998</v>
      </c>
      <c r="K192" s="18"/>
      <c r="L192" s="19">
        <f>SUM(F192:K192)</f>
        <v>99795.180000000008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247735.59</v>
      </c>
      <c r="G194" s="18">
        <v>128726.82</v>
      </c>
      <c r="H194" s="18">
        <v>14561.97</v>
      </c>
      <c r="I194" s="18">
        <v>727.8</v>
      </c>
      <c r="J194" s="18"/>
      <c r="K194" s="18"/>
      <c r="L194" s="19">
        <f t="shared" ref="L194:L200" si="0">SUM(F194:K194)</f>
        <v>391752.18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65703.75</v>
      </c>
      <c r="G195" s="18">
        <v>46079.38</v>
      </c>
      <c r="H195" s="18">
        <v>15463.72</v>
      </c>
      <c r="I195" s="18">
        <v>7025.17</v>
      </c>
      <c r="J195" s="18"/>
      <c r="K195" s="18"/>
      <c r="L195" s="19">
        <f t="shared" si="0"/>
        <v>134272.02000000002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9316</v>
      </c>
      <c r="G196" s="18">
        <v>712.64</v>
      </c>
      <c r="H196" s="18">
        <v>190429.27</v>
      </c>
      <c r="I196" s="18"/>
      <c r="J196" s="18"/>
      <c r="K196" s="18">
        <v>1967.68</v>
      </c>
      <c r="L196" s="19">
        <f t="shared" si="0"/>
        <v>202425.58999999997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167158.79999999999</v>
      </c>
      <c r="G197" s="18">
        <v>91679.22</v>
      </c>
      <c r="H197" s="18">
        <v>14087.31</v>
      </c>
      <c r="I197" s="18">
        <v>6986.63</v>
      </c>
      <c r="J197" s="18">
        <v>4519.6899999999996</v>
      </c>
      <c r="K197" s="18">
        <v>4156</v>
      </c>
      <c r="L197" s="19">
        <f t="shared" si="0"/>
        <v>288587.65000000002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154226.91</v>
      </c>
      <c r="G199" s="18">
        <v>47810.71</v>
      </c>
      <c r="H199" s="18">
        <v>167964.52</v>
      </c>
      <c r="I199" s="18">
        <v>136751.22</v>
      </c>
      <c r="J199" s="18">
        <v>6311.93</v>
      </c>
      <c r="K199" s="18"/>
      <c r="L199" s="19">
        <f t="shared" si="0"/>
        <v>513065.29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63597.81</v>
      </c>
      <c r="G200" s="18">
        <v>51387.39</v>
      </c>
      <c r="H200" s="18">
        <v>14215.1</v>
      </c>
      <c r="I200" s="18">
        <v>33071.019999999997</v>
      </c>
      <c r="J200" s="18">
        <v>50711.4</v>
      </c>
      <c r="K200" s="18"/>
      <c r="L200" s="19">
        <f t="shared" si="0"/>
        <v>212982.72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64.8</v>
      </c>
      <c r="I201" s="18"/>
      <c r="J201" s="18"/>
      <c r="K201" s="18"/>
      <c r="L201" s="19">
        <f>SUM(F201:K201)</f>
        <v>64.8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2639906.4</v>
      </c>
      <c r="G203" s="41">
        <f t="shared" si="1"/>
        <v>1207833.0799999998</v>
      </c>
      <c r="H203" s="41">
        <f t="shared" si="1"/>
        <v>594869.65</v>
      </c>
      <c r="I203" s="41">
        <f t="shared" si="1"/>
        <v>234018.6</v>
      </c>
      <c r="J203" s="41">
        <f t="shared" si="1"/>
        <v>79677.649999999994</v>
      </c>
      <c r="K203" s="41">
        <f t="shared" si="1"/>
        <v>6123.68</v>
      </c>
      <c r="L203" s="41">
        <f t="shared" si="1"/>
        <v>4762429.0599999996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2091870</v>
      </c>
      <c r="I225" s="18"/>
      <c r="J225" s="18"/>
      <c r="K225" s="18"/>
      <c r="L225" s="19">
        <f>SUM(F225:K225)</f>
        <v>2091870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309092</v>
      </c>
      <c r="I226" s="18"/>
      <c r="J226" s="18"/>
      <c r="K226" s="18"/>
      <c r="L226" s="19">
        <f>SUM(F226:K226)</f>
        <v>309092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4384</v>
      </c>
      <c r="G232" s="18">
        <v>335.36</v>
      </c>
      <c r="H232" s="18">
        <v>89613.77</v>
      </c>
      <c r="I232" s="18"/>
      <c r="J232" s="18"/>
      <c r="K232" s="18">
        <v>925.97</v>
      </c>
      <c r="L232" s="19">
        <f t="shared" si="4"/>
        <v>95259.1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34717.11</v>
      </c>
      <c r="G236" s="18">
        <v>33261.870000000003</v>
      </c>
      <c r="H236" s="18">
        <v>7796.74</v>
      </c>
      <c r="I236" s="18">
        <v>22047.35</v>
      </c>
      <c r="J236" s="18">
        <v>33807.599999999999</v>
      </c>
      <c r="K236" s="18"/>
      <c r="L236" s="19">
        <f t="shared" si="4"/>
        <v>131630.67000000001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43.2</v>
      </c>
      <c r="I237" s="18"/>
      <c r="J237" s="18"/>
      <c r="K237" s="18"/>
      <c r="L237" s="19">
        <f>SUM(F237:K237)</f>
        <v>43.2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39101.11</v>
      </c>
      <c r="G239" s="41">
        <f t="shared" si="5"/>
        <v>33597.230000000003</v>
      </c>
      <c r="H239" s="41">
        <f t="shared" si="5"/>
        <v>2498415.7100000004</v>
      </c>
      <c r="I239" s="41">
        <f t="shared" si="5"/>
        <v>22047.35</v>
      </c>
      <c r="J239" s="41">
        <f t="shared" si="5"/>
        <v>33807.599999999999</v>
      </c>
      <c r="K239" s="41">
        <f t="shared" si="5"/>
        <v>925.97</v>
      </c>
      <c r="L239" s="41">
        <f t="shared" si="5"/>
        <v>2627894.9700000002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2679007.5099999998</v>
      </c>
      <c r="G249" s="41">
        <f t="shared" si="8"/>
        <v>1241430.3099999998</v>
      </c>
      <c r="H249" s="41">
        <f t="shared" si="8"/>
        <v>3093285.3600000003</v>
      </c>
      <c r="I249" s="41">
        <f t="shared" si="8"/>
        <v>256065.95</v>
      </c>
      <c r="J249" s="41">
        <f t="shared" si="8"/>
        <v>113485.25</v>
      </c>
      <c r="K249" s="41">
        <f t="shared" si="8"/>
        <v>7049.6500000000005</v>
      </c>
      <c r="L249" s="41">
        <f t="shared" si="8"/>
        <v>7390324.0299999993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21652.12</v>
      </c>
      <c r="L255" s="19">
        <f>SUM(F255:K255)</f>
        <v>21652.12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21652.12</v>
      </c>
      <c r="L262" s="41">
        <f t="shared" si="9"/>
        <v>21652.12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2679007.5099999998</v>
      </c>
      <c r="G263" s="42">
        <f t="shared" si="11"/>
        <v>1241430.3099999998</v>
      </c>
      <c r="H263" s="42">
        <f t="shared" si="11"/>
        <v>3093285.3600000003</v>
      </c>
      <c r="I263" s="42">
        <f t="shared" si="11"/>
        <v>256065.95</v>
      </c>
      <c r="J263" s="42">
        <f t="shared" si="11"/>
        <v>113485.25</v>
      </c>
      <c r="K263" s="42">
        <f t="shared" si="11"/>
        <v>28701.77</v>
      </c>
      <c r="L263" s="42">
        <f t="shared" si="11"/>
        <v>7411976.1499999994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62012.44</v>
      </c>
      <c r="G268" s="18">
        <v>28210.13</v>
      </c>
      <c r="H268" s="18">
        <v>6589.94</v>
      </c>
      <c r="I268" s="18">
        <v>9391.6</v>
      </c>
      <c r="J268" s="18">
        <v>745.18</v>
      </c>
      <c r="K268" s="18"/>
      <c r="L268" s="19">
        <f>SUM(F268:K268)</f>
        <v>106949.29000000001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16785.5</v>
      </c>
      <c r="G269" s="18">
        <v>8879.2900000000009</v>
      </c>
      <c r="H269" s="18"/>
      <c r="I269" s="18">
        <v>8420.35</v>
      </c>
      <c r="J269" s="18">
        <v>1267.76</v>
      </c>
      <c r="K269" s="18"/>
      <c r="L269" s="19">
        <f>SUM(F269:K269)</f>
        <v>35352.9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4900</v>
      </c>
      <c r="G273" s="18">
        <v>744.35</v>
      </c>
      <c r="H273" s="18">
        <v>32165.4</v>
      </c>
      <c r="I273" s="18"/>
      <c r="J273" s="18"/>
      <c r="K273" s="18"/>
      <c r="L273" s="19">
        <f t="shared" ref="L273:L279" si="12">SUM(F273:K273)</f>
        <v>37809.75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11625</v>
      </c>
      <c r="G274" s="18">
        <v>1765.31</v>
      </c>
      <c r="H274" s="18">
        <v>14664.23</v>
      </c>
      <c r="I274" s="18"/>
      <c r="J274" s="18">
        <v>10067.94</v>
      </c>
      <c r="K274" s="18"/>
      <c r="L274" s="19">
        <f t="shared" si="12"/>
        <v>38122.480000000003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95322.94</v>
      </c>
      <c r="G282" s="42">
        <f t="shared" si="13"/>
        <v>39599.079999999994</v>
      </c>
      <c r="H282" s="42">
        <f t="shared" si="13"/>
        <v>53419.570000000007</v>
      </c>
      <c r="I282" s="42">
        <f t="shared" si="13"/>
        <v>17811.95</v>
      </c>
      <c r="J282" s="42">
        <f t="shared" si="13"/>
        <v>12080.880000000001</v>
      </c>
      <c r="K282" s="42">
        <f t="shared" si="13"/>
        <v>0</v>
      </c>
      <c r="L282" s="41">
        <f t="shared" si="13"/>
        <v>218234.42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95322.94</v>
      </c>
      <c r="G330" s="41">
        <f t="shared" si="20"/>
        <v>39599.079999999994</v>
      </c>
      <c r="H330" s="41">
        <f t="shared" si="20"/>
        <v>53419.570000000007</v>
      </c>
      <c r="I330" s="41">
        <f t="shared" si="20"/>
        <v>17811.95</v>
      </c>
      <c r="J330" s="41">
        <f t="shared" si="20"/>
        <v>12080.880000000001</v>
      </c>
      <c r="K330" s="41">
        <f t="shared" si="20"/>
        <v>0</v>
      </c>
      <c r="L330" s="41">
        <f t="shared" si="20"/>
        <v>218234.42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95322.94</v>
      </c>
      <c r="G344" s="41">
        <f>G330</f>
        <v>39599.079999999994</v>
      </c>
      <c r="H344" s="41">
        <f>H330</f>
        <v>53419.570000000007</v>
      </c>
      <c r="I344" s="41">
        <f>I330</f>
        <v>17811.95</v>
      </c>
      <c r="J344" s="41">
        <f>J330</f>
        <v>12080.880000000001</v>
      </c>
      <c r="K344" s="47">
        <f>K330+K343</f>
        <v>0</v>
      </c>
      <c r="L344" s="41">
        <f>L330+L343</f>
        <v>218234.42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54210.11</v>
      </c>
      <c r="G350" s="18">
        <v>41797.93</v>
      </c>
      <c r="H350" s="18">
        <v>1944.09</v>
      </c>
      <c r="I350" s="18">
        <v>54153.67</v>
      </c>
      <c r="J350" s="18"/>
      <c r="K350" s="18"/>
      <c r="L350" s="13">
        <f>SUM(F350:K350)</f>
        <v>152105.79999999999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54210.11</v>
      </c>
      <c r="G354" s="47">
        <f t="shared" si="22"/>
        <v>41797.93</v>
      </c>
      <c r="H354" s="47">
        <f t="shared" si="22"/>
        <v>1944.09</v>
      </c>
      <c r="I354" s="47">
        <f t="shared" si="22"/>
        <v>54153.67</v>
      </c>
      <c r="J354" s="47">
        <f t="shared" si="22"/>
        <v>0</v>
      </c>
      <c r="K354" s="47">
        <f t="shared" si="22"/>
        <v>0</v>
      </c>
      <c r="L354" s="47">
        <f t="shared" si="22"/>
        <v>152105.79999999999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47795.199999999997</v>
      </c>
      <c r="G359" s="18"/>
      <c r="H359" s="18"/>
      <c r="I359" s="56">
        <f>SUM(F359:H359)</f>
        <v>47795.199999999997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6358.47</v>
      </c>
      <c r="G360" s="63"/>
      <c r="H360" s="63"/>
      <c r="I360" s="56">
        <f>SUM(F360:H360)</f>
        <v>6358.47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54153.67</v>
      </c>
      <c r="G361" s="47">
        <f>SUM(G359:G360)</f>
        <v>0</v>
      </c>
      <c r="H361" s="47">
        <f>SUM(H359:H360)</f>
        <v>0</v>
      </c>
      <c r="I361" s="47">
        <f>SUM(I359:I360)</f>
        <v>54153.67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255.53</v>
      </c>
      <c r="I381" s="18"/>
      <c r="J381" s="24" t="s">
        <v>312</v>
      </c>
      <c r="K381" s="24" t="s">
        <v>312</v>
      </c>
      <c r="L381" s="56">
        <f t="shared" si="25"/>
        <v>255.53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234.51</v>
      </c>
      <c r="I382" s="18"/>
      <c r="J382" s="24" t="s">
        <v>312</v>
      </c>
      <c r="K382" s="24" t="s">
        <v>312</v>
      </c>
      <c r="L382" s="56">
        <f t="shared" si="25"/>
        <v>234.51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2.4500000000000002</v>
      </c>
      <c r="I384" s="18"/>
      <c r="J384" s="24" t="s">
        <v>312</v>
      </c>
      <c r="K384" s="24" t="s">
        <v>312</v>
      </c>
      <c r="L384" s="56">
        <f t="shared" si="25"/>
        <v>2.4500000000000002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492.48999999999995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492.48999999999995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233.08</v>
      </c>
      <c r="I389" s="18"/>
      <c r="J389" s="24" t="s">
        <v>312</v>
      </c>
      <c r="K389" s="24" t="s">
        <v>312</v>
      </c>
      <c r="L389" s="56">
        <f t="shared" si="26"/>
        <v>233.08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233.08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233.08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725.56999999999994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725.56999999999994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56850</v>
      </c>
      <c r="L407" s="56">
        <f t="shared" si="27"/>
        <v>56850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>
        <v>30000</v>
      </c>
      <c r="L408" s="56">
        <f t="shared" si="27"/>
        <v>30000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86850</v>
      </c>
      <c r="L411" s="47">
        <f t="shared" si="28"/>
        <v>86850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86850</v>
      </c>
      <c r="L426" s="47">
        <f t="shared" si="32"/>
        <v>86850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113958.27</v>
      </c>
      <c r="G431" s="18">
        <v>107631.66</v>
      </c>
      <c r="H431" s="18"/>
      <c r="I431" s="56">
        <f t="shared" ref="I431:I437" si="33">SUM(F431:H431)</f>
        <v>221589.93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113958.27</v>
      </c>
      <c r="G438" s="13">
        <f>SUM(G431:G437)</f>
        <v>107631.66</v>
      </c>
      <c r="H438" s="13">
        <f>SUM(H431:H437)</f>
        <v>0</v>
      </c>
      <c r="I438" s="13">
        <f>SUM(I431:I437)</f>
        <v>221589.93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113958.27</v>
      </c>
      <c r="G449" s="18">
        <v>107631.66</v>
      </c>
      <c r="H449" s="18"/>
      <c r="I449" s="56">
        <f>SUM(F449:H449)</f>
        <v>221589.93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113958.27</v>
      </c>
      <c r="G450" s="83">
        <f>SUM(G446:G449)</f>
        <v>107631.66</v>
      </c>
      <c r="H450" s="83">
        <f>SUM(H446:H449)</f>
        <v>0</v>
      </c>
      <c r="I450" s="83">
        <f>SUM(I446:I449)</f>
        <v>221589.93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113958.27</v>
      </c>
      <c r="G451" s="42">
        <f>G444+G450</f>
        <v>107631.66</v>
      </c>
      <c r="H451" s="42">
        <f>H444+H450</f>
        <v>0</v>
      </c>
      <c r="I451" s="42">
        <f>I444+I450</f>
        <v>221589.93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325077.78000000003</v>
      </c>
      <c r="G455" s="18">
        <v>517.79999999999995</v>
      </c>
      <c r="H455" s="18">
        <v>1808.33</v>
      </c>
      <c r="I455" s="18"/>
      <c r="J455" s="18">
        <v>307714.36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7245623.1500000004</v>
      </c>
      <c r="G458" s="18">
        <v>152105.79999999999</v>
      </c>
      <c r="H458" s="18">
        <v>218232.58</v>
      </c>
      <c r="I458" s="18"/>
      <c r="J458" s="18">
        <v>725.57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7245623.1500000004</v>
      </c>
      <c r="G460" s="53">
        <f>SUM(G458:G459)</f>
        <v>152105.79999999999</v>
      </c>
      <c r="H460" s="53">
        <f>SUM(H458:H459)</f>
        <v>218232.58</v>
      </c>
      <c r="I460" s="53">
        <f>SUM(I458:I459)</f>
        <v>0</v>
      </c>
      <c r="J460" s="53">
        <f>SUM(J458:J459)</f>
        <v>725.57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7411976.1500000004</v>
      </c>
      <c r="G462" s="18">
        <v>152105.79999999999</v>
      </c>
      <c r="H462" s="18">
        <v>218234.42</v>
      </c>
      <c r="I462" s="18"/>
      <c r="J462" s="18">
        <v>86850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7411976.1500000004</v>
      </c>
      <c r="G464" s="53">
        <f>SUM(G462:G463)</f>
        <v>152105.79999999999</v>
      </c>
      <c r="H464" s="53">
        <f>SUM(H462:H463)</f>
        <v>218234.42</v>
      </c>
      <c r="I464" s="53">
        <f>SUM(I462:I463)</f>
        <v>0</v>
      </c>
      <c r="J464" s="53">
        <f>SUM(J462:J463)</f>
        <v>86850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158724.78000000026</v>
      </c>
      <c r="G466" s="53">
        <f>(G455+G460)- G464</f>
        <v>517.79999999998836</v>
      </c>
      <c r="H466" s="53">
        <f>(H455+H460)- H464</f>
        <v>1806.4899999999616</v>
      </c>
      <c r="I466" s="53">
        <f>(I455+I460)- I464</f>
        <v>0</v>
      </c>
      <c r="J466" s="53">
        <f>(J455+J460)- J464</f>
        <v>221589.93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417056.43</v>
      </c>
      <c r="G511" s="18">
        <v>289495.42</v>
      </c>
      <c r="H511" s="18">
        <v>128486.27</v>
      </c>
      <c r="I511" s="18">
        <v>8916.2099999999991</v>
      </c>
      <c r="J511" s="18">
        <v>1267.76</v>
      </c>
      <c r="K511" s="18"/>
      <c r="L511" s="88">
        <f>SUM(F511:K511)</f>
        <v>845222.09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309092</v>
      </c>
      <c r="I513" s="18"/>
      <c r="J513" s="18"/>
      <c r="K513" s="18"/>
      <c r="L513" s="88">
        <f>SUM(F513:K513)</f>
        <v>309092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417056.43</v>
      </c>
      <c r="G514" s="108">
        <f t="shared" ref="G514:L514" si="35">SUM(G511:G513)</f>
        <v>289495.42</v>
      </c>
      <c r="H514" s="108">
        <f t="shared" si="35"/>
        <v>437578.27</v>
      </c>
      <c r="I514" s="108">
        <f t="shared" si="35"/>
        <v>8916.2099999999991</v>
      </c>
      <c r="J514" s="108">
        <f t="shared" si="35"/>
        <v>1267.76</v>
      </c>
      <c r="K514" s="108">
        <f t="shared" si="35"/>
        <v>0</v>
      </c>
      <c r="L514" s="89">
        <f t="shared" si="35"/>
        <v>1154314.0899999999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116297.59</v>
      </c>
      <c r="G516" s="18">
        <v>55457.7</v>
      </c>
      <c r="H516" s="18">
        <v>40692.160000000003</v>
      </c>
      <c r="I516" s="18"/>
      <c r="J516" s="18"/>
      <c r="K516" s="18"/>
      <c r="L516" s="88">
        <f>SUM(F516:K516)</f>
        <v>212447.44999999998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116297.59</v>
      </c>
      <c r="G519" s="89">
        <f t="shared" ref="G519:L519" si="36">SUM(G516:G518)</f>
        <v>55457.7</v>
      </c>
      <c r="H519" s="89">
        <f t="shared" si="36"/>
        <v>40692.160000000003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212447.44999999998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31796.5</v>
      </c>
      <c r="I521" s="18"/>
      <c r="J521" s="18"/>
      <c r="K521" s="18"/>
      <c r="L521" s="88">
        <f>SUM(F521:K521)</f>
        <v>31796.5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14963.05</v>
      </c>
      <c r="I523" s="18"/>
      <c r="J523" s="18"/>
      <c r="K523" s="18"/>
      <c r="L523" s="88">
        <f>SUM(F523:K523)</f>
        <v>14963.05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46759.55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46759.55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533354.02</v>
      </c>
      <c r="G535" s="89">
        <f t="shared" ref="G535:L535" si="40">G514+G519+G524+G529+G534</f>
        <v>344953.12</v>
      </c>
      <c r="H535" s="89">
        <f t="shared" si="40"/>
        <v>525029.9800000001</v>
      </c>
      <c r="I535" s="89">
        <f t="shared" si="40"/>
        <v>8916.2099999999991</v>
      </c>
      <c r="J535" s="89">
        <f t="shared" si="40"/>
        <v>1267.76</v>
      </c>
      <c r="K535" s="89">
        <f t="shared" si="40"/>
        <v>0</v>
      </c>
      <c r="L535" s="89">
        <f t="shared" si="40"/>
        <v>1413521.0899999999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845222.09</v>
      </c>
      <c r="G539" s="87">
        <f>L516</f>
        <v>212447.44999999998</v>
      </c>
      <c r="H539" s="87">
        <f>L521</f>
        <v>31796.5</v>
      </c>
      <c r="I539" s="87">
        <f>L526</f>
        <v>0</v>
      </c>
      <c r="J539" s="87">
        <f>L531</f>
        <v>0</v>
      </c>
      <c r="K539" s="87">
        <f>SUM(F539:J539)</f>
        <v>1089466.04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309092</v>
      </c>
      <c r="G541" s="87">
        <f>L518</f>
        <v>0</v>
      </c>
      <c r="H541" s="87">
        <f>L523</f>
        <v>14963.05</v>
      </c>
      <c r="I541" s="87">
        <f>L528</f>
        <v>0</v>
      </c>
      <c r="J541" s="87">
        <f>L533</f>
        <v>0</v>
      </c>
      <c r="K541" s="87">
        <f>SUM(F541:J541)</f>
        <v>324055.05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1154314.0899999999</v>
      </c>
      <c r="G542" s="89">
        <f t="shared" si="41"/>
        <v>212447.44999999998</v>
      </c>
      <c r="H542" s="89">
        <f t="shared" si="41"/>
        <v>46759.55</v>
      </c>
      <c r="I542" s="89">
        <f t="shared" si="41"/>
        <v>0</v>
      </c>
      <c r="J542" s="89">
        <f t="shared" si="41"/>
        <v>0</v>
      </c>
      <c r="K542" s="89">
        <f t="shared" si="41"/>
        <v>1413521.09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2091870</v>
      </c>
      <c r="I565" s="87">
        <f>SUM(F565:H565)</f>
        <v>2091870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40296</v>
      </c>
      <c r="I569" s="87">
        <f t="shared" si="46"/>
        <v>40296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103471.98</v>
      </c>
      <c r="G572" s="18"/>
      <c r="H572" s="18">
        <v>186096.65</v>
      </c>
      <c r="I572" s="87">
        <f t="shared" si="46"/>
        <v>289568.63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76314.69</v>
      </c>
      <c r="I573" s="87">
        <f t="shared" si="46"/>
        <v>76314.69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199966.01</v>
      </c>
      <c r="I581" s="18"/>
      <c r="J581" s="18">
        <v>131630.67000000001</v>
      </c>
      <c r="K581" s="104">
        <f t="shared" ref="K581:K587" si="47">SUM(H581:J581)</f>
        <v>331596.68000000005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5099.97</v>
      </c>
      <c r="I584" s="18"/>
      <c r="J584" s="18"/>
      <c r="K584" s="104">
        <f t="shared" si="47"/>
        <v>5099.97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7916.74</v>
      </c>
      <c r="I585" s="18"/>
      <c r="J585" s="18"/>
      <c r="K585" s="104">
        <f t="shared" si="47"/>
        <v>7916.74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212982.72</v>
      </c>
      <c r="I588" s="108">
        <f>SUM(I581:I587)</f>
        <v>0</v>
      </c>
      <c r="J588" s="108">
        <f>SUM(J581:J587)</f>
        <v>131630.67000000001</v>
      </c>
      <c r="K588" s="108">
        <f>SUM(K581:K587)</f>
        <v>344613.39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91758.53</v>
      </c>
      <c r="I594" s="18"/>
      <c r="J594" s="18">
        <v>33807.599999999999</v>
      </c>
      <c r="K594" s="104">
        <f>SUM(H594:J594)</f>
        <v>125566.13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91758.53</v>
      </c>
      <c r="I595" s="108">
        <f>SUM(I592:I594)</f>
        <v>0</v>
      </c>
      <c r="J595" s="108">
        <f>SUM(J592:J594)</f>
        <v>33807.599999999999</v>
      </c>
      <c r="K595" s="108">
        <f>SUM(K592:K594)</f>
        <v>125566.13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3300</v>
      </c>
      <c r="G601" s="18">
        <v>529.91999999999996</v>
      </c>
      <c r="H601" s="18"/>
      <c r="I601" s="18"/>
      <c r="J601" s="18"/>
      <c r="K601" s="18"/>
      <c r="L601" s="88">
        <f>SUM(F601:K601)</f>
        <v>3829.92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3300</v>
      </c>
      <c r="G604" s="108">
        <f t="shared" si="48"/>
        <v>529.91999999999996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3829.92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237034.90999999997</v>
      </c>
      <c r="H607" s="109">
        <f>SUM(F44)</f>
        <v>237034.91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96525.84</v>
      </c>
      <c r="H608" s="109">
        <f>SUM(G44)</f>
        <v>96525.84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65913.31</v>
      </c>
      <c r="H609" s="109">
        <f>SUM(H44)</f>
        <v>65913.31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221589.93</v>
      </c>
      <c r="H611" s="109">
        <f>SUM(J44)</f>
        <v>221589.93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158724.78</v>
      </c>
      <c r="H612" s="109">
        <f>F466</f>
        <v>158724.78000000026</v>
      </c>
      <c r="I612" s="121" t="s">
        <v>106</v>
      </c>
      <c r="J612" s="109">
        <f t="shared" ref="J612:J645" si="49">G612-H612</f>
        <v>-2.6193447411060333E-10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517.79999999999995</v>
      </c>
      <c r="H613" s="109">
        <f>G466</f>
        <v>517.79999999998836</v>
      </c>
      <c r="I613" s="121" t="s">
        <v>108</v>
      </c>
      <c r="J613" s="109">
        <f t="shared" si="49"/>
        <v>1.1596057447604835E-11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1806.49</v>
      </c>
      <c r="H614" s="109">
        <f>H466</f>
        <v>1806.4899999999616</v>
      </c>
      <c r="I614" s="121" t="s">
        <v>110</v>
      </c>
      <c r="J614" s="109">
        <f t="shared" si="49"/>
        <v>3.8426151149906218E-11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221589.93</v>
      </c>
      <c r="H616" s="109">
        <f>J466</f>
        <v>221589.93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7245623.1500000004</v>
      </c>
      <c r="H617" s="104">
        <f>SUM(F458)</f>
        <v>7245623.1500000004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152105.80000000002</v>
      </c>
      <c r="H618" s="104">
        <f>SUM(G458)</f>
        <v>152105.79999999999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218232.58</v>
      </c>
      <c r="H619" s="104">
        <f>SUM(H458)</f>
        <v>218232.58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725.57</v>
      </c>
      <c r="H621" s="104">
        <f>SUM(J458)</f>
        <v>725.57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7411976.1499999994</v>
      </c>
      <c r="H622" s="104">
        <f>SUM(F462)</f>
        <v>7411976.1500000004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218234.42</v>
      </c>
      <c r="H623" s="104">
        <f>SUM(H462)</f>
        <v>218234.42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54153.67</v>
      </c>
      <c r="H624" s="104">
        <f>I361</f>
        <v>54153.67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152105.79999999999</v>
      </c>
      <c r="H625" s="104">
        <f>SUM(G462)</f>
        <v>152105.79999999999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725.56999999999994</v>
      </c>
      <c r="H627" s="164">
        <f>SUM(J458)</f>
        <v>725.57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86850</v>
      </c>
      <c r="H628" s="164">
        <f>SUM(J462)</f>
        <v>86850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113958.27</v>
      </c>
      <c r="H629" s="104">
        <f>SUM(F451)</f>
        <v>113958.27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107631.66</v>
      </c>
      <c r="H630" s="104">
        <f>SUM(G451)</f>
        <v>107631.66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221589.93</v>
      </c>
      <c r="H632" s="104">
        <f>SUM(I451)</f>
        <v>221589.93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725.57</v>
      </c>
      <c r="H634" s="104">
        <f>H400</f>
        <v>725.56999999999994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725.57</v>
      </c>
      <c r="H636" s="104">
        <f>L400</f>
        <v>725.56999999999994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344613.39</v>
      </c>
      <c r="H637" s="104">
        <f>L200+L218+L236</f>
        <v>344613.39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125566.13</v>
      </c>
      <c r="H638" s="104">
        <f>(J249+J330)-(J247+J328)</f>
        <v>125566.13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212982.72</v>
      </c>
      <c r="H639" s="104">
        <f>H588</f>
        <v>212982.72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131630.67000000001</v>
      </c>
      <c r="H641" s="104">
        <f>J588</f>
        <v>131630.67000000001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21652.12</v>
      </c>
      <c r="H642" s="104">
        <f>K255+K337</f>
        <v>21652.12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5132769.2799999993</v>
      </c>
      <c r="G650" s="19">
        <f>(L221+L301+L351)</f>
        <v>0</v>
      </c>
      <c r="H650" s="19">
        <f>(L239+L320+L352)</f>
        <v>2627894.9700000002</v>
      </c>
      <c r="I650" s="19">
        <f>SUM(F650:H650)</f>
        <v>7760664.25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82174.69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82174.69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162271.32</v>
      </c>
      <c r="G652" s="19">
        <f>(L218+L298)-(J218+J298)</f>
        <v>0</v>
      </c>
      <c r="H652" s="19">
        <f>(L236+L317)-(J236+J317)</f>
        <v>97823.07</v>
      </c>
      <c r="I652" s="19">
        <f>SUM(F652:H652)</f>
        <v>260094.39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199060.43000000002</v>
      </c>
      <c r="G653" s="200">
        <f>SUM(G565:G577)+SUM(I592:I594)+L602</f>
        <v>0</v>
      </c>
      <c r="H653" s="200">
        <f>SUM(H565:H577)+SUM(J592:J594)+L603</f>
        <v>2428384.94</v>
      </c>
      <c r="I653" s="19">
        <f>SUM(F653:H653)</f>
        <v>2627445.37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4689262.8399999989</v>
      </c>
      <c r="G654" s="19">
        <f>G650-SUM(G651:G653)</f>
        <v>0</v>
      </c>
      <c r="H654" s="19">
        <f>H650-SUM(H651:H653)</f>
        <v>101686.96000000043</v>
      </c>
      <c r="I654" s="19">
        <f>I650-SUM(I651:I653)</f>
        <v>4790949.8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276.11</v>
      </c>
      <c r="G655" s="249"/>
      <c r="H655" s="249"/>
      <c r="I655" s="19">
        <f>SUM(F655:H655)</f>
        <v>276.11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16983.310000000001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17351.599999999999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-101686.96</v>
      </c>
      <c r="I659" s="19">
        <f>SUM(F659:H659)</f>
        <v>-101686.96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16983.310000000001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16983.310000000001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8C80-CABF-4496-99C1-6CA42904EF19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BARTLETT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1538809.05</v>
      </c>
      <c r="C9" s="230">
        <f>'DOE25'!G189+'DOE25'!G207+'DOE25'!G225+'DOE25'!G268+'DOE25'!G287+'DOE25'!G306</f>
        <v>580761.39</v>
      </c>
    </row>
    <row r="10" spans="1:3" x14ac:dyDescent="0.2">
      <c r="A10" t="s">
        <v>810</v>
      </c>
      <c r="B10" s="241">
        <f>1352495.38+44350</f>
        <v>1396845.38</v>
      </c>
      <c r="C10" s="241">
        <v>537381.87</v>
      </c>
    </row>
    <row r="11" spans="1:3" x14ac:dyDescent="0.2">
      <c r="A11" t="s">
        <v>811</v>
      </c>
      <c r="B11" s="241">
        <f>42014.03+13229.79</f>
        <v>55243.82</v>
      </c>
      <c r="C11" s="241">
        <f>28675.78+1135.95</f>
        <v>29811.73</v>
      </c>
    </row>
    <row r="12" spans="1:3" x14ac:dyDescent="0.2">
      <c r="A12" t="s">
        <v>812</v>
      </c>
      <c r="B12" s="241">
        <f>82287.2+4432.65</f>
        <v>86719.849999999991</v>
      </c>
      <c r="C12" s="241">
        <v>13567.79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1538809.05</v>
      </c>
      <c r="C13" s="232">
        <f>SUM(C10:C12)</f>
        <v>580761.39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417056.43</v>
      </c>
      <c r="C18" s="230">
        <f>'DOE25'!G190+'DOE25'!G208+'DOE25'!G226+'DOE25'!G269+'DOE25'!G288+'DOE25'!G307</f>
        <v>289495.42</v>
      </c>
    </row>
    <row r="19" spans="1:3" x14ac:dyDescent="0.2">
      <c r="A19" t="s">
        <v>810</v>
      </c>
      <c r="B19" s="241">
        <v>218150</v>
      </c>
      <c r="C19" s="241">
        <v>118215.23</v>
      </c>
    </row>
    <row r="20" spans="1:3" x14ac:dyDescent="0.2">
      <c r="A20" t="s">
        <v>811</v>
      </c>
      <c r="B20" s="241">
        <f>182120.93+16243.5</f>
        <v>198364.43</v>
      </c>
      <c r="C20" s="241">
        <f>162400.9+8837.81</f>
        <v>171238.71</v>
      </c>
    </row>
    <row r="21" spans="1:3" x14ac:dyDescent="0.2">
      <c r="A21" t="s">
        <v>812</v>
      </c>
      <c r="B21" s="241">
        <v>542</v>
      </c>
      <c r="C21" s="241">
        <v>41.48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417056.43</v>
      </c>
      <c r="C22" s="232">
        <f>SUM(C19:C21)</f>
        <v>289495.42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55100</v>
      </c>
      <c r="C36" s="236">
        <f>'DOE25'!G192+'DOE25'!G210+'DOE25'!G228+'DOE25'!G271+'DOE25'!G290+'DOE25'!G309</f>
        <v>8269.5300000000007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55100</v>
      </c>
      <c r="C39" s="241">
        <v>8269.5300000000007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55100</v>
      </c>
      <c r="C40" s="232">
        <f>SUM(C37:C39)</f>
        <v>8269.5300000000007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BD44-E6CD-45F7-91DA-5B196AAF215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BARTLETT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5420240.8100000005</v>
      </c>
      <c r="D5" s="20">
        <f>SUM('DOE25'!L189:L192)+SUM('DOE25'!L207:L210)+SUM('DOE25'!L225:L228)-F5-G5</f>
        <v>5402106.1800000006</v>
      </c>
      <c r="E5" s="244"/>
      <c r="F5" s="256">
        <f>SUM('DOE25'!J189:J192)+SUM('DOE25'!J207:J210)+SUM('DOE25'!J225:J228)</f>
        <v>18134.629999999997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391752.18</v>
      </c>
      <c r="D6" s="20">
        <f>'DOE25'!L194+'DOE25'!L212+'DOE25'!L230-F6-G6</f>
        <v>391752.18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134272.02000000002</v>
      </c>
      <c r="D7" s="20">
        <f>'DOE25'!L195+'DOE25'!L213+'DOE25'!L231-F7-G7</f>
        <v>134272.02000000002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189305.46999999991</v>
      </c>
      <c r="D8" s="244"/>
      <c r="E8" s="20">
        <f>'DOE25'!L196+'DOE25'!L214+'DOE25'!L232-F8-G8-D9-D11</f>
        <v>186411.81999999992</v>
      </c>
      <c r="F8" s="256">
        <f>'DOE25'!J196+'DOE25'!J214+'DOE25'!J232</f>
        <v>0</v>
      </c>
      <c r="G8" s="53">
        <f>'DOE25'!K196+'DOE25'!K214+'DOE25'!K232</f>
        <v>2893.65</v>
      </c>
      <c r="H8" s="260"/>
    </row>
    <row r="9" spans="1:9" x14ac:dyDescent="0.2">
      <c r="A9" s="32">
        <v>2310</v>
      </c>
      <c r="B9" t="s">
        <v>849</v>
      </c>
      <c r="C9" s="246">
        <f t="shared" si="0"/>
        <v>33781.85</v>
      </c>
      <c r="D9" s="245">
        <v>33781.85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5445</v>
      </c>
      <c r="D10" s="244"/>
      <c r="E10" s="245">
        <v>5445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74597.37</v>
      </c>
      <c r="D11" s="245">
        <v>74597.37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288587.65000000002</v>
      </c>
      <c r="D12" s="20">
        <f>'DOE25'!L197+'DOE25'!L215+'DOE25'!L233-F12-G12</f>
        <v>279911.96000000002</v>
      </c>
      <c r="E12" s="244"/>
      <c r="F12" s="256">
        <f>'DOE25'!J197+'DOE25'!J215+'DOE25'!J233</f>
        <v>4519.6899999999996</v>
      </c>
      <c r="G12" s="53">
        <f>'DOE25'!K197+'DOE25'!K215+'DOE25'!K233</f>
        <v>4156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513065.29</v>
      </c>
      <c r="D14" s="20">
        <f>'DOE25'!L199+'DOE25'!L217+'DOE25'!L235-F14-G14</f>
        <v>506753.36</v>
      </c>
      <c r="E14" s="244"/>
      <c r="F14" s="256">
        <f>'DOE25'!J199+'DOE25'!J217+'DOE25'!J235</f>
        <v>6311.93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344613.39</v>
      </c>
      <c r="D15" s="20">
        <f>'DOE25'!L200+'DOE25'!L218+'DOE25'!L236-F15-G15</f>
        <v>260094.39</v>
      </c>
      <c r="E15" s="244"/>
      <c r="F15" s="256">
        <f>'DOE25'!J200+'DOE25'!J218+'DOE25'!J236</f>
        <v>84519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108</v>
      </c>
      <c r="D16" s="244"/>
      <c r="E16" s="20">
        <f>'DOE25'!L201+'DOE25'!L219+'DOE25'!L237-F16-G16</f>
        <v>108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104310.59999999999</v>
      </c>
      <c r="D29" s="20">
        <f>'DOE25'!L350+'DOE25'!L351+'DOE25'!L352-'DOE25'!I359-F29-G29</f>
        <v>104310.59999999999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218234.42</v>
      </c>
      <c r="D31" s="20">
        <f>'DOE25'!L282+'DOE25'!L301+'DOE25'!L320+'DOE25'!L325+'DOE25'!L326+'DOE25'!L327-F31-G31</f>
        <v>206153.54</v>
      </c>
      <c r="E31" s="244"/>
      <c r="F31" s="256">
        <f>'DOE25'!J282+'DOE25'!J301+'DOE25'!J320+'DOE25'!J325+'DOE25'!J326+'DOE25'!J327</f>
        <v>12080.880000000001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7393733.4500000002</v>
      </c>
      <c r="E33" s="247">
        <f>SUM(E5:E31)</f>
        <v>191964.81999999992</v>
      </c>
      <c r="F33" s="247">
        <f>SUM(F5:F31)</f>
        <v>125566.13</v>
      </c>
      <c r="G33" s="247">
        <f>SUM(G5:G31)</f>
        <v>7049.65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191964.81999999992</v>
      </c>
      <c r="E35" s="250"/>
    </row>
    <row r="36" spans="2:8" ht="12" thickTop="1" x14ac:dyDescent="0.2">
      <c r="B36" t="s">
        <v>846</v>
      </c>
      <c r="D36" s="20">
        <f>D33</f>
        <v>7393733.4500000002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FC3D-8F3E-4E5D-842C-2E4DB312B4B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BARTLETT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59051.09</v>
      </c>
      <c r="D9" s="95">
        <f>'DOE25'!G9</f>
        <v>63326.34</v>
      </c>
      <c r="E9" s="95">
        <f>'DOE25'!H9</f>
        <v>0</v>
      </c>
      <c r="F9" s="95">
        <f>'DOE25'!I9</f>
        <v>0</v>
      </c>
      <c r="G9" s="95">
        <f>'DOE25'!J9</f>
        <v>221589.93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156520.85999999999</v>
      </c>
      <c r="D12" s="95">
        <f>'DOE25'!G12</f>
        <v>21652.12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21462.959999999999</v>
      </c>
      <c r="D13" s="95">
        <f>'DOE25'!G13</f>
        <v>11539.38</v>
      </c>
      <c r="E13" s="95">
        <f>'DOE25'!H13</f>
        <v>65913.31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237034.90999999997</v>
      </c>
      <c r="D19" s="41">
        <f>SUM(D9:D18)</f>
        <v>96525.84</v>
      </c>
      <c r="E19" s="41">
        <f>SUM(E9:E18)</f>
        <v>65913.31</v>
      </c>
      <c r="F19" s="41">
        <f>SUM(F9:F18)</f>
        <v>0</v>
      </c>
      <c r="G19" s="41">
        <f>SUM(G9:G18)</f>
        <v>221589.93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96008.04</v>
      </c>
      <c r="E22" s="95">
        <f>'DOE25'!H23</f>
        <v>60512.82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43501.78</v>
      </c>
      <c r="D24" s="95">
        <f>'DOE25'!G25</f>
        <v>0</v>
      </c>
      <c r="E24" s="95">
        <f>'DOE25'!H25</f>
        <v>3594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8245.0300000000007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26563.32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78310.13</v>
      </c>
      <c r="D32" s="41">
        <f>SUM(D22:D31)</f>
        <v>96008.04</v>
      </c>
      <c r="E32" s="41">
        <f>SUM(E22:E31)</f>
        <v>64106.82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517.79999999999995</v>
      </c>
      <c r="E40" s="95">
        <f>'DOE25'!H41</f>
        <v>1806.49</v>
      </c>
      <c r="F40" s="95">
        <f>'DOE25'!I41</f>
        <v>0</v>
      </c>
      <c r="G40" s="95">
        <f>'DOE25'!J41</f>
        <v>221589.93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158724.78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158724.78</v>
      </c>
      <c r="D42" s="41">
        <f>SUM(D34:D41)</f>
        <v>517.79999999999995</v>
      </c>
      <c r="E42" s="41">
        <f>SUM(E34:E41)</f>
        <v>1806.49</v>
      </c>
      <c r="F42" s="41">
        <f>SUM(F34:F41)</f>
        <v>0</v>
      </c>
      <c r="G42" s="41">
        <f>SUM(G34:G41)</f>
        <v>221589.93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237034.91</v>
      </c>
      <c r="D43" s="41">
        <f>D42+D32</f>
        <v>96525.84</v>
      </c>
      <c r="E43" s="41">
        <f>E42+E32</f>
        <v>65913.31</v>
      </c>
      <c r="F43" s="41">
        <f>F42+F32</f>
        <v>0</v>
      </c>
      <c r="G43" s="41">
        <f>G42+G32</f>
        <v>221589.93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4333931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243418.99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1315.95</v>
      </c>
      <c r="D51" s="95">
        <f>'DOE25'!G88</f>
        <v>30.52</v>
      </c>
      <c r="E51" s="95">
        <f>'DOE25'!H88</f>
        <v>0</v>
      </c>
      <c r="F51" s="95">
        <f>'DOE25'!I88</f>
        <v>0</v>
      </c>
      <c r="G51" s="95">
        <f>'DOE25'!J88</f>
        <v>725.57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82174.69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35600.910000000003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280335.84999999998</v>
      </c>
      <c r="D54" s="130">
        <f>SUM(D49:D53)</f>
        <v>82205.210000000006</v>
      </c>
      <c r="E54" s="130">
        <f>SUM(E49:E53)</f>
        <v>0</v>
      </c>
      <c r="F54" s="130">
        <f>SUM(F49:F53)</f>
        <v>0</v>
      </c>
      <c r="G54" s="130">
        <f>SUM(G49:G53)</f>
        <v>725.57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4614266.8499999996</v>
      </c>
      <c r="D55" s="22">
        <f>D48+D54</f>
        <v>82205.210000000006</v>
      </c>
      <c r="E55" s="22">
        <f>E48+E54</f>
        <v>0</v>
      </c>
      <c r="F55" s="22">
        <f>F48+F54</f>
        <v>0</v>
      </c>
      <c r="G55" s="22">
        <f>G48+G54</f>
        <v>725.57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17667.22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2316613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640.78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2334921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13066.86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121704.55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1779.17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134771.41</v>
      </c>
      <c r="D70" s="130">
        <f>SUM(D64:D69)</f>
        <v>1779.17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2469692.41</v>
      </c>
      <c r="D73" s="130">
        <f>SUM(D71:D72)+D70+D62</f>
        <v>1779.17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54207.21</v>
      </c>
      <c r="D80" s="95">
        <f>SUM('DOE25'!G145:G153)</f>
        <v>46469.3</v>
      </c>
      <c r="E80" s="95">
        <f>SUM('DOE25'!H145:H153)</f>
        <v>218232.58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20606.68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74813.89</v>
      </c>
      <c r="D83" s="131">
        <f>SUM(D77:D82)</f>
        <v>46469.3</v>
      </c>
      <c r="E83" s="131">
        <f>SUM(E77:E82)</f>
        <v>218232.58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21652.12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30000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56850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86850</v>
      </c>
      <c r="D95" s="86">
        <f>SUM(D85:D94)</f>
        <v>21652.12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7245623.1499999994</v>
      </c>
      <c r="D96" s="86">
        <f>D55+D73+D83+D95</f>
        <v>152105.80000000002</v>
      </c>
      <c r="E96" s="86">
        <f>E55+E73+E83+E95</f>
        <v>218232.58</v>
      </c>
      <c r="F96" s="86">
        <f>F55+F73+F83+F95</f>
        <v>0</v>
      </c>
      <c r="G96" s="86">
        <f>G55+G73+G95</f>
        <v>725.57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4201484.4399999995</v>
      </c>
      <c r="D101" s="24" t="s">
        <v>312</v>
      </c>
      <c r="E101" s="95">
        <f>('DOE25'!L268)+('DOE25'!L287)+('DOE25'!L306)</f>
        <v>106949.29000000001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1118961.19</v>
      </c>
      <c r="D102" s="24" t="s">
        <v>312</v>
      </c>
      <c r="E102" s="95">
        <f>('DOE25'!L269)+('DOE25'!L288)+('DOE25'!L307)</f>
        <v>35352.9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99795.180000000008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5420240.8099999987</v>
      </c>
      <c r="D107" s="86">
        <f>SUM(D101:D106)</f>
        <v>0</v>
      </c>
      <c r="E107" s="86">
        <f>SUM(E101:E106)</f>
        <v>142302.19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391752.18</v>
      </c>
      <c r="D110" s="24" t="s">
        <v>312</v>
      </c>
      <c r="E110" s="95">
        <f>+('DOE25'!L273)+('DOE25'!L292)+('DOE25'!L311)</f>
        <v>37809.75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134272.02000000002</v>
      </c>
      <c r="D111" s="24" t="s">
        <v>312</v>
      </c>
      <c r="E111" s="95">
        <f>+('DOE25'!L274)+('DOE25'!L293)+('DOE25'!L312)</f>
        <v>38122.480000000003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297684.68999999994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288587.65000000002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513065.29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344613.39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152105.79999999999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1970083.2200000002</v>
      </c>
      <c r="D120" s="86">
        <f>SUM(D110:D119)</f>
        <v>152105.79999999999</v>
      </c>
      <c r="E120" s="86">
        <f>SUM(E110:E119)</f>
        <v>75932.23000000001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86850</v>
      </c>
    </row>
    <row r="127" spans="1:7" x14ac:dyDescent="0.2">
      <c r="A127" t="s">
        <v>256</v>
      </c>
      <c r="B127" s="32" t="s">
        <v>257</v>
      </c>
      <c r="C127" s="95">
        <f>'DOE25'!L255</f>
        <v>21652.12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492.48999999999995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233.08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-725.56999999999994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21652.120000000003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86850</v>
      </c>
    </row>
    <row r="137" spans="1:9" ht="12.75" thickTop="1" thickBot="1" x14ac:dyDescent="0.25">
      <c r="A137" s="33" t="s">
        <v>267</v>
      </c>
      <c r="C137" s="86">
        <f>(C107+C120+C136)</f>
        <v>7411976.1499999994</v>
      </c>
      <c r="D137" s="86">
        <f>(D107+D120+D136)</f>
        <v>152105.79999999999</v>
      </c>
      <c r="E137" s="86">
        <f>(E107+E120+E136)</f>
        <v>218234.42</v>
      </c>
      <c r="F137" s="86">
        <f>(F107+F120+F136)</f>
        <v>0</v>
      </c>
      <c r="G137" s="86">
        <f>(G107+G120+G136)</f>
        <v>86850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47F1-ABA4-4E3F-96AD-D3C7BC7215E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BARTLETT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16983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16983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4308434</v>
      </c>
      <c r="D10" s="182">
        <f>ROUND((C10/$C$28)*100,1)</f>
        <v>56.1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1154314</v>
      </c>
      <c r="D11" s="182">
        <f>ROUND((C11/$C$28)*100,1)</f>
        <v>15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99795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429562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172395</v>
      </c>
      <c r="D16" s="182">
        <f t="shared" si="0"/>
        <v>2.2000000000000002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297793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288588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513065</v>
      </c>
      <c r="D20" s="182">
        <f t="shared" si="0"/>
        <v>6.7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344613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69931.31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7678490.3099999996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7678490.3099999996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4333931</v>
      </c>
      <c r="D35" s="182">
        <f t="shared" ref="D35:D40" si="1">ROUND((C35/$C$41)*100,1)</f>
        <v>58.4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281091.94000000041</v>
      </c>
      <c r="D36" s="182">
        <f t="shared" si="1"/>
        <v>3.8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2334921</v>
      </c>
      <c r="D37" s="182">
        <f t="shared" si="1"/>
        <v>31.4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136551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339516</v>
      </c>
      <c r="D39" s="182">
        <f t="shared" si="1"/>
        <v>4.5999999999999996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7426010.9400000004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7578-7717-43C5-94E3-CB55E25D4953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BARTLETT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4</v>
      </c>
      <c r="B4" s="220">
        <v>6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CC40:CM40"/>
    <mergeCell ref="CP40:CZ40"/>
    <mergeCell ref="DC40:DM40"/>
    <mergeCell ref="EP40:EZ40"/>
    <mergeCell ref="DP40:DZ40"/>
    <mergeCell ref="BP39:BZ39"/>
    <mergeCell ref="BC40:BM40"/>
    <mergeCell ref="BP40:BZ40"/>
    <mergeCell ref="FC40:FM40"/>
    <mergeCell ref="CC39:CM39"/>
    <mergeCell ref="CP39:CZ39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EP38:EZ38"/>
    <mergeCell ref="FC38:FM38"/>
    <mergeCell ref="FP38:FZ38"/>
    <mergeCell ref="GC38:GM38"/>
    <mergeCell ref="GP38:GZ38"/>
    <mergeCell ref="HC38:HM38"/>
    <mergeCell ref="CC38:CM38"/>
    <mergeCell ref="CC32:CM32"/>
    <mergeCell ref="CP38:CZ38"/>
    <mergeCell ref="DC38:DM38"/>
    <mergeCell ref="DP38:DZ38"/>
    <mergeCell ref="EC38:EM38"/>
    <mergeCell ref="AP38:A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AC32:AM32"/>
    <mergeCell ref="AP32:AZ32"/>
    <mergeCell ref="P38:Z38"/>
    <mergeCell ref="CC30:CM30"/>
    <mergeCell ref="CP30:CZ30"/>
    <mergeCell ref="DC30:DM30"/>
    <mergeCell ref="CC31:CM31"/>
    <mergeCell ref="CP31:CZ31"/>
    <mergeCell ref="DC31:DM31"/>
    <mergeCell ref="AC38:AM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2011-11-04T17:47:54Z</cp:lastPrinted>
  <dcterms:created xsi:type="dcterms:W3CDTF">1997-12-04T19:04:30Z</dcterms:created>
  <dcterms:modified xsi:type="dcterms:W3CDTF">2025-01-09T20:36:00Z</dcterms:modified>
</cp:coreProperties>
</file>