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nhgov-my.sharepoint.com/personal/brian_e_eaton_doe_nh_gov/Documents/Finance/Website layout/DOE-25 Form/DOE-25 FY10-18/DOE-25 FY11/"/>
    </mc:Choice>
  </mc:AlternateContent>
  <xr:revisionPtr revIDLastSave="0" documentId="8_{72D0CB1F-5E9A-4169-8D82-87F50B30E1A5}" xr6:coauthVersionLast="47" xr6:coauthVersionMax="47" xr10:uidLastSave="{00000000-0000-0000-0000-000000000000}"/>
  <workbookProtection workbookPassword="B30A" lockStructure="1"/>
  <bookViews>
    <workbookView xWindow="28680" yWindow="-120" windowWidth="29040" windowHeight="15990" tabRatio="855" xr2:uid="{6CA43FC4-D7A3-47DB-9E1B-91578F2C6D10}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'DOE25'!$A$606:$L$606</definedName>
    <definedName name="ms25pg01">'MS-25'!$A$1:$G$44</definedName>
    <definedName name="ms25pg02">'MS-25'!$A$45:$G$73</definedName>
    <definedName name="ms25pg03">'MS-25'!$A$74:$G$96</definedName>
    <definedName name="ms25pg04">'MS-25'!$A$97:$G$138</definedName>
    <definedName name="ms25pg05">'MS-25'!#REF!</definedName>
    <definedName name="ms25pg06">'MS-25'!$A$139:$G$156</definedName>
    <definedName name="page01">'DOE25'!$A$5:$L$45</definedName>
    <definedName name="page02">'DOE25'!$A$46:$L$72</definedName>
    <definedName name="page03">'DOE25'!$A$73:$L$105</definedName>
    <definedName name="page04">'DOE25'!$A$106:$L$132</definedName>
    <definedName name="page05">'DOE25'!$A$134:$L$161</definedName>
    <definedName name="page06">'DOE25'!$A$163:$L$185</definedName>
    <definedName name="page07">'DOE25'!$A$186:$L$203</definedName>
    <definedName name="page08">'DOE25'!$A$204:$L$221</definedName>
    <definedName name="page09">'DOE25'!$A$222:$L$239</definedName>
    <definedName name="page10">'DOE25'!$A$241:$L$263</definedName>
    <definedName name="page11">'DOE25'!$A$265:$L$282</definedName>
    <definedName name="page12">'DOE25'!$A$284:$L$301</definedName>
    <definedName name="page13">'DOE25'!$A$303:$L$320</definedName>
    <definedName name="page14">'DOE25'!$A$322:$L$344</definedName>
    <definedName name="page15">'DOE25'!$A$347:$L$374</definedName>
    <definedName name="page16">'DOE25'!$A$376:$L$400</definedName>
    <definedName name="page17">'DOE25'!$A$402:$L$426</definedName>
    <definedName name="page18">'DOE25'!$A$428:$L$451</definedName>
    <definedName name="page19">'DOE25'!$A$453:$L$476</definedName>
    <definedName name="page20">'DOE25'!$A$477:$L$507</definedName>
    <definedName name="page21">'DOE25'!$A$508:$L$542</definedName>
    <definedName name="page22">'DOE25'!$A$543:$L$578</definedName>
    <definedName name="page23">'DOE25'!$A$579:$L$604</definedName>
    <definedName name="Page24">'DOE25'!$A28:$L38</definedName>
    <definedName name="pageall">'DOE25'!$A$5:$L$663</definedName>
    <definedName name="pagecheck">'DOE25'!$A$607:$J$663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'DOE25'!$A$1:$L$663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1" i="12" l="1"/>
  <c r="B18" i="12"/>
  <c r="H274" i="1"/>
  <c r="G274" i="1"/>
  <c r="G269" i="1"/>
  <c r="C18" i="12" s="1"/>
  <c r="C19" i="12" s="1"/>
  <c r="C22" i="12" s="1"/>
  <c r="J458" i="1"/>
  <c r="J460" i="1" s="1"/>
  <c r="J466" i="1" s="1"/>
  <c r="H616" i="1" s="1"/>
  <c r="H146" i="1"/>
  <c r="H154" i="1" s="1"/>
  <c r="H147" i="1"/>
  <c r="F9" i="1"/>
  <c r="H513" i="1"/>
  <c r="H511" i="1"/>
  <c r="G489" i="1"/>
  <c r="F489" i="1"/>
  <c r="G488" i="1"/>
  <c r="F488" i="1"/>
  <c r="K488" i="1" s="1"/>
  <c r="F462" i="1"/>
  <c r="F464" i="1" s="1"/>
  <c r="I350" i="1"/>
  <c r="G350" i="1"/>
  <c r="L350" i="1" s="1"/>
  <c r="F350" i="1"/>
  <c r="H232" i="1"/>
  <c r="H226" i="1"/>
  <c r="L226" i="1" s="1"/>
  <c r="H225" i="1"/>
  <c r="L225" i="1" s="1"/>
  <c r="L239" i="1" s="1"/>
  <c r="H650" i="1" s="1"/>
  <c r="H214" i="1"/>
  <c r="L214" i="1" s="1"/>
  <c r="H201" i="1"/>
  <c r="H199" i="1"/>
  <c r="H196" i="1"/>
  <c r="H194" i="1"/>
  <c r="L194" i="1" s="1"/>
  <c r="H190" i="1"/>
  <c r="H189" i="1"/>
  <c r="H203" i="1" s="1"/>
  <c r="H249" i="1" s="1"/>
  <c r="H263" i="1" s="1"/>
  <c r="C37" i="10"/>
  <c r="C60" i="2"/>
  <c r="B2" i="13"/>
  <c r="F8" i="13"/>
  <c r="G8" i="13"/>
  <c r="L196" i="1"/>
  <c r="L232" i="1"/>
  <c r="D39" i="13"/>
  <c r="F13" i="13"/>
  <c r="G13" i="13"/>
  <c r="L198" i="1"/>
  <c r="C19" i="10" s="1"/>
  <c r="L216" i="1"/>
  <c r="L234" i="1"/>
  <c r="F16" i="13"/>
  <c r="G16" i="13"/>
  <c r="L201" i="1"/>
  <c r="E16" i="13"/>
  <c r="C16" i="13" s="1"/>
  <c r="L219" i="1"/>
  <c r="L237" i="1"/>
  <c r="F5" i="13"/>
  <c r="G5" i="13"/>
  <c r="G33" i="13" s="1"/>
  <c r="L189" i="1"/>
  <c r="L190" i="1"/>
  <c r="L191" i="1"/>
  <c r="L192" i="1"/>
  <c r="L207" i="1"/>
  <c r="L208" i="1"/>
  <c r="L209" i="1"/>
  <c r="L210" i="1"/>
  <c r="L227" i="1"/>
  <c r="C103" i="2" s="1"/>
  <c r="L228" i="1"/>
  <c r="C13" i="10" s="1"/>
  <c r="F6" i="13"/>
  <c r="G6" i="13"/>
  <c r="L212" i="1"/>
  <c r="L230" i="1"/>
  <c r="F7" i="13"/>
  <c r="G7" i="13"/>
  <c r="L195" i="1"/>
  <c r="L213" i="1"/>
  <c r="C16" i="10" s="1"/>
  <c r="L231" i="1"/>
  <c r="F12" i="13"/>
  <c r="D12" i="13" s="1"/>
  <c r="C12" i="13" s="1"/>
  <c r="G12" i="13"/>
  <c r="L197" i="1"/>
  <c r="L215" i="1"/>
  <c r="L233" i="1"/>
  <c r="F14" i="13"/>
  <c r="G14" i="13"/>
  <c r="L199" i="1"/>
  <c r="L217" i="1"/>
  <c r="L235" i="1"/>
  <c r="D14" i="13"/>
  <c r="C14" i="13" s="1"/>
  <c r="F15" i="13"/>
  <c r="D15" i="13" s="1"/>
  <c r="C15" i="13" s="1"/>
  <c r="G15" i="13"/>
  <c r="L200" i="1"/>
  <c r="L218" i="1"/>
  <c r="L236" i="1"/>
  <c r="F17" i="13"/>
  <c r="G17" i="13"/>
  <c r="L243" i="1"/>
  <c r="D17" i="13" s="1"/>
  <c r="C17" i="13" s="1"/>
  <c r="F18" i="13"/>
  <c r="G18" i="13"/>
  <c r="L244" i="1"/>
  <c r="C24" i="10" s="1"/>
  <c r="D18" i="13"/>
  <c r="C18" i="13"/>
  <c r="F19" i="13"/>
  <c r="G19" i="13"/>
  <c r="L245" i="1"/>
  <c r="D19" i="13"/>
  <c r="F29" i="13"/>
  <c r="G29" i="13"/>
  <c r="L351" i="1"/>
  <c r="L352" i="1"/>
  <c r="I359" i="1"/>
  <c r="I361" i="1" s="1"/>
  <c r="H624" i="1" s="1"/>
  <c r="J282" i="1"/>
  <c r="F31" i="13" s="1"/>
  <c r="J301" i="1"/>
  <c r="J330" i="1" s="1"/>
  <c r="J344" i="1" s="1"/>
  <c r="J320" i="1"/>
  <c r="K282" i="1"/>
  <c r="K301" i="1"/>
  <c r="K320" i="1"/>
  <c r="L268" i="1"/>
  <c r="L270" i="1"/>
  <c r="L271" i="1"/>
  <c r="E104" i="2" s="1"/>
  <c r="L273" i="1"/>
  <c r="E110" i="2" s="1"/>
  <c r="L274" i="1"/>
  <c r="E111" i="2" s="1"/>
  <c r="L275" i="1"/>
  <c r="L276" i="1"/>
  <c r="L277" i="1"/>
  <c r="L278" i="1"/>
  <c r="L279" i="1"/>
  <c r="E116" i="2" s="1"/>
  <c r="L280" i="1"/>
  <c r="L287" i="1"/>
  <c r="L301" i="1" s="1"/>
  <c r="L288" i="1"/>
  <c r="L289" i="1"/>
  <c r="E103" i="2" s="1"/>
  <c r="L290" i="1"/>
  <c r="L292" i="1"/>
  <c r="L293" i="1"/>
  <c r="L294" i="1"/>
  <c r="L295" i="1"/>
  <c r="L296" i="1"/>
  <c r="L297" i="1"/>
  <c r="C20" i="10" s="1"/>
  <c r="L298" i="1"/>
  <c r="L299" i="1"/>
  <c r="E117" i="2" s="1"/>
  <c r="L306" i="1"/>
  <c r="L307" i="1"/>
  <c r="L320" i="1" s="1"/>
  <c r="L308" i="1"/>
  <c r="L309" i="1"/>
  <c r="L311" i="1"/>
  <c r="L312" i="1"/>
  <c r="L313" i="1"/>
  <c r="L314" i="1"/>
  <c r="L315" i="1"/>
  <c r="L316" i="1"/>
  <c r="L317" i="1"/>
  <c r="L318" i="1"/>
  <c r="L325" i="1"/>
  <c r="E106" i="2" s="1"/>
  <c r="L326" i="1"/>
  <c r="L327" i="1"/>
  <c r="L252" i="1"/>
  <c r="L253" i="1"/>
  <c r="L333" i="1"/>
  <c r="H25" i="13" s="1"/>
  <c r="L334" i="1"/>
  <c r="C25" i="10" s="1"/>
  <c r="L247" i="1"/>
  <c r="C29" i="10" s="1"/>
  <c r="L328" i="1"/>
  <c r="F22" i="13"/>
  <c r="C22" i="13"/>
  <c r="C19" i="13"/>
  <c r="C11" i="13"/>
  <c r="C10" i="13"/>
  <c r="C9" i="13"/>
  <c r="L353" i="1"/>
  <c r="B4" i="12"/>
  <c r="B36" i="12"/>
  <c r="C36" i="12"/>
  <c r="B40" i="12"/>
  <c r="C40" i="12"/>
  <c r="A40" i="12"/>
  <c r="B27" i="12"/>
  <c r="A31" i="12" s="1"/>
  <c r="C27" i="12"/>
  <c r="B31" i="12"/>
  <c r="C31" i="12"/>
  <c r="B9" i="12"/>
  <c r="B13" i="12"/>
  <c r="C9" i="12"/>
  <c r="A13" i="12"/>
  <c r="C13" i="12"/>
  <c r="B22" i="12"/>
  <c r="B1" i="12"/>
  <c r="L379" i="1"/>
  <c r="L385" i="1" s="1"/>
  <c r="L380" i="1"/>
  <c r="L381" i="1"/>
  <c r="L382" i="1"/>
  <c r="L383" i="1"/>
  <c r="L384" i="1"/>
  <c r="L387" i="1"/>
  <c r="L388" i="1"/>
  <c r="L389" i="1"/>
  <c r="L390" i="1"/>
  <c r="L391" i="1"/>
  <c r="L392" i="1"/>
  <c r="L395" i="1"/>
  <c r="L399" i="1" s="1"/>
  <c r="C132" i="2" s="1"/>
  <c r="L396" i="1"/>
  <c r="L397" i="1"/>
  <c r="L398" i="1"/>
  <c r="L258" i="1"/>
  <c r="J52" i="1"/>
  <c r="G48" i="2"/>
  <c r="G51" i="2"/>
  <c r="G54" i="2" s="1"/>
  <c r="G55" i="2" s="1"/>
  <c r="G96" i="2" s="1"/>
  <c r="G53" i="2"/>
  <c r="G69" i="2"/>
  <c r="G70" i="2"/>
  <c r="G73" i="2" s="1"/>
  <c r="G61" i="2"/>
  <c r="G62" i="2" s="1"/>
  <c r="G88" i="2"/>
  <c r="G89" i="2"/>
  <c r="G90" i="2"/>
  <c r="G95" i="2"/>
  <c r="F2" i="11"/>
  <c r="L603" i="1"/>
  <c r="H653" i="1"/>
  <c r="L602" i="1"/>
  <c r="L604" i="1" s="1"/>
  <c r="G653" i="1"/>
  <c r="I653" i="1" s="1"/>
  <c r="L601" i="1"/>
  <c r="F653" i="1"/>
  <c r="C40" i="10"/>
  <c r="F52" i="1"/>
  <c r="G52" i="1"/>
  <c r="H52" i="1"/>
  <c r="H104" i="1" s="1"/>
  <c r="H185" i="1" s="1"/>
  <c r="G619" i="1" s="1"/>
  <c r="J619" i="1" s="1"/>
  <c r="I52" i="1"/>
  <c r="F71" i="1"/>
  <c r="C49" i="2" s="1"/>
  <c r="F86" i="1"/>
  <c r="C50" i="2" s="1"/>
  <c r="F103" i="1"/>
  <c r="G103" i="1"/>
  <c r="G104" i="1" s="1"/>
  <c r="G185" i="1" s="1"/>
  <c r="G618" i="1" s="1"/>
  <c r="J618" i="1" s="1"/>
  <c r="H71" i="1"/>
  <c r="H86" i="1"/>
  <c r="H103" i="1"/>
  <c r="I103" i="1"/>
  <c r="J103" i="1"/>
  <c r="J104" i="1"/>
  <c r="F113" i="1"/>
  <c r="F128" i="1"/>
  <c r="F132" i="1"/>
  <c r="C38" i="10" s="1"/>
  <c r="G113" i="1"/>
  <c r="G128" i="1"/>
  <c r="G132" i="1"/>
  <c r="H113" i="1"/>
  <c r="H128" i="1"/>
  <c r="H132" i="1"/>
  <c r="I113" i="1"/>
  <c r="I128" i="1"/>
  <c r="I132" i="1"/>
  <c r="J113" i="1"/>
  <c r="J128" i="1"/>
  <c r="J132" i="1"/>
  <c r="F139" i="1"/>
  <c r="C77" i="2" s="1"/>
  <c r="C83" i="2" s="1"/>
  <c r="F154" i="1"/>
  <c r="F161" i="1"/>
  <c r="C39" i="10" s="1"/>
  <c r="G139" i="1"/>
  <c r="G154" i="1"/>
  <c r="G161" i="1"/>
  <c r="H139" i="1"/>
  <c r="H161" i="1" s="1"/>
  <c r="I139" i="1"/>
  <c r="I154" i="1"/>
  <c r="I161" i="1"/>
  <c r="C18" i="10"/>
  <c r="L242" i="1"/>
  <c r="C105" i="2" s="1"/>
  <c r="L324" i="1"/>
  <c r="E105" i="2" s="1"/>
  <c r="C23" i="10"/>
  <c r="L246" i="1"/>
  <c r="L260" i="1"/>
  <c r="C26" i="10" s="1"/>
  <c r="L261" i="1"/>
  <c r="L341" i="1"/>
  <c r="E134" i="2" s="1"/>
  <c r="L342" i="1"/>
  <c r="I655" i="1"/>
  <c r="I660" i="1"/>
  <c r="H652" i="1"/>
  <c r="I659" i="1"/>
  <c r="C6" i="10"/>
  <c r="C5" i="10"/>
  <c r="C42" i="10"/>
  <c r="L366" i="1"/>
  <c r="L367" i="1"/>
  <c r="L368" i="1"/>
  <c r="L369" i="1"/>
  <c r="L370" i="1"/>
  <c r="L371" i="1"/>
  <c r="F122" i="2" s="1"/>
  <c r="F136" i="2" s="1"/>
  <c r="L372" i="1"/>
  <c r="B2" i="10"/>
  <c r="L336" i="1"/>
  <c r="L337" i="1"/>
  <c r="L338" i="1"/>
  <c r="L339" i="1"/>
  <c r="K343" i="1"/>
  <c r="L511" i="1"/>
  <c r="F539" i="1"/>
  <c r="K539" i="1" s="1"/>
  <c r="L512" i="1"/>
  <c r="F540" i="1"/>
  <c r="L513" i="1"/>
  <c r="F541" i="1" s="1"/>
  <c r="L516" i="1"/>
  <c r="G539" i="1"/>
  <c r="L517" i="1"/>
  <c r="G540" i="1" s="1"/>
  <c r="G542" i="1" s="1"/>
  <c r="L518" i="1"/>
  <c r="G541" i="1"/>
  <c r="L521" i="1"/>
  <c r="H539" i="1"/>
  <c r="H542" i="1" s="1"/>
  <c r="L522" i="1"/>
  <c r="H540" i="1"/>
  <c r="L523" i="1"/>
  <c r="H541" i="1" s="1"/>
  <c r="L526" i="1"/>
  <c r="I539" i="1"/>
  <c r="L527" i="1"/>
  <c r="I540" i="1"/>
  <c r="L528" i="1"/>
  <c r="I541" i="1" s="1"/>
  <c r="I542" i="1" s="1"/>
  <c r="L531" i="1"/>
  <c r="L534" i="1" s="1"/>
  <c r="J539" i="1"/>
  <c r="L532" i="1"/>
  <c r="J540" i="1" s="1"/>
  <c r="J542" i="1" s="1"/>
  <c r="L533" i="1"/>
  <c r="J541" i="1"/>
  <c r="E123" i="2"/>
  <c r="K262" i="1"/>
  <c r="J262" i="1"/>
  <c r="I262" i="1"/>
  <c r="H262" i="1"/>
  <c r="G262" i="1"/>
  <c r="F262" i="1"/>
  <c r="F263" i="1" s="1"/>
  <c r="C124" i="2"/>
  <c r="C123" i="2"/>
  <c r="A1" i="2"/>
  <c r="A2" i="2"/>
  <c r="C9" i="2"/>
  <c r="C19" i="2" s="1"/>
  <c r="D9" i="2"/>
  <c r="E9" i="2"/>
  <c r="E19" i="2" s="1"/>
  <c r="F9" i="2"/>
  <c r="I431" i="1"/>
  <c r="J9" i="1"/>
  <c r="J19" i="1" s="1"/>
  <c r="G611" i="1" s="1"/>
  <c r="G9" i="2"/>
  <c r="G19" i="2" s="1"/>
  <c r="C10" i="2"/>
  <c r="D10" i="2"/>
  <c r="D19" i="2" s="1"/>
  <c r="E10" i="2"/>
  <c r="F10" i="2"/>
  <c r="I432" i="1"/>
  <c r="J10" i="1"/>
  <c r="C11" i="2"/>
  <c r="C12" i="2"/>
  <c r="D12" i="2"/>
  <c r="E12" i="2"/>
  <c r="F12" i="2"/>
  <c r="I433" i="1"/>
  <c r="J12" i="1"/>
  <c r="G12" i="2"/>
  <c r="C13" i="2"/>
  <c r="D13" i="2"/>
  <c r="E13" i="2"/>
  <c r="E14" i="2"/>
  <c r="E16" i="2"/>
  <c r="E17" i="2"/>
  <c r="E18" i="2"/>
  <c r="F13" i="2"/>
  <c r="I434" i="1"/>
  <c r="J13" i="1"/>
  <c r="G13" i="2"/>
  <c r="C14" i="2"/>
  <c r="C16" i="2"/>
  <c r="C17" i="2"/>
  <c r="C18" i="2"/>
  <c r="D14" i="2"/>
  <c r="F14" i="2"/>
  <c r="I435" i="1"/>
  <c r="J14" i="1"/>
  <c r="G14" i="2"/>
  <c r="F15" i="2"/>
  <c r="F19" i="2" s="1"/>
  <c r="D16" i="2"/>
  <c r="F16" i="2"/>
  <c r="D17" i="2"/>
  <c r="F17" i="2"/>
  <c r="I436" i="1"/>
  <c r="J17" i="1" s="1"/>
  <c r="G17" i="2" s="1"/>
  <c r="D18" i="2"/>
  <c r="F18" i="2"/>
  <c r="I437" i="1"/>
  <c r="J18" i="1"/>
  <c r="G18" i="2"/>
  <c r="C22" i="2"/>
  <c r="C32" i="2" s="1"/>
  <c r="D22" i="2"/>
  <c r="E22" i="2"/>
  <c r="F22" i="2"/>
  <c r="F32" i="2" s="1"/>
  <c r="F43" i="2" s="1"/>
  <c r="I440" i="1"/>
  <c r="J23" i="1" s="1"/>
  <c r="C23" i="2"/>
  <c r="D23" i="2"/>
  <c r="E23" i="2"/>
  <c r="E32" i="2" s="1"/>
  <c r="F23" i="2"/>
  <c r="I441" i="1"/>
  <c r="I444" i="1" s="1"/>
  <c r="I451" i="1" s="1"/>
  <c r="H632" i="1" s="1"/>
  <c r="J24" i="1"/>
  <c r="G23" i="2" s="1"/>
  <c r="C24" i="2"/>
  <c r="D24" i="2"/>
  <c r="E24" i="2"/>
  <c r="F24" i="2"/>
  <c r="I442" i="1"/>
  <c r="J25" i="1"/>
  <c r="G24" i="2" s="1"/>
  <c r="C25" i="2"/>
  <c r="D25" i="2"/>
  <c r="E25" i="2"/>
  <c r="F25" i="2"/>
  <c r="C26" i="2"/>
  <c r="F26" i="2"/>
  <c r="C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C31" i="2"/>
  <c r="D31" i="2"/>
  <c r="E31" i="2"/>
  <c r="F31" i="2"/>
  <c r="I443" i="1"/>
  <c r="J32" i="1"/>
  <c r="G31" i="2"/>
  <c r="D32" i="2"/>
  <c r="C34" i="2"/>
  <c r="D34" i="2"/>
  <c r="E34" i="2"/>
  <c r="F34" i="2"/>
  <c r="C35" i="2"/>
  <c r="D35" i="2"/>
  <c r="E35" i="2"/>
  <c r="F35" i="2"/>
  <c r="C36" i="2"/>
  <c r="C42" i="2" s="1"/>
  <c r="D36" i="2"/>
  <c r="E36" i="2"/>
  <c r="E42" i="2" s="1"/>
  <c r="E43" i="2" s="1"/>
  <c r="F36" i="2"/>
  <c r="I446" i="1"/>
  <c r="J37" i="1"/>
  <c r="G36" i="2"/>
  <c r="C37" i="2"/>
  <c r="D37" i="2"/>
  <c r="E37" i="2"/>
  <c r="F37" i="2"/>
  <c r="I447" i="1"/>
  <c r="I450" i="1" s="1"/>
  <c r="J38" i="1"/>
  <c r="G37" i="2"/>
  <c r="C38" i="2"/>
  <c r="D38" i="2"/>
  <c r="E38" i="2"/>
  <c r="F38" i="2"/>
  <c r="I448" i="1"/>
  <c r="J40" i="1" s="1"/>
  <c r="C40" i="2"/>
  <c r="D40" i="2"/>
  <c r="E40" i="2"/>
  <c r="F40" i="2"/>
  <c r="I449" i="1"/>
  <c r="J41" i="1"/>
  <c r="G40" i="2" s="1"/>
  <c r="C41" i="2"/>
  <c r="D41" i="2"/>
  <c r="E41" i="2"/>
  <c r="F41" i="2"/>
  <c r="C48" i="2"/>
  <c r="D48" i="2"/>
  <c r="E48" i="2"/>
  <c r="E55" i="2" s="1"/>
  <c r="F48" i="2"/>
  <c r="E50" i="2"/>
  <c r="C51" i="2"/>
  <c r="D51" i="2"/>
  <c r="E51" i="2"/>
  <c r="F51" i="2"/>
  <c r="D52" i="2"/>
  <c r="D53" i="2"/>
  <c r="D54" i="2"/>
  <c r="D55" i="2"/>
  <c r="C53" i="2"/>
  <c r="E53" i="2"/>
  <c r="F53" i="2"/>
  <c r="F54" i="2" s="1"/>
  <c r="F55" i="2" s="1"/>
  <c r="F96" i="2" s="1"/>
  <c r="C58" i="2"/>
  <c r="C59" i="2"/>
  <c r="C61" i="2"/>
  <c r="D61" i="2"/>
  <c r="D62" i="2"/>
  <c r="E61" i="2"/>
  <c r="E62" i="2" s="1"/>
  <c r="F61" i="2"/>
  <c r="F62" i="2" s="1"/>
  <c r="C64" i="2"/>
  <c r="F64" i="2"/>
  <c r="C65" i="2"/>
  <c r="F65" i="2"/>
  <c r="F70" i="2" s="1"/>
  <c r="F73" i="2" s="1"/>
  <c r="C66" i="2"/>
  <c r="C70" i="2" s="1"/>
  <c r="C73" i="2" s="1"/>
  <c r="C67" i="2"/>
  <c r="C68" i="2"/>
  <c r="E68" i="2"/>
  <c r="E70" i="2" s="1"/>
  <c r="F68" i="2"/>
  <c r="C69" i="2"/>
  <c r="D69" i="2"/>
  <c r="E69" i="2"/>
  <c r="F69" i="2"/>
  <c r="D70" i="2"/>
  <c r="C71" i="2"/>
  <c r="D71" i="2"/>
  <c r="E71" i="2"/>
  <c r="C72" i="2"/>
  <c r="E72" i="2"/>
  <c r="D73" i="2"/>
  <c r="D77" i="2"/>
  <c r="E77" i="2"/>
  <c r="F77" i="2"/>
  <c r="C79" i="2"/>
  <c r="E79" i="2"/>
  <c r="F79" i="2"/>
  <c r="C80" i="2"/>
  <c r="D80" i="2"/>
  <c r="F80" i="2"/>
  <c r="C81" i="2"/>
  <c r="D81" i="2"/>
  <c r="D83" i="2" s="1"/>
  <c r="E81" i="2"/>
  <c r="F81" i="2"/>
  <c r="C82" i="2"/>
  <c r="C85" i="2"/>
  <c r="F85" i="2"/>
  <c r="C86" i="2"/>
  <c r="C95" i="2" s="1"/>
  <c r="F86" i="2"/>
  <c r="D88" i="2"/>
  <c r="D95" i="2" s="1"/>
  <c r="E88" i="2"/>
  <c r="E95" i="2" s="1"/>
  <c r="F88" i="2"/>
  <c r="C89" i="2"/>
  <c r="D89" i="2"/>
  <c r="E89" i="2"/>
  <c r="E90" i="2"/>
  <c r="E91" i="2"/>
  <c r="E92" i="2"/>
  <c r="E93" i="2"/>
  <c r="E94" i="2"/>
  <c r="F89" i="2"/>
  <c r="C90" i="2"/>
  <c r="D90" i="2"/>
  <c r="C91" i="2"/>
  <c r="D91" i="2"/>
  <c r="F91" i="2"/>
  <c r="C92" i="2"/>
  <c r="D92" i="2"/>
  <c r="F92" i="2"/>
  <c r="C93" i="2"/>
  <c r="D93" i="2"/>
  <c r="F93" i="2"/>
  <c r="C94" i="2"/>
  <c r="D94" i="2"/>
  <c r="F94" i="2"/>
  <c r="F95" i="2"/>
  <c r="D107" i="2"/>
  <c r="F107" i="2"/>
  <c r="F137" i="2" s="1"/>
  <c r="G107" i="2"/>
  <c r="E112" i="2"/>
  <c r="C113" i="2"/>
  <c r="E113" i="2"/>
  <c r="E114" i="2"/>
  <c r="C115" i="2"/>
  <c r="E115" i="2"/>
  <c r="C116" i="2"/>
  <c r="C117" i="2"/>
  <c r="F120" i="2"/>
  <c r="G120" i="2"/>
  <c r="E122" i="2"/>
  <c r="F126" i="2"/>
  <c r="D126" i="2"/>
  <c r="D136" i="2"/>
  <c r="E126" i="2"/>
  <c r="E127" i="2"/>
  <c r="E129" i="2"/>
  <c r="E135" i="2"/>
  <c r="K411" i="1"/>
  <c r="K426" i="1" s="1"/>
  <c r="G126" i="2" s="1"/>
  <c r="G136" i="2" s="1"/>
  <c r="K419" i="1"/>
  <c r="K425" i="1"/>
  <c r="L255" i="1"/>
  <c r="C127" i="2"/>
  <c r="L256" i="1"/>
  <c r="C128" i="2"/>
  <c r="L257" i="1"/>
  <c r="C129" i="2"/>
  <c r="C134" i="2"/>
  <c r="C135" i="2"/>
  <c r="B143" i="2"/>
  <c r="C143" i="2"/>
  <c r="D143" i="2"/>
  <c r="E143" i="2"/>
  <c r="F143" i="2"/>
  <c r="B144" i="2"/>
  <c r="C144" i="2"/>
  <c r="D144" i="2"/>
  <c r="E144" i="2"/>
  <c r="F144" i="2"/>
  <c r="B145" i="2"/>
  <c r="C145" i="2"/>
  <c r="D145" i="2"/>
  <c r="E145" i="2"/>
  <c r="F145" i="2"/>
  <c r="B146" i="2"/>
  <c r="C146" i="2"/>
  <c r="D146" i="2"/>
  <c r="E146" i="2"/>
  <c r="F146" i="2"/>
  <c r="B147" i="2"/>
  <c r="C147" i="2"/>
  <c r="D147" i="2"/>
  <c r="E147" i="2"/>
  <c r="F147" i="2"/>
  <c r="B148" i="2"/>
  <c r="C148" i="2"/>
  <c r="D148" i="2"/>
  <c r="E148" i="2"/>
  <c r="F148" i="2"/>
  <c r="G148" i="2"/>
  <c r="B149" i="2"/>
  <c r="G149" i="2" s="1"/>
  <c r="C149" i="2"/>
  <c r="D149" i="2"/>
  <c r="E149" i="2"/>
  <c r="F149" i="2"/>
  <c r="B150" i="2"/>
  <c r="C150" i="2"/>
  <c r="D150" i="2"/>
  <c r="E150" i="2"/>
  <c r="F150" i="2"/>
  <c r="G150" i="2"/>
  <c r="C151" i="2"/>
  <c r="D151" i="2"/>
  <c r="E151" i="2"/>
  <c r="F151" i="2"/>
  <c r="B152" i="2"/>
  <c r="C152" i="2"/>
  <c r="D152" i="2"/>
  <c r="E152" i="2"/>
  <c r="F152" i="2"/>
  <c r="G152" i="2"/>
  <c r="G490" i="1"/>
  <c r="C153" i="2"/>
  <c r="H490" i="1"/>
  <c r="D153" i="2" s="1"/>
  <c r="I490" i="1"/>
  <c r="E153" i="2"/>
  <c r="J490" i="1"/>
  <c r="F153" i="2"/>
  <c r="B154" i="2"/>
  <c r="C154" i="2"/>
  <c r="D154" i="2"/>
  <c r="E154" i="2"/>
  <c r="G154" i="2" s="1"/>
  <c r="F154" i="2"/>
  <c r="B155" i="2"/>
  <c r="C155" i="2"/>
  <c r="G155" i="2" s="1"/>
  <c r="D155" i="2"/>
  <c r="E155" i="2"/>
  <c r="F155" i="2"/>
  <c r="F493" i="1"/>
  <c r="B156" i="2"/>
  <c r="E156" i="2"/>
  <c r="F156" i="2"/>
  <c r="G493" i="1"/>
  <c r="C156" i="2" s="1"/>
  <c r="H493" i="1"/>
  <c r="D156" i="2" s="1"/>
  <c r="I493" i="1"/>
  <c r="J493" i="1"/>
  <c r="F19" i="1"/>
  <c r="G19" i="1"/>
  <c r="G608" i="1"/>
  <c r="H19" i="1"/>
  <c r="I19" i="1"/>
  <c r="G610" i="1" s="1"/>
  <c r="F33" i="1"/>
  <c r="G33" i="1"/>
  <c r="H33" i="1"/>
  <c r="H44" i="1" s="1"/>
  <c r="H609" i="1" s="1"/>
  <c r="I33" i="1"/>
  <c r="I44" i="1" s="1"/>
  <c r="H610" i="1" s="1"/>
  <c r="F43" i="1"/>
  <c r="G43" i="1"/>
  <c r="G44" i="1" s="1"/>
  <c r="H608" i="1" s="1"/>
  <c r="J608" i="1" s="1"/>
  <c r="H43" i="1"/>
  <c r="I43" i="1"/>
  <c r="F169" i="1"/>
  <c r="I169" i="1"/>
  <c r="I184" i="1" s="1"/>
  <c r="I185" i="1" s="1"/>
  <c r="G620" i="1" s="1"/>
  <c r="J620" i="1" s="1"/>
  <c r="F175" i="1"/>
  <c r="G175" i="1"/>
  <c r="G184" i="1"/>
  <c r="H175" i="1"/>
  <c r="I175" i="1"/>
  <c r="J175" i="1"/>
  <c r="J184" i="1" s="1"/>
  <c r="F180" i="1"/>
  <c r="G180" i="1"/>
  <c r="H180" i="1"/>
  <c r="I180" i="1"/>
  <c r="F184" i="1"/>
  <c r="H184" i="1"/>
  <c r="F203" i="1"/>
  <c r="G203" i="1"/>
  <c r="I203" i="1"/>
  <c r="J203" i="1"/>
  <c r="J249" i="1" s="1"/>
  <c r="K203" i="1"/>
  <c r="K249" i="1" s="1"/>
  <c r="K263" i="1" s="1"/>
  <c r="F221" i="1"/>
  <c r="G221" i="1"/>
  <c r="G249" i="1" s="1"/>
  <c r="G263" i="1" s="1"/>
  <c r="H221" i="1"/>
  <c r="I221" i="1"/>
  <c r="I249" i="1" s="1"/>
  <c r="I263" i="1" s="1"/>
  <c r="J221" i="1"/>
  <c r="K221" i="1"/>
  <c r="F239" i="1"/>
  <c r="G239" i="1"/>
  <c r="H239" i="1"/>
  <c r="I239" i="1"/>
  <c r="J239" i="1"/>
  <c r="K239" i="1"/>
  <c r="F248" i="1"/>
  <c r="L248" i="1" s="1"/>
  <c r="G248" i="1"/>
  <c r="H248" i="1"/>
  <c r="I248" i="1"/>
  <c r="J248" i="1"/>
  <c r="K248" i="1"/>
  <c r="F282" i="1"/>
  <c r="H282" i="1"/>
  <c r="H330" i="1" s="1"/>
  <c r="H344" i="1" s="1"/>
  <c r="I282" i="1"/>
  <c r="I330" i="1"/>
  <c r="I344" i="1" s="1"/>
  <c r="F301" i="1"/>
  <c r="G301" i="1"/>
  <c r="H301" i="1"/>
  <c r="I301" i="1"/>
  <c r="F320" i="1"/>
  <c r="F330" i="1" s="1"/>
  <c r="F344" i="1" s="1"/>
  <c r="G320" i="1"/>
  <c r="H320" i="1"/>
  <c r="I320" i="1"/>
  <c r="F329" i="1"/>
  <c r="L329" i="1" s="1"/>
  <c r="G329" i="1"/>
  <c r="H329" i="1"/>
  <c r="I329" i="1"/>
  <c r="J329" i="1"/>
  <c r="K329" i="1"/>
  <c r="K330" i="1"/>
  <c r="K344" i="1" s="1"/>
  <c r="F354" i="1"/>
  <c r="H354" i="1"/>
  <c r="I354" i="1"/>
  <c r="G624" i="1" s="1"/>
  <c r="J624" i="1" s="1"/>
  <c r="J354" i="1"/>
  <c r="K354" i="1"/>
  <c r="I360" i="1"/>
  <c r="F361" i="1"/>
  <c r="G361" i="1"/>
  <c r="H361" i="1"/>
  <c r="L373" i="1"/>
  <c r="F374" i="1"/>
  <c r="G374" i="1"/>
  <c r="H374" i="1"/>
  <c r="I374" i="1"/>
  <c r="J374" i="1"/>
  <c r="K374" i="1"/>
  <c r="F385" i="1"/>
  <c r="F400" i="1" s="1"/>
  <c r="H633" i="1" s="1"/>
  <c r="J633" i="1" s="1"/>
  <c r="G385" i="1"/>
  <c r="H385" i="1"/>
  <c r="H400" i="1" s="1"/>
  <c r="H634" i="1" s="1"/>
  <c r="I385" i="1"/>
  <c r="F393" i="1"/>
  <c r="G393" i="1"/>
  <c r="G400" i="1" s="1"/>
  <c r="H635" i="1" s="1"/>
  <c r="H393" i="1"/>
  <c r="I393" i="1"/>
  <c r="F399" i="1"/>
  <c r="G399" i="1"/>
  <c r="H399" i="1"/>
  <c r="I399" i="1"/>
  <c r="I400" i="1"/>
  <c r="L405" i="1"/>
  <c r="L411" i="1" s="1"/>
  <c r="L406" i="1"/>
  <c r="L407" i="1"/>
  <c r="L408" i="1"/>
  <c r="L409" i="1"/>
  <c r="L410" i="1"/>
  <c r="F411" i="1"/>
  <c r="G411" i="1"/>
  <c r="H411" i="1"/>
  <c r="I411" i="1"/>
  <c r="I426" i="1" s="1"/>
  <c r="J411" i="1"/>
  <c r="J426" i="1" s="1"/>
  <c r="L413" i="1"/>
  <c r="L419" i="1" s="1"/>
  <c r="L414" i="1"/>
  <c r="L415" i="1"/>
  <c r="L416" i="1"/>
  <c r="L417" i="1"/>
  <c r="L418" i="1"/>
  <c r="F419" i="1"/>
  <c r="G419" i="1"/>
  <c r="H419" i="1"/>
  <c r="I419" i="1"/>
  <c r="J419" i="1"/>
  <c r="L421" i="1"/>
  <c r="L425" i="1" s="1"/>
  <c r="L422" i="1"/>
  <c r="L423" i="1"/>
  <c r="L424" i="1"/>
  <c r="F425" i="1"/>
  <c r="G425" i="1"/>
  <c r="H425" i="1"/>
  <c r="I425" i="1"/>
  <c r="J425" i="1"/>
  <c r="F426" i="1"/>
  <c r="G426" i="1"/>
  <c r="H426" i="1"/>
  <c r="F438" i="1"/>
  <c r="G629" i="1" s="1"/>
  <c r="J629" i="1" s="1"/>
  <c r="G438" i="1"/>
  <c r="G630" i="1"/>
  <c r="H438" i="1"/>
  <c r="I438" i="1"/>
  <c r="G632" i="1"/>
  <c r="J632" i="1" s="1"/>
  <c r="F444" i="1"/>
  <c r="F451" i="1" s="1"/>
  <c r="H629" i="1" s="1"/>
  <c r="G444" i="1"/>
  <c r="G451" i="1" s="1"/>
  <c r="H630" i="1" s="1"/>
  <c r="J630" i="1" s="1"/>
  <c r="H444" i="1"/>
  <c r="F450" i="1"/>
  <c r="G450" i="1"/>
  <c r="H450" i="1"/>
  <c r="H451" i="1"/>
  <c r="H631" i="1" s="1"/>
  <c r="F460" i="1"/>
  <c r="F466" i="1" s="1"/>
  <c r="H612" i="1" s="1"/>
  <c r="J612" i="1" s="1"/>
  <c r="G460" i="1"/>
  <c r="G466" i="1" s="1"/>
  <c r="H613" i="1" s="1"/>
  <c r="H460" i="1"/>
  <c r="I460" i="1"/>
  <c r="I466" i="1" s="1"/>
  <c r="H615" i="1" s="1"/>
  <c r="G464" i="1"/>
  <c r="H464" i="1"/>
  <c r="H466" i="1"/>
  <c r="H614" i="1" s="1"/>
  <c r="I464" i="1"/>
  <c r="J464" i="1"/>
  <c r="K485" i="1"/>
  <c r="K486" i="1"/>
  <c r="K487" i="1"/>
  <c r="K489" i="1"/>
  <c r="K491" i="1"/>
  <c r="K492" i="1"/>
  <c r="F507" i="1"/>
  <c r="G507" i="1"/>
  <c r="H507" i="1"/>
  <c r="I507" i="1"/>
  <c r="F514" i="1"/>
  <c r="G514" i="1"/>
  <c r="H514" i="1"/>
  <c r="I514" i="1"/>
  <c r="I535" i="1" s="1"/>
  <c r="J514" i="1"/>
  <c r="J535" i="1" s="1"/>
  <c r="K514" i="1"/>
  <c r="K535" i="1" s="1"/>
  <c r="F519" i="1"/>
  <c r="F535" i="1"/>
  <c r="G519" i="1"/>
  <c r="G535" i="1" s="1"/>
  <c r="H519" i="1"/>
  <c r="I519" i="1"/>
  <c r="J519" i="1"/>
  <c r="K519" i="1"/>
  <c r="L519" i="1"/>
  <c r="F524" i="1"/>
  <c r="G524" i="1"/>
  <c r="H524" i="1"/>
  <c r="H535" i="1" s="1"/>
  <c r="I524" i="1"/>
  <c r="J524" i="1"/>
  <c r="K524" i="1"/>
  <c r="F529" i="1"/>
  <c r="G529" i="1"/>
  <c r="H529" i="1"/>
  <c r="I529" i="1"/>
  <c r="J529" i="1"/>
  <c r="K529" i="1"/>
  <c r="L529" i="1"/>
  <c r="F534" i="1"/>
  <c r="G534" i="1"/>
  <c r="H534" i="1"/>
  <c r="I534" i="1"/>
  <c r="J534" i="1"/>
  <c r="K534" i="1"/>
  <c r="L547" i="1"/>
  <c r="L550" i="1" s="1"/>
  <c r="L548" i="1"/>
  <c r="L549" i="1"/>
  <c r="F550" i="1"/>
  <c r="G550" i="1"/>
  <c r="H550" i="1"/>
  <c r="H561" i="1" s="1"/>
  <c r="I550" i="1"/>
  <c r="J550" i="1"/>
  <c r="J561" i="1" s="1"/>
  <c r="K550" i="1"/>
  <c r="L552" i="1"/>
  <c r="L553" i="1"/>
  <c r="L554" i="1"/>
  <c r="F555" i="1"/>
  <c r="F561" i="1" s="1"/>
  <c r="G555" i="1"/>
  <c r="H555" i="1"/>
  <c r="I555" i="1"/>
  <c r="J555" i="1"/>
  <c r="K555" i="1"/>
  <c r="L555" i="1"/>
  <c r="L557" i="1"/>
  <c r="L560" i="1" s="1"/>
  <c r="L558" i="1"/>
  <c r="L559" i="1"/>
  <c r="F560" i="1"/>
  <c r="G560" i="1"/>
  <c r="H560" i="1"/>
  <c r="I560" i="1"/>
  <c r="J560" i="1"/>
  <c r="K560" i="1"/>
  <c r="G561" i="1"/>
  <c r="I561" i="1"/>
  <c r="K561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K581" i="1"/>
  <c r="K582" i="1"/>
  <c r="K583" i="1"/>
  <c r="K584" i="1"/>
  <c r="K585" i="1"/>
  <c r="K586" i="1"/>
  <c r="K587" i="1"/>
  <c r="H588" i="1"/>
  <c r="H639" i="1"/>
  <c r="J639" i="1" s="1"/>
  <c r="I588" i="1"/>
  <c r="H640" i="1" s="1"/>
  <c r="J640" i="1" s="1"/>
  <c r="J588" i="1"/>
  <c r="H641" i="1" s="1"/>
  <c r="K592" i="1"/>
  <c r="K593" i="1"/>
  <c r="K595" i="1" s="1"/>
  <c r="G638" i="1" s="1"/>
  <c r="K594" i="1"/>
  <c r="H595" i="1"/>
  <c r="I595" i="1"/>
  <c r="J595" i="1"/>
  <c r="F604" i="1"/>
  <c r="G604" i="1"/>
  <c r="H604" i="1"/>
  <c r="I604" i="1"/>
  <c r="J604" i="1"/>
  <c r="K604" i="1"/>
  <c r="G607" i="1"/>
  <c r="G609" i="1"/>
  <c r="J609" i="1" s="1"/>
  <c r="G612" i="1"/>
  <c r="G613" i="1"/>
  <c r="G614" i="1"/>
  <c r="J614" i="1" s="1"/>
  <c r="G615" i="1"/>
  <c r="J615" i="1" s="1"/>
  <c r="H617" i="1"/>
  <c r="H618" i="1"/>
  <c r="H619" i="1"/>
  <c r="H620" i="1"/>
  <c r="H623" i="1"/>
  <c r="H625" i="1"/>
  <c r="H626" i="1"/>
  <c r="H627" i="1"/>
  <c r="H628" i="1"/>
  <c r="G631" i="1"/>
  <c r="G633" i="1"/>
  <c r="G634" i="1"/>
  <c r="J634" i="1" s="1"/>
  <c r="H637" i="1"/>
  <c r="G639" i="1"/>
  <c r="G640" i="1"/>
  <c r="G641" i="1"/>
  <c r="G642" i="1"/>
  <c r="J642" i="1" s="1"/>
  <c r="H642" i="1"/>
  <c r="G643" i="1"/>
  <c r="H643" i="1"/>
  <c r="J643" i="1"/>
  <c r="G644" i="1"/>
  <c r="H644" i="1"/>
  <c r="J644" i="1"/>
  <c r="G645" i="1"/>
  <c r="H645" i="1"/>
  <c r="J645" i="1"/>
  <c r="F83" i="2"/>
  <c r="K588" i="1"/>
  <c r="G637" i="1"/>
  <c r="J637" i="1" s="1"/>
  <c r="E49" i="2"/>
  <c r="E54" i="2"/>
  <c r="F42" i="2"/>
  <c r="D42" i="2"/>
  <c r="D43" i="2"/>
  <c r="I104" i="1"/>
  <c r="C35" i="10"/>
  <c r="L393" i="1"/>
  <c r="C131" i="2" s="1"/>
  <c r="C32" i="10"/>
  <c r="G31" i="13"/>
  <c r="C21" i="10"/>
  <c r="G652" i="1"/>
  <c r="C62" i="2"/>
  <c r="F44" i="1"/>
  <c r="H607" i="1"/>
  <c r="J607" i="1"/>
  <c r="G10" i="2"/>
  <c r="F249" i="1"/>
  <c r="F652" i="1"/>
  <c r="I652" i="1" s="1"/>
  <c r="J641" i="1" l="1"/>
  <c r="K541" i="1"/>
  <c r="C130" i="2"/>
  <c r="C133" i="2" s="1"/>
  <c r="L400" i="1"/>
  <c r="C112" i="2"/>
  <c r="C17" i="10"/>
  <c r="E8" i="13"/>
  <c r="G156" i="2"/>
  <c r="G39" i="2"/>
  <c r="J43" i="1"/>
  <c r="G42" i="2"/>
  <c r="K540" i="1"/>
  <c r="K542" i="1" s="1"/>
  <c r="D96" i="2"/>
  <c r="C55" i="2"/>
  <c r="C96" i="2" s="1"/>
  <c r="C36" i="10"/>
  <c r="J263" i="1"/>
  <c r="H638" i="1"/>
  <c r="D119" i="2"/>
  <c r="D120" i="2" s="1"/>
  <c r="D137" i="2" s="1"/>
  <c r="L354" i="1"/>
  <c r="D29" i="13"/>
  <c r="C29" i="13" s="1"/>
  <c r="F651" i="1"/>
  <c r="G651" i="1"/>
  <c r="H651" i="1"/>
  <c r="H654" i="1" s="1"/>
  <c r="L561" i="1"/>
  <c r="H33" i="13"/>
  <c r="C25" i="13"/>
  <c r="J610" i="1"/>
  <c r="E120" i="2"/>
  <c r="C102" i="2"/>
  <c r="J631" i="1"/>
  <c r="J613" i="1"/>
  <c r="C101" i="2"/>
  <c r="D6" i="13"/>
  <c r="C6" i="13" s="1"/>
  <c r="C110" i="2"/>
  <c r="C15" i="10"/>
  <c r="L426" i="1"/>
  <c r="G628" i="1" s="1"/>
  <c r="J628" i="1" s="1"/>
  <c r="C43" i="2"/>
  <c r="A22" i="12"/>
  <c r="J638" i="1"/>
  <c r="G137" i="2"/>
  <c r="E73" i="2"/>
  <c r="E96" i="2" s="1"/>
  <c r="J33" i="1"/>
  <c r="G22" i="2"/>
  <c r="G32" i="2" s="1"/>
  <c r="J185" i="1"/>
  <c r="C54" i="2"/>
  <c r="F33" i="13"/>
  <c r="D5" i="13"/>
  <c r="D7" i="13"/>
  <c r="C7" i="13" s="1"/>
  <c r="L514" i="1"/>
  <c r="L374" i="1"/>
  <c r="G626" i="1" s="1"/>
  <c r="J626" i="1" s="1"/>
  <c r="G354" i="1"/>
  <c r="L524" i="1"/>
  <c r="G282" i="1"/>
  <c r="G330" i="1" s="1"/>
  <c r="G344" i="1" s="1"/>
  <c r="F542" i="1"/>
  <c r="F490" i="1"/>
  <c r="B151" i="2"/>
  <c r="G151" i="2" s="1"/>
  <c r="C122" i="2"/>
  <c r="C114" i="2"/>
  <c r="E13" i="13"/>
  <c r="C13" i="13" s="1"/>
  <c r="L203" i="1"/>
  <c r="C106" i="2"/>
  <c r="L269" i="1"/>
  <c r="C10" i="10"/>
  <c r="K493" i="1"/>
  <c r="L262" i="1"/>
  <c r="E101" i="2"/>
  <c r="C12" i="10"/>
  <c r="H622" i="1"/>
  <c r="L221" i="1"/>
  <c r="G650" i="1" s="1"/>
  <c r="G654" i="1" s="1"/>
  <c r="H621" i="1"/>
  <c r="C104" i="2"/>
  <c r="E124" i="2"/>
  <c r="E136" i="2" s="1"/>
  <c r="E80" i="2"/>
  <c r="E83" i="2" s="1"/>
  <c r="L343" i="1"/>
  <c r="F104" i="1"/>
  <c r="F185" i="1" s="1"/>
  <c r="G617" i="1" s="1"/>
  <c r="J617" i="1" s="1"/>
  <c r="C111" i="2"/>
  <c r="G635" i="1"/>
  <c r="J635" i="1" s="1"/>
  <c r="H657" i="1" l="1"/>
  <c r="H662" i="1"/>
  <c r="C8" i="13"/>
  <c r="E33" i="13"/>
  <c r="D35" i="13" s="1"/>
  <c r="I651" i="1"/>
  <c r="L282" i="1"/>
  <c r="E102" i="2"/>
  <c r="E107" i="2" s="1"/>
  <c r="E137" i="2" s="1"/>
  <c r="D36" i="10"/>
  <c r="C41" i="10"/>
  <c r="L535" i="1"/>
  <c r="C27" i="10"/>
  <c r="G625" i="1"/>
  <c r="J625" i="1" s="1"/>
  <c r="H636" i="1"/>
  <c r="G627" i="1"/>
  <c r="J627" i="1" s="1"/>
  <c r="L249" i="1"/>
  <c r="L263" i="1" s="1"/>
  <c r="G622" i="1" s="1"/>
  <c r="J622" i="1" s="1"/>
  <c r="G657" i="1"/>
  <c r="G662" i="1"/>
  <c r="C136" i="2"/>
  <c r="C120" i="2"/>
  <c r="G616" i="1"/>
  <c r="J44" i="1"/>
  <c r="H611" i="1" s="1"/>
  <c r="J611" i="1" s="1"/>
  <c r="G43" i="2"/>
  <c r="C11" i="10"/>
  <c r="C28" i="10" s="1"/>
  <c r="C5" i="13"/>
  <c r="B153" i="2"/>
  <c r="G153" i="2" s="1"/>
  <c r="K490" i="1"/>
  <c r="G636" i="1"/>
  <c r="J636" i="1" s="1"/>
  <c r="G621" i="1"/>
  <c r="J621" i="1" s="1"/>
  <c r="C107" i="2"/>
  <c r="D21" i="10" l="1"/>
  <c r="D22" i="10"/>
  <c r="D18" i="10"/>
  <c r="C30" i="10"/>
  <c r="D26" i="10"/>
  <c r="D25" i="10"/>
  <c r="D16" i="10"/>
  <c r="D20" i="10"/>
  <c r="D24" i="10"/>
  <c r="D13" i="10"/>
  <c r="D19" i="10"/>
  <c r="D23" i="10"/>
  <c r="D17" i="10"/>
  <c r="D15" i="10"/>
  <c r="D10" i="10"/>
  <c r="D12" i="10"/>
  <c r="L330" i="1"/>
  <c r="L344" i="1" s="1"/>
  <c r="G623" i="1" s="1"/>
  <c r="J623" i="1" s="1"/>
  <c r="D31" i="13"/>
  <c r="F650" i="1"/>
  <c r="D11" i="10"/>
  <c r="D27" i="10"/>
  <c r="C137" i="2"/>
  <c r="J616" i="1"/>
  <c r="H646" i="1"/>
  <c r="D40" i="10"/>
  <c r="D38" i="10"/>
  <c r="D37" i="10"/>
  <c r="D39" i="10"/>
  <c r="D35" i="10"/>
  <c r="C31" i="13" l="1"/>
  <c r="D33" i="13"/>
  <c r="D36" i="13" s="1"/>
  <c r="I650" i="1"/>
  <c r="I654" i="1" s="1"/>
  <c r="F654" i="1"/>
  <c r="D41" i="10"/>
  <c r="D28" i="10"/>
  <c r="F657" i="1" l="1"/>
  <c r="F662" i="1"/>
  <c r="C4" i="10" s="1"/>
  <c r="I662" i="1"/>
  <c r="C7" i="10" s="1"/>
  <c r="I65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  Leclerc</author>
  </authors>
  <commentList>
    <comment ref="F49" authorId="0" shapeId="0" xr:uid="{96E65D92-5EE9-4297-A802-A2879B908D77}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53" authorId="0" shapeId="0" xr:uid="{27298521-A7F3-45BD-B434-7C8D34C1046F}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73" authorId="0" shapeId="0" xr:uid="{5A9ACFD0-7151-41A8-B476-5200D99FE744}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85" authorId="0" shapeId="0" xr:uid="{F9E3C756-427D-485A-AD59-CB20560D9113}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06" authorId="0" shapeId="0" xr:uid="{A8C40F14-7B95-42F7-837E-AF004AD8559C}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0" authorId="0" shapeId="0" xr:uid="{AEDFF933-D822-4183-A7E6-A98895508769}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24" authorId="0" shapeId="0" xr:uid="{20593BCE-6944-4355-BEBA-397D381D3A00}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0" authorId="0" shapeId="0" xr:uid="{6272B69B-DB8A-465B-ACC4-D04D3A44010D}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81" authorId="0" shapeId="0" xr:uid="{9A93F63F-078E-4C0F-A608-754035C6C575}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88" authorId="0" shapeId="0" xr:uid="{F5C30E10-A2A8-419C-83A1-EB0DE7C96271}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595" authorId="0" shapeId="0" xr:uid="{C191A707-D38D-4366-B93C-C09E70DE19FD}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46" authorId="0" shapeId="0" xr:uid="{24861566-699E-452B-B068-23FB7BFDB67A}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<sst xmlns="http://schemas.openxmlformats.org/spreadsheetml/2006/main" count="3865" uniqueCount="902">
  <si>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</si>
  <si>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</si>
  <si>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</si>
  <si>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</si>
  <si>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</si>
  <si>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</si>
  <si>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</si>
  <si>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</si>
  <si>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</si>
  <si>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</si>
  <si>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</si>
  <si>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</si>
  <si>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</si>
  <si>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</si>
  <si>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</si>
  <si>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</si>
  <si>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</si>
  <si>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</si>
  <si>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</si>
  <si>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</si>
  <si>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</si>
  <si>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</si>
  <si>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</si>
  <si>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</si>
  <si>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</si>
  <si>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</si>
  <si>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</si>
  <si>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</si>
  <si>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</si>
  <si>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</si>
  <si>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</si>
  <si>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</si>
  <si>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</si>
  <si>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</si>
  <si>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</si>
  <si>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</si>
  <si>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</si>
  <si>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</si>
  <si>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</si>
  <si>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</si>
  <si>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</si>
  <si>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</si>
  <si>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</si>
  <si>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</si>
  <si>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</si>
  <si>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</si>
  <si>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</si>
  <si>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</si>
  <si>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</si>
  <si>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</si>
  <si>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</si>
  <si>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</si>
  <si>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</si>
  <si>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</si>
  <si>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</si>
  <si>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</si>
  <si>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</si>
  <si>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</si>
  <si>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</si>
  <si>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</si>
  <si>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</si>
  <si>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</si>
  <si>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</si>
  <si>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</si>
  <si>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</si>
  <si>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</si>
  <si>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</si>
  <si>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</si>
  <si>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</si>
  <si>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</si>
  <si>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</si>
  <si>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</si>
  <si>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</si>
  <si>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</si>
  <si>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</si>
  <si>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</si>
  <si>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</si>
  <si>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</si>
  <si>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</si>
  <si>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</si>
  <si>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</si>
  <si>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</si>
  <si>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</si>
  <si>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</si>
  <si>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</si>
  <si>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</si>
  <si>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</si>
  <si>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</si>
  <si>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</si>
  <si>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</si>
  <si>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</si>
  <si>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</si>
  <si>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</si>
  <si>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</si>
  <si>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</si>
  <si>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</si>
  <si>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</si>
  <si>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</si>
  <si>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</si>
  <si>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</si>
  <si>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1/32/1</t>
  </si>
  <si>
    <t>TOTALS</t>
  </si>
  <si>
    <t>1/32/2</t>
  </si>
  <si>
    <t>1/32/3</t>
  </si>
  <si>
    <t>1/32/4</t>
  </si>
  <si>
    <t>1/32/5</t>
  </si>
  <si>
    <t>19/8/1</t>
  </si>
  <si>
    <t>1/31/2</t>
  </si>
  <si>
    <t>19/8/2</t>
  </si>
  <si>
    <t>1/31/3</t>
  </si>
  <si>
    <t>19/8/3</t>
  </si>
  <si>
    <t>1/31/4</t>
  </si>
  <si>
    <t>19/8/4</t>
  </si>
  <si>
    <t>1/31/5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</si>
  <si>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</si>
  <si>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</si>
  <si>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</si>
  <si>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</si>
  <si>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</si>
  <si>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</si>
  <si>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</si>
  <si>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</si>
  <si>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</si>
  <si>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</si>
  <si>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</si>
  <si>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</si>
  <si>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</si>
  <si>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</si>
  <si>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18/19/1</t>
  </si>
  <si>
    <t>18/8/2</t>
  </si>
  <si>
    <t>18/19/2</t>
  </si>
  <si>
    <t>18/8/3</t>
  </si>
  <si>
    <t>18/19/3</t>
  </si>
  <si>
    <t>18/8/4</t>
  </si>
  <si>
    <t>18/19/4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</si>
  <si>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</si>
  <si>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</si>
  <si>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</si>
  <si>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</si>
  <si>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</si>
  <si>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</si>
  <si>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</si>
  <si>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</si>
  <si>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</si>
  <si>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</si>
  <si>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</si>
  <si>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</si>
  <si>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</si>
  <si>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</si>
  <si>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</si>
  <si>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</si>
  <si>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</si>
  <si>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</si>
  <si>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</si>
  <si>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</si>
  <si>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</si>
  <si>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</si>
  <si>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</si>
  <si>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</si>
  <si>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</si>
  <si>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</si>
  <si>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</si>
  <si>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</si>
  <si>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</si>
  <si>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</si>
  <si>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</si>
  <si>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</si>
  <si>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</si>
  <si>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</si>
  <si>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</si>
  <si>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</si>
  <si>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</si>
  <si>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</si>
  <si>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</si>
  <si>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23. RES FOR INVENTORIES</t>
  </si>
  <si>
    <t>24. RES FOR PREPAID EXPENSES</t>
  </si>
  <si>
    <t>25. RES FOR ENCUMBRANCES</t>
  </si>
  <si>
    <t>26. RES FOR CONTINUING APPR</t>
  </si>
  <si>
    <t xml:space="preserve">27. RES FOR AMTS VOTED </t>
  </si>
  <si>
    <t>28. RES FOR ENDOWMENTS</t>
  </si>
  <si>
    <t>29. RES FOR SPEC PURP</t>
  </si>
  <si>
    <t>30. UNRES FUND BALANCE</t>
  </si>
  <si>
    <t>31. Total Fund Equity    lines 23-30</t>
  </si>
  <si>
    <t>32. TOT LIAB &amp; FUND EQUITY    lines 22 &amp; 31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</si>
  <si>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</si>
  <si>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</si>
  <si>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</si>
  <si>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</si>
  <si>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</si>
  <si>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</si>
  <si>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</si>
  <si>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</si>
  <si>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</si>
  <si>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</si>
  <si>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</si>
  <si>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</si>
  <si>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</si>
  <si>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</si>
  <si>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</si>
  <si>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</si>
  <si>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</si>
  <si>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</si>
  <si>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</si>
  <si>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</si>
  <si>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</si>
  <si>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</si>
  <si>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</si>
  <si>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</si>
  <si>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</si>
  <si>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</si>
  <si>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</si>
  <si>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</si>
  <si>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</si>
  <si>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</si>
  <si>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</si>
  <si>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</si>
  <si>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</si>
  <si>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</si>
  <si>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</si>
  <si>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</si>
  <si>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</si>
  <si>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</si>
  <si>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</si>
  <si>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</si>
  <si>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</si>
  <si>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</si>
  <si>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</si>
  <si>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</si>
  <si>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</si>
  <si>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</si>
  <si>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</si>
  <si>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</si>
  <si>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</si>
  <si>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</si>
  <si>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</si>
  <si>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</si>
  <si>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</si>
  <si>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</si>
  <si>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</si>
  <si>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</si>
  <si>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</si>
  <si>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</si>
  <si>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</si>
  <si>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</si>
  <si>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</si>
  <si>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</si>
  <si>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</si>
  <si>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</si>
  <si>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</si>
  <si>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</si>
  <si>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</si>
  <si>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</si>
  <si>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</si>
  <si>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</si>
  <si>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</si>
  <si>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</si>
  <si>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</si>
  <si>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</si>
  <si>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</si>
  <si>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</si>
  <si>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</si>
  <si>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</si>
  <si>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</si>
  <si>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</si>
  <si>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</si>
  <si>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</si>
  <si>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</si>
  <si>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</si>
  <si>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</si>
  <si>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</si>
  <si>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</si>
  <si>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</si>
  <si>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</si>
  <si>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</si>
  <si>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</si>
  <si>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</si>
  <si>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</si>
  <si>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</si>
  <si>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</si>
  <si>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</si>
  <si>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</si>
  <si>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</si>
  <si>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</si>
  <si>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</si>
  <si>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</si>
  <si>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</si>
  <si>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</si>
  <si>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</si>
  <si>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</si>
  <si>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</si>
  <si>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</si>
  <si>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</si>
  <si>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</si>
  <si>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</si>
  <si>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</si>
  <si>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</si>
  <si>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</si>
  <si>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</si>
  <si>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</si>
  <si>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</si>
  <si>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</si>
  <si>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</si>
  <si>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</si>
  <si>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</si>
  <si>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</si>
  <si>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</si>
  <si>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</si>
  <si>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</si>
  <si>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</si>
  <si>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</si>
  <si>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</si>
  <si>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</si>
  <si>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</si>
  <si>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</si>
  <si>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</si>
  <si>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</si>
  <si>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</si>
  <si>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</si>
  <si>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</si>
  <si>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</si>
  <si>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</si>
  <si>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</si>
  <si>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</si>
  <si>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</si>
  <si>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</si>
  <si>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</si>
  <si>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</si>
  <si>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</si>
  <si>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</si>
  <si>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</si>
  <si>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</si>
  <si>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</si>
  <si>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</si>
  <si>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</si>
  <si>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</si>
  <si>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</si>
  <si>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</si>
  <si>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</si>
  <si>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</si>
  <si>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</si>
  <si>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</si>
  <si>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</si>
  <si>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</si>
  <si>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</si>
  <si>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</si>
  <si>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</si>
  <si>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</si>
  <si>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</si>
  <si>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</si>
  <si>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</si>
  <si>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</si>
  <si>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</si>
  <si>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</si>
  <si>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</si>
  <si>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</si>
  <si>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</si>
  <si>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</si>
  <si>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</si>
  <si>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</si>
  <si>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</si>
  <si>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</si>
  <si>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</si>
  <si>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</si>
  <si>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</si>
  <si>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</si>
  <si>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</si>
  <si>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</si>
  <si>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</si>
  <si>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</si>
  <si>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</si>
  <si>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</si>
  <si>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</si>
  <si>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</si>
  <si>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</si>
  <si>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</si>
  <si>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</si>
  <si>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</si>
  <si>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</si>
  <si>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</si>
  <si>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</si>
  <si>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</si>
  <si>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</si>
  <si>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</si>
  <si>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</si>
  <si>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</si>
  <si>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</si>
  <si>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</si>
  <si>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</si>
  <si>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</si>
  <si>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</si>
  <si>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</si>
  <si>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</si>
  <si>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</si>
  <si>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</si>
  <si>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</si>
  <si>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</si>
  <si>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</si>
  <si>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</si>
  <si>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</si>
  <si>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</si>
  <si>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</si>
  <si>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</si>
  <si>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</si>
  <si>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</si>
  <si>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</si>
  <si>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</si>
  <si>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</si>
  <si>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</si>
  <si>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</si>
  <si>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</si>
  <si>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</si>
  <si>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</si>
  <si>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</si>
  <si>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</si>
  <si>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</si>
  <si>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</si>
  <si>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</si>
  <si>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</si>
  <si>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</si>
  <si>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</si>
  <si>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</si>
  <si>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</si>
  <si>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</si>
  <si>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</si>
  <si>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</si>
  <si>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</si>
  <si>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</si>
  <si>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</si>
  <si>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</si>
  <si>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</si>
  <si>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</si>
  <si>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</si>
  <si>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</si>
  <si>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</si>
  <si>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</si>
  <si>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</si>
  <si>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</si>
  <si>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</si>
  <si>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</si>
  <si>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</si>
  <si>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</si>
  <si>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</si>
  <si>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</si>
  <si>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</si>
  <si>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</si>
  <si>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</si>
  <si>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</si>
  <si>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</si>
  <si>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</si>
  <si>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</si>
  <si>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</si>
  <si>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</si>
  <si>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</si>
  <si>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</si>
  <si>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</si>
  <si>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</si>
  <si>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</si>
  <si>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</si>
  <si>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</si>
  <si>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</si>
  <si>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</si>
  <si>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</si>
  <si>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</si>
  <si>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</si>
  <si>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</si>
  <si>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</si>
  <si>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</si>
  <si>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</si>
  <si>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</si>
  <si>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</si>
  <si>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</si>
  <si>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</si>
  <si>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</si>
  <si>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</si>
  <si>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</si>
  <si>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</si>
  <si>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</si>
  <si>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</si>
  <si>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</si>
  <si>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</si>
  <si>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</si>
  <si>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</si>
  <si>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</si>
  <si>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</si>
  <si>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</si>
  <si>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</si>
  <si>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</si>
  <si>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</si>
  <si>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</si>
  <si>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</si>
  <si>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</si>
  <si>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</si>
  <si>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</si>
  <si>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</si>
  <si>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</si>
  <si>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</si>
  <si>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</si>
  <si>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</si>
  <si>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</si>
  <si>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</si>
  <si>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</si>
  <si>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</si>
  <si>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</si>
  <si>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</si>
  <si>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</si>
  <si>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</si>
  <si>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</si>
  <si>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</si>
  <si>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</si>
  <si>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</si>
  <si>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</si>
  <si>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</si>
  <si>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</si>
  <si>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</si>
  <si>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</si>
  <si>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</si>
  <si>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</si>
  <si>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</si>
  <si>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</si>
  <si>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</si>
  <si>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</si>
  <si>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</si>
  <si>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</si>
  <si>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</si>
  <si>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</si>
  <si>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</si>
  <si>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</si>
  <si>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</si>
  <si>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</si>
  <si>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</si>
  <si>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</si>
  <si>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</si>
  <si>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</si>
  <si>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</si>
  <si>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</si>
  <si>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</si>
  <si>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</si>
  <si>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</si>
  <si>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</si>
  <si>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</si>
  <si>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</si>
  <si>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</si>
  <si>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</si>
  <si>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</si>
  <si>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</si>
  <si>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</si>
  <si>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</si>
  <si>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</si>
  <si>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</si>
  <si>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</si>
  <si>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</si>
  <si>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</si>
  <si>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</si>
  <si>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</si>
  <si>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</si>
  <si>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</si>
  <si>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</si>
  <si>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</si>
  <si>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</si>
  <si>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</si>
  <si>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</si>
  <si>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</si>
  <si>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</si>
  <si>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</si>
  <si>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</si>
  <si>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</si>
  <si>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</si>
  <si>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</si>
  <si>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</si>
  <si>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</si>
  <si>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</si>
  <si>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</si>
  <si>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</si>
  <si>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</si>
  <si>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</si>
  <si>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</si>
  <si>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</si>
  <si>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</si>
  <si>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</si>
  <si>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</si>
  <si>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</si>
  <si>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</si>
  <si>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</si>
  <si>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</si>
  <si>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</si>
  <si>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</si>
  <si>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</si>
  <si>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</si>
  <si>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</si>
  <si>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</si>
  <si>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</si>
  <si>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</si>
  <si>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</si>
  <si>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</si>
  <si>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</si>
  <si>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</si>
  <si>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</si>
  <si>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</si>
  <si>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</si>
  <si>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</si>
  <si>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</si>
  <si>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</si>
  <si>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</si>
  <si>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</si>
  <si>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</si>
  <si>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 FOR ENCUMBRANCES</t>
  </si>
  <si>
    <t xml:space="preserve">  RESERVE FOR AMTS VOTED </t>
  </si>
  <si>
    <t xml:space="preserve">  RESERVE FOR ENDOWMENTS</t>
  </si>
  <si>
    <t xml:space="preserve">  RESERVED FOR SPECIAL PURPOSES</t>
  </si>
  <si>
    <t xml:space="preserve">  UNRESERVED FUND BALANCE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</si>
  <si>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</si>
  <si>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</si>
  <si>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</si>
  <si>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</si>
  <si>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</si>
  <si>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</si>
  <si>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</si>
  <si>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RESERVE FOR CONTINUING APPROPRIATIONS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</si>
  <si>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</si>
  <si>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</si>
  <si>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</si>
  <si>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</si>
  <si>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</si>
  <si>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</si>
  <si>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</si>
  <si>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</si>
  <si>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</si>
  <si>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</si>
  <si>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</si>
  <si>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</si>
  <si>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</si>
  <si>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</si>
  <si>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</si>
  <si>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</si>
  <si>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</si>
  <si>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</si>
  <si>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</si>
  <si>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</si>
  <si>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</si>
  <si>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</si>
  <si>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</si>
  <si>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ENCUMBRANCES</t>
  </si>
  <si>
    <t xml:space="preserve">  RESERVED FOR CONTINUING APPROPRIATIONS</t>
  </si>
  <si>
    <t xml:space="preserve">  RESERVED FOR ENDOWMENTS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</si>
  <si>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</si>
  <si>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</si>
  <si>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</si>
  <si>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</si>
  <si>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</si>
  <si>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</si>
  <si>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</si>
  <si>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</si>
  <si>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</si>
  <si>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</si>
  <si>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</si>
  <si>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</si>
  <si>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</si>
  <si>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</si>
  <si>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</si>
  <si>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</si>
  <si>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</si>
  <si>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</si>
  <si>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</si>
  <si>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</si>
  <si>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</si>
  <si>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</si>
  <si>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</si>
  <si>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</si>
  <si>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</si>
  <si>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</si>
  <si>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</si>
  <si>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</si>
  <si>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</si>
  <si>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</si>
  <si>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</si>
  <si>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</si>
  <si>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</si>
  <si>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</si>
  <si>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</si>
  <si>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</si>
  <si>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</si>
  <si>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</si>
  <si>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</si>
  <si>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</si>
  <si>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</si>
  <si>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</si>
  <si>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</si>
  <si>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</si>
  <si>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</si>
  <si>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</si>
  <si>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</si>
  <si>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</si>
  <si>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</si>
  <si>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</si>
  <si>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</si>
  <si>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</si>
  <si>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</si>
  <si>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</si>
  <si>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</si>
  <si>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</si>
  <si>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</si>
  <si>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</si>
  <si>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</si>
  <si>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</si>
  <si>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</si>
  <si>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</si>
  <si>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</si>
  <si>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</si>
  <si>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</si>
  <si>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</si>
  <si>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</si>
  <si>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</si>
  <si>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</si>
  <si>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</si>
  <si>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</si>
  <si>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</si>
  <si>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</si>
  <si>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</si>
  <si>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</si>
  <si>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</si>
  <si>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</si>
  <si>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</si>
  <si>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1/31/1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</si>
  <si>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</si>
  <si>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</si>
  <si>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</si>
  <si>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</si>
  <si>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</si>
  <si>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</si>
  <si>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</si>
  <si>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</si>
  <si>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</si>
  <si>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</si>
  <si>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</si>
  <si>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</si>
  <si>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</si>
  <si>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</si>
  <si>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</si>
  <si>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</si>
  <si>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</si>
  <si>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</si>
  <si>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</si>
  <si>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</si>
  <si>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</si>
  <si>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</si>
  <si>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</si>
  <si>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</si>
  <si>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</si>
  <si>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</si>
  <si>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</si>
  <si>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</si>
  <si>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</si>
  <si>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</si>
  <si>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</si>
  <si>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</si>
  <si>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</si>
  <si>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</si>
  <si>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</si>
  <si>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</si>
  <si>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</si>
  <si>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</si>
  <si>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</si>
  <si>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</si>
  <si>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</si>
  <si>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</si>
  <si>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</si>
  <si>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</si>
  <si>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</si>
  <si>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</si>
  <si>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</si>
  <si>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</si>
  <si>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</si>
  <si>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</si>
  <si>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</si>
  <si>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</si>
  <si>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</si>
  <si>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</si>
  <si>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</si>
  <si>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</si>
  <si>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</si>
  <si>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</si>
  <si>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</si>
  <si>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</si>
  <si>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</si>
  <si>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</si>
  <si>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</si>
  <si>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</si>
  <si>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</si>
  <si>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</si>
  <si>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</si>
  <si>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</si>
  <si>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</si>
  <si>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</si>
  <si>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</si>
  <si>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</si>
  <si>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</si>
  <si>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</si>
  <si>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</si>
  <si>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</si>
  <si>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</si>
  <si>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</si>
  <si>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</si>
  <si>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</si>
  <si>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</si>
  <si>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</si>
  <si>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</si>
  <si>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</si>
  <si>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</si>
  <si>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</si>
  <si>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</si>
  <si>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</si>
  <si>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</si>
  <si>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</si>
  <si>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</si>
  <si>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</si>
  <si>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</si>
  <si>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</si>
  <si>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</si>
  <si>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</si>
  <si>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</si>
  <si>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</si>
  <si>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</si>
  <si>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</si>
  <si>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</si>
  <si>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</si>
  <si>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</si>
  <si>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</si>
  <si>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</si>
  <si>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</si>
  <si>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</si>
  <si>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</si>
  <si>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</si>
  <si>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</si>
  <si>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</si>
  <si>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</si>
  <si>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</si>
  <si>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</si>
  <si>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</si>
  <si>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</si>
  <si>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</si>
  <si>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</si>
  <si>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</si>
  <si>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</si>
  <si>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</si>
  <si>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</si>
  <si>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</si>
  <si>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</si>
  <si>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</si>
  <si>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</si>
  <si>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</si>
  <si>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</si>
  <si>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</si>
  <si>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</si>
  <si>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</si>
  <si>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</si>
  <si>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</si>
  <si>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</si>
  <si>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</si>
  <si>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</si>
  <si>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</si>
  <si>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</si>
  <si>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</si>
  <si>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</si>
  <si>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</si>
  <si>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</si>
  <si>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</si>
  <si>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</si>
  <si>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</si>
  <si>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</si>
  <si>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</si>
  <si>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</si>
  <si>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</si>
  <si>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</si>
  <si>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</si>
  <si>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</si>
  <si>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</si>
  <si>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</si>
  <si>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</si>
  <si>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</si>
  <si>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</si>
  <si>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>DOE 25  2010-2011</t>
  </si>
  <si>
    <t xml:space="preserve">  ADEQUACY AID GRANT</t>
  </si>
  <si>
    <t xml:space="preserve">  ADEQUACY AID GRANT - EDJOBS</t>
  </si>
  <si>
    <t>TOTAL FUND EQUITY, JULY 1, 2010</t>
  </si>
  <si>
    <t xml:space="preserve">Total Fund Equity June 30, 2011**** </t>
  </si>
  <si>
    <t>For the Fiscal Year Ending on June 30, 2011</t>
  </si>
  <si>
    <t>For Fiscal Year Ending June 30, 2011</t>
  </si>
  <si>
    <t>Indirect Cost Rate to be determine at later date for FY2012-2013</t>
  </si>
  <si>
    <t>9. Adequacy Education Grant</t>
  </si>
  <si>
    <t>11. Adequacy Education Grant - EDJOBS</t>
  </si>
  <si>
    <t>3111&amp;3112&amp;3119</t>
  </si>
  <si>
    <t>2010-2011 Current Expenditure Per Pupil(in dollars)</t>
  </si>
  <si>
    <t>2010-11-Current Expenditure Per Pupil</t>
  </si>
  <si>
    <t>2010-11-Total Revenues</t>
  </si>
  <si>
    <t>10/2008</t>
  </si>
  <si>
    <t>9/2009</t>
  </si>
  <si>
    <t>10/2013</t>
  </si>
  <si>
    <t>11/2013</t>
  </si>
  <si>
    <t>BATH SCHOOL DISTRICT</t>
  </si>
  <si>
    <t>MS25</t>
  </si>
  <si>
    <t>5252 &amp; 5254 Transfers is not accurate - picking up interest also, not just transfers</t>
  </si>
  <si>
    <t>26-29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</si>
</sst>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_)"/>
    <numFmt numFmtId="165" formatCode="0_)"/>
    <numFmt numFmtId="166" formatCode="0.0%"/>
    <numFmt numFmtId="167" formatCode="0.0"/>
  </numFmts>
  <fonts count="38" x14ac:knownFonts="1">
    <font>
      <sz val="8"/>
      <name val="Arial"/>
    </font>
    <font>
      <sz val="8"/>
      <name val="Arial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2">
    <xf numFmtId="0" fontId="0" fillId="0" borderId="0" xfId="0"/>
    <xf numFmtId="164" fontId="2" fillId="0" borderId="0" xfId="0" applyNumberFormat="1" applyFont="1" applyAlignment="1" applyProtection="1">
      <alignment horizontal="left"/>
    </xf>
    <xf numFmtId="165" fontId="2" fillId="0" borderId="0" xfId="0" applyNumberFormat="1" applyFont="1" applyAlignment="1" applyProtection="1">
      <alignment horizontal="left"/>
    </xf>
    <xf numFmtId="0" fontId="2" fillId="0" borderId="0" xfId="0" applyFont="1"/>
    <xf numFmtId="0" fontId="2" fillId="0" borderId="0" xfId="0" applyFont="1" applyProtection="1">
      <protection locked="0"/>
    </xf>
    <xf numFmtId="164" fontId="2" fillId="0" borderId="0" xfId="0" applyNumberFormat="1" applyFont="1" applyAlignment="1" applyProtection="1">
      <alignment horizontal="center"/>
    </xf>
    <xf numFmtId="165" fontId="2" fillId="0" borderId="0" xfId="0" applyNumberFormat="1" applyFont="1" applyAlignment="1" applyProtection="1">
      <alignment horizontal="center"/>
    </xf>
    <xf numFmtId="165" fontId="2" fillId="0" borderId="0" xfId="0" applyNumberFormat="1" applyFont="1" applyProtection="1"/>
    <xf numFmtId="165" fontId="3" fillId="0" borderId="0" xfId="0" applyNumberFormat="1" applyFont="1" applyProtection="1">
      <protection locked="0"/>
    </xf>
    <xf numFmtId="164" fontId="3" fillId="0" borderId="0" xfId="0" applyNumberFormat="1" applyFont="1" applyProtection="1">
      <protection locked="0"/>
    </xf>
    <xf numFmtId="4" fontId="3" fillId="0" borderId="0" xfId="0" applyNumberFormat="1" applyFont="1" applyProtection="1">
      <protection locked="0"/>
    </xf>
    <xf numFmtId="0" fontId="2" fillId="0" borderId="1" xfId="0" applyFont="1" applyBorder="1"/>
    <xf numFmtId="0" fontId="0" fillId="0" borderId="2" xfId="0" applyBorder="1"/>
    <xf numFmtId="40" fontId="2" fillId="0" borderId="0" xfId="0" applyNumberFormat="1" applyFont="1"/>
    <xf numFmtId="40" fontId="2" fillId="0" borderId="0" xfId="0" applyNumberFormat="1" applyFont="1" applyAlignment="1" applyProtection="1">
      <alignment horizontal="left"/>
    </xf>
    <xf numFmtId="40" fontId="2" fillId="0" borderId="0" xfId="0" quotePrefix="1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center"/>
    </xf>
    <xf numFmtId="40" fontId="3" fillId="0" borderId="0" xfId="0" applyNumberFormat="1" applyFont="1" applyAlignment="1" applyProtection="1">
      <alignment horizontal="left"/>
      <protection locked="0"/>
    </xf>
    <xf numFmtId="40" fontId="3" fillId="0" borderId="0" xfId="0" applyNumberFormat="1" applyFont="1" applyProtection="1">
      <protection locked="0"/>
    </xf>
    <xf numFmtId="40" fontId="2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4" fillId="0" borderId="0" xfId="0" applyNumberFormat="1" applyFont="1" applyProtection="1"/>
    <xf numFmtId="0" fontId="2" fillId="0" borderId="0" xfId="0" applyFont="1" applyAlignment="1">
      <alignment horizontal="center"/>
    </xf>
    <xf numFmtId="40" fontId="2" fillId="2" borderId="0" xfId="0" applyNumberFormat="1" applyFont="1" applyFill="1" applyAlignment="1" applyProtection="1">
      <alignment horizontal="left"/>
    </xf>
    <xf numFmtId="40" fontId="6" fillId="0" borderId="0" xfId="0" applyNumberFormat="1" applyFont="1" applyAlignment="1" applyProtection="1">
      <alignment horizontal="center"/>
    </xf>
    <xf numFmtId="40" fontId="6" fillId="0" borderId="0" xfId="0" applyNumberFormat="1" applyFont="1" applyAlignment="1" applyProtection="1">
      <alignment horizontal="left"/>
    </xf>
    <xf numFmtId="0" fontId="7" fillId="0" borderId="0" xfId="0" applyFont="1"/>
    <xf numFmtId="0" fontId="8" fillId="0" borderId="0" xfId="0" applyFont="1"/>
    <xf numFmtId="164" fontId="6" fillId="0" borderId="0" xfId="0" applyNumberFormat="1" applyFont="1" applyAlignment="1" applyProtection="1">
      <alignment horizontal="left"/>
    </xf>
    <xf numFmtId="164" fontId="7" fillId="0" borderId="0" xfId="0" applyNumberFormat="1" applyFont="1" applyAlignment="1" applyProtection="1">
      <alignment horizontal="left"/>
    </xf>
    <xf numFmtId="165" fontId="9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10" fillId="0" borderId="0" xfId="0" applyFont="1"/>
    <xf numFmtId="0" fontId="6" fillId="0" borderId="0" xfId="0" applyFont="1"/>
    <xf numFmtId="165" fontId="12" fillId="0" borderId="0" xfId="0" applyNumberFormat="1" applyFont="1" applyProtection="1">
      <protection locked="0"/>
    </xf>
    <xf numFmtId="165" fontId="2" fillId="0" borderId="0" xfId="0" applyNumberFormat="1" applyFont="1" applyBorder="1" applyAlignment="1" applyProtection="1">
      <alignment horizontal="left"/>
    </xf>
    <xf numFmtId="165" fontId="2" fillId="0" borderId="0" xfId="0" applyNumberFormat="1" applyFont="1" applyBorder="1" applyAlignment="1" applyProtection="1">
      <alignment horizontal="center"/>
    </xf>
    <xf numFmtId="164" fontId="6" fillId="0" borderId="3" xfId="0" applyNumberFormat="1" applyFont="1" applyBorder="1" applyAlignment="1" applyProtection="1">
      <alignment horizontal="left"/>
    </xf>
    <xf numFmtId="165" fontId="2" fillId="0" borderId="3" xfId="0" applyNumberFormat="1" applyFont="1" applyBorder="1" applyAlignment="1" applyProtection="1">
      <alignment horizontal="left"/>
    </xf>
    <xf numFmtId="165" fontId="2" fillId="0" borderId="3" xfId="0" applyNumberFormat="1" applyFont="1" applyBorder="1" applyAlignment="1" applyProtection="1">
      <alignment horizontal="center"/>
    </xf>
    <xf numFmtId="40" fontId="2" fillId="0" borderId="3" xfId="0" applyNumberFormat="1" applyFont="1" applyBorder="1" applyProtection="1"/>
    <xf numFmtId="40" fontId="0" fillId="0" borderId="3" xfId="0" applyNumberFormat="1" applyBorder="1"/>
    <xf numFmtId="0" fontId="10" fillId="0" borderId="3" xfId="0" applyFont="1" applyBorder="1"/>
    <xf numFmtId="0" fontId="2" fillId="0" borderId="3" xfId="0" applyFont="1" applyBorder="1" applyAlignment="1">
      <alignment horizontal="center"/>
    </xf>
    <xf numFmtId="40" fontId="2" fillId="2" borderId="3" xfId="0" applyNumberFormat="1" applyFont="1" applyFill="1" applyBorder="1" applyAlignment="1" applyProtection="1">
      <alignment horizontal="left"/>
    </xf>
    <xf numFmtId="0" fontId="6" fillId="0" borderId="3" xfId="0" applyFont="1" applyBorder="1"/>
    <xf numFmtId="40" fontId="2" fillId="0" borderId="3" xfId="0" applyNumberFormat="1" applyFont="1" applyBorder="1"/>
    <xf numFmtId="165" fontId="2" fillId="0" borderId="4" xfId="0" applyNumberFormat="1" applyFont="1" applyBorder="1" applyAlignment="1" applyProtection="1">
      <alignment horizontal="left"/>
    </xf>
    <xf numFmtId="40" fontId="2" fillId="2" borderId="4" xfId="0" applyNumberFormat="1" applyFont="1" applyFill="1" applyBorder="1" applyAlignment="1" applyProtection="1">
      <alignment horizontal="left"/>
    </xf>
    <xf numFmtId="164" fontId="6" fillId="0" borderId="4" xfId="0" applyNumberFormat="1" applyFont="1" applyBorder="1" applyAlignment="1" applyProtection="1">
      <alignment horizontal="left"/>
    </xf>
    <xf numFmtId="165" fontId="2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10" fillId="0" borderId="0" xfId="0" applyFont="1" applyBorder="1"/>
    <xf numFmtId="0" fontId="6" fillId="0" borderId="0" xfId="0" applyFont="1" applyBorder="1"/>
    <xf numFmtId="40" fontId="2" fillId="0" borderId="0" xfId="0" applyNumberFormat="1" applyFont="1" applyBorder="1"/>
    <xf numFmtId="49" fontId="2" fillId="0" borderId="0" xfId="0" applyNumberFormat="1" applyFont="1" applyBorder="1" applyAlignment="1">
      <alignment horizontal="center"/>
    </xf>
    <xf numFmtId="0" fontId="2" fillId="0" borderId="0" xfId="0" applyFont="1" applyBorder="1"/>
    <xf numFmtId="0" fontId="2" fillId="0" borderId="5" xfId="0" applyFont="1" applyBorder="1"/>
    <xf numFmtId="49" fontId="2" fillId="0" borderId="5" xfId="0" applyNumberFormat="1" applyFont="1" applyBorder="1" applyAlignment="1">
      <alignment horizontal="center"/>
    </xf>
    <xf numFmtId="0" fontId="2" fillId="0" borderId="6" xfId="0" applyFont="1" applyBorder="1"/>
    <xf numFmtId="165" fontId="2" fillId="0" borderId="6" xfId="0" applyNumberFormat="1" applyFont="1" applyBorder="1" applyAlignment="1" applyProtection="1">
      <alignment horizontal="left"/>
    </xf>
    <xf numFmtId="40" fontId="3" fillId="0" borderId="6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4" fillId="0" borderId="3" xfId="0" applyNumberFormat="1" applyFont="1" applyBorder="1" applyProtection="1">
      <protection locked="0"/>
    </xf>
    <xf numFmtId="40" fontId="4" fillId="0" borderId="0" xfId="0" applyNumberFormat="1" applyFont="1" applyBorder="1" applyProtection="1">
      <protection locked="0"/>
    </xf>
    <xf numFmtId="40" fontId="2" fillId="0" borderId="0" xfId="0" applyNumberFormat="1" applyFont="1" applyBorder="1" applyProtection="1"/>
    <xf numFmtId="165" fontId="3" fillId="0" borderId="0" xfId="0" applyNumberFormat="1" applyFont="1" applyBorder="1" applyProtection="1">
      <protection locked="0"/>
    </xf>
    <xf numFmtId="164" fontId="2" fillId="0" borderId="0" xfId="0" applyNumberFormat="1" applyFont="1" applyBorder="1" applyAlignment="1" applyProtection="1">
      <alignment horizontal="left"/>
    </xf>
    <xf numFmtId="164" fontId="6" fillId="0" borderId="0" xfId="0" applyNumberFormat="1" applyFont="1" applyBorder="1" applyAlignment="1" applyProtection="1">
      <alignment horizontal="left"/>
    </xf>
    <xf numFmtId="165" fontId="2" fillId="0" borderId="6" xfId="0" applyNumberFormat="1" applyFont="1" applyBorder="1" applyAlignment="1" applyProtection="1">
      <alignment horizontal="center"/>
    </xf>
    <xf numFmtId="40" fontId="2" fillId="0" borderId="6" xfId="0" applyNumberFormat="1" applyFont="1" applyBorder="1"/>
    <xf numFmtId="0" fontId="2" fillId="0" borderId="6" xfId="0" applyFont="1" applyBorder="1" applyAlignment="1">
      <alignment horizontal="center"/>
    </xf>
    <xf numFmtId="164" fontId="6" fillId="0" borderId="6" xfId="0" applyNumberFormat="1" applyFont="1" applyBorder="1" applyAlignment="1" applyProtection="1">
      <alignment horizontal="left"/>
    </xf>
    <xf numFmtId="0" fontId="2" fillId="0" borderId="0" xfId="0" applyFont="1" applyBorder="1" applyAlignment="1">
      <alignment horizontal="center"/>
    </xf>
    <xf numFmtId="165" fontId="6" fillId="0" borderId="0" xfId="0" applyNumberFormat="1" applyFont="1" applyAlignment="1" applyProtection="1">
      <alignment horizontal="left"/>
    </xf>
    <xf numFmtId="40" fontId="2" fillId="0" borderId="0" xfId="0" applyNumberFormat="1" applyFont="1" applyBorder="1" applyAlignment="1">
      <alignment horizontal="center"/>
    </xf>
    <xf numFmtId="49" fontId="6" fillId="0" borderId="0" xfId="0" applyNumberFormat="1" applyFont="1" applyAlignment="1" applyProtection="1">
      <alignment horizontal="left"/>
    </xf>
    <xf numFmtId="49" fontId="2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2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4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4" fillId="0" borderId="0" xfId="0" applyNumberFormat="1" applyFont="1" applyBorder="1" applyAlignment="1" applyProtection="1">
      <alignment horizontal="right"/>
    </xf>
    <xf numFmtId="40" fontId="4" fillId="0" borderId="0" xfId="0" applyNumberFormat="1" applyFont="1" applyAlignment="1" applyProtection="1">
      <alignment horizontal="right"/>
    </xf>
    <xf numFmtId="40" fontId="4" fillId="0" borderId="3" xfId="0" applyNumberFormat="1" applyFont="1" applyBorder="1" applyAlignment="1" applyProtection="1">
      <alignment horizontal="right"/>
    </xf>
    <xf numFmtId="0" fontId="6" fillId="0" borderId="0" xfId="0" applyFont="1" applyBorder="1" applyProtection="1"/>
    <xf numFmtId="0" fontId="10" fillId="0" borderId="3" xfId="0" applyFont="1" applyBorder="1" applyProtection="1"/>
    <xf numFmtId="0" fontId="10" fillId="0" borderId="0" xfId="0" applyFont="1" applyBorder="1" applyProtection="1"/>
    <xf numFmtId="0" fontId="11" fillId="0" borderId="0" xfId="0" applyFont="1" applyBorder="1" applyProtection="1"/>
    <xf numFmtId="0" fontId="13" fillId="0" borderId="0" xfId="0" applyFont="1" applyBorder="1" applyProtection="1"/>
    <xf numFmtId="40" fontId="3" fillId="0" borderId="0" xfId="0" applyNumberFormat="1" applyFont="1" applyProtection="1"/>
    <xf numFmtId="40" fontId="14" fillId="0" borderId="0" xfId="0" applyNumberFormat="1" applyFont="1" applyProtection="1"/>
    <xf numFmtId="40" fontId="14" fillId="0" borderId="0" xfId="0" applyNumberFormat="1" applyFont="1" applyBorder="1" applyProtection="1"/>
    <xf numFmtId="40" fontId="14" fillId="0" borderId="3" xfId="0" applyNumberFormat="1" applyFont="1" applyBorder="1" applyProtection="1"/>
    <xf numFmtId="40" fontId="4" fillId="0" borderId="0" xfId="0" applyNumberFormat="1" applyFont="1" applyBorder="1" applyProtection="1"/>
    <xf numFmtId="40" fontId="14" fillId="0" borderId="0" xfId="0" applyNumberFormat="1" applyFont="1" applyBorder="1" applyAlignment="1" applyProtection="1">
      <alignment horizontal="center"/>
    </xf>
    <xf numFmtId="40" fontId="4" fillId="0" borderId="0" xfId="0" applyNumberFormat="1" applyFont="1" applyBorder="1" applyAlignment="1" applyProtection="1">
      <alignment horizontal="center"/>
    </xf>
    <xf numFmtId="0" fontId="4" fillId="0" borderId="0" xfId="0" applyNumberFormat="1" applyFont="1" applyAlignment="1" applyProtection="1">
      <alignment horizontal="center" vertical="justify"/>
    </xf>
    <xf numFmtId="40" fontId="4" fillId="0" borderId="0" xfId="0" applyNumberFormat="1" applyFont="1" applyAlignment="1" applyProtection="1">
      <alignment horizontal="center" vertical="justify"/>
    </xf>
    <xf numFmtId="40" fontId="4" fillId="0" borderId="0" xfId="0" applyNumberFormat="1" applyFont="1" applyAlignment="1" applyProtection="1">
      <alignment horizontal="right" vertical="justify"/>
    </xf>
    <xf numFmtId="0" fontId="2" fillId="0" borderId="0" xfId="0" applyFont="1" applyBorder="1" applyAlignment="1" applyProtection="1">
      <alignment horizontal="center"/>
    </xf>
    <xf numFmtId="40" fontId="4" fillId="0" borderId="0" xfId="0" applyNumberFormat="1" applyFont="1" applyAlignment="1" applyProtection="1">
      <alignment horizontal="center"/>
    </xf>
    <xf numFmtId="0" fontId="2" fillId="0" borderId="3" xfId="0" applyFont="1" applyBorder="1" applyAlignment="1" applyProtection="1">
      <alignment horizontal="center"/>
    </xf>
    <xf numFmtId="40" fontId="4" fillId="0" borderId="3" xfId="0" applyNumberFormat="1" applyFont="1" applyBorder="1" applyAlignment="1" applyProtection="1">
      <alignment horizontal="right" vertical="justify"/>
    </xf>
    <xf numFmtId="40" fontId="4" fillId="0" borderId="0" xfId="0" applyNumberFormat="1" applyFont="1" applyBorder="1" applyAlignment="1" applyProtection="1">
      <alignment horizontal="right" vertical="justify"/>
    </xf>
    <xf numFmtId="49" fontId="2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3" fillId="0" borderId="0" xfId="0" applyNumberFormat="1" applyFont="1" applyAlignment="1" applyProtection="1"/>
    <xf numFmtId="40" fontId="14" fillId="0" borderId="0" xfId="0" applyNumberFormat="1" applyFont="1" applyAlignment="1" applyProtection="1">
      <alignment horizontal="center" vertical="justify"/>
    </xf>
    <xf numFmtId="40" fontId="14" fillId="0" borderId="0" xfId="0" applyNumberFormat="1" applyFont="1" applyAlignment="1" applyProtection="1">
      <alignment horizontal="center"/>
    </xf>
    <xf numFmtId="0" fontId="2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10" fillId="0" borderId="0" xfId="0" applyNumberFormat="1" applyFont="1" applyBorder="1" applyAlignment="1" applyProtection="1">
      <alignment horizontal="center"/>
    </xf>
    <xf numFmtId="0" fontId="2" fillId="0" borderId="0" xfId="0" applyFont="1" applyAlignment="1" applyProtection="1">
      <alignment horizontal="center"/>
    </xf>
    <xf numFmtId="0" fontId="2" fillId="0" borderId="0" xfId="0" quotePrefix="1" applyNumberFormat="1" applyFont="1" applyAlignment="1" applyProtection="1">
      <alignment horizontal="left"/>
    </xf>
    <xf numFmtId="14" fontId="2" fillId="0" borderId="0" xfId="0" quotePrefix="1" applyNumberFormat="1" applyFont="1" applyAlignment="1" applyProtection="1">
      <alignment horizontal="left"/>
    </xf>
    <xf numFmtId="40" fontId="4" fillId="0" borderId="0" xfId="0" quotePrefix="1" applyNumberFormat="1" applyFont="1" applyBorder="1" applyAlignment="1" applyProtection="1">
      <alignment horizontal="left" vertical="justify"/>
    </xf>
    <xf numFmtId="40" fontId="14" fillId="0" borderId="0" xfId="0" applyNumberFormat="1" applyFont="1" applyAlignment="1" applyProtection="1">
      <alignment horizontal="centerContinuous" vertical="justify"/>
    </xf>
    <xf numFmtId="40" fontId="14" fillId="0" borderId="0" xfId="0" applyNumberFormat="1" applyFont="1" applyAlignment="1" applyProtection="1">
      <alignment horizontal="centerContinuous"/>
    </xf>
    <xf numFmtId="40" fontId="2" fillId="0" borderId="0" xfId="0" applyNumberFormat="1" applyFont="1" applyProtection="1">
      <protection locked="0"/>
    </xf>
    <xf numFmtId="40" fontId="2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2" fillId="0" borderId="0" xfId="0" applyFont="1" applyProtection="1"/>
    <xf numFmtId="0" fontId="6" fillId="0" borderId="0" xfId="0" applyFont="1" applyProtection="1"/>
    <xf numFmtId="40" fontId="15" fillId="0" borderId="0" xfId="0" applyNumberFormat="1" applyFont="1"/>
    <xf numFmtId="40" fontId="4" fillId="0" borderId="4" xfId="0" applyNumberFormat="1" applyFont="1" applyBorder="1" applyProtection="1"/>
    <xf numFmtId="40" fontId="16" fillId="0" borderId="4" xfId="0" applyNumberFormat="1" applyFont="1" applyBorder="1"/>
    <xf numFmtId="0" fontId="0" fillId="0" borderId="0" xfId="0" applyAlignment="1"/>
    <xf numFmtId="0" fontId="2" fillId="0" borderId="0" xfId="0" applyNumberFormat="1" applyFont="1" applyAlignment="1" applyProtection="1">
      <alignment horizontal="left"/>
    </xf>
    <xf numFmtId="0" fontId="2" fillId="0" borderId="0" xfId="0" applyNumberFormat="1" applyFont="1" applyProtection="1">
      <protection locked="0"/>
    </xf>
    <xf numFmtId="40" fontId="14" fillId="0" borderId="0" xfId="0" applyNumberFormat="1" applyFont="1" applyAlignment="1" applyProtection="1"/>
    <xf numFmtId="40" fontId="4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4" fillId="0" borderId="3" xfId="0" applyNumberFormat="1" applyFont="1" applyBorder="1" applyProtection="1"/>
    <xf numFmtId="40" fontId="4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2" fillId="0" borderId="0" xfId="0" applyNumberFormat="1" applyFont="1" applyAlignment="1" applyProtection="1">
      <alignment horizontal="left"/>
    </xf>
    <xf numFmtId="40" fontId="4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3" fillId="0" borderId="0" xfId="0" applyNumberFormat="1" applyFont="1" applyProtection="1">
      <protection locked="0"/>
    </xf>
    <xf numFmtId="40" fontId="4" fillId="0" borderId="0" xfId="0" applyNumberFormat="1" applyFont="1" applyBorder="1" applyAlignment="1" applyProtection="1">
      <alignment horizontal="left"/>
    </xf>
    <xf numFmtId="40" fontId="14" fillId="0" borderId="0" xfId="0" quotePrefix="1" applyNumberFormat="1" applyFont="1" applyAlignment="1" applyProtection="1">
      <alignment horizontal="left"/>
    </xf>
    <xf numFmtId="0" fontId="4" fillId="0" borderId="3" xfId="0" applyNumberFormat="1" applyFont="1" applyBorder="1" applyAlignment="1" applyProtection="1">
      <alignment horizontal="center" vertical="justify"/>
    </xf>
    <xf numFmtId="40" fontId="4" fillId="0" borderId="3" xfId="0" applyNumberFormat="1" applyFont="1" applyBorder="1" applyAlignment="1" applyProtection="1">
      <alignment horizontal="center" vertical="justify"/>
    </xf>
    <xf numFmtId="40" fontId="17" fillId="0" borderId="0" xfId="0" quotePrefix="1" applyNumberFormat="1" applyFont="1" applyBorder="1" applyAlignment="1" applyProtection="1">
      <alignment horizontal="center" vertical="justify"/>
    </xf>
    <xf numFmtId="40" fontId="17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3" fillId="0" borderId="0" xfId="0" applyNumberFormat="1" applyFont="1" applyAlignment="1" applyProtection="1">
      <alignment horizontal="center"/>
      <protection locked="0"/>
    </xf>
    <xf numFmtId="49" fontId="3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2" fillId="0" borderId="3" xfId="0" applyFont="1" applyBorder="1" applyAlignment="1" applyProtection="1">
      <alignment horizontal="left"/>
    </xf>
    <xf numFmtId="0" fontId="2" fillId="0" borderId="0" xfId="0" applyFont="1" applyAlignment="1">
      <alignment horizontal="left"/>
    </xf>
    <xf numFmtId="49" fontId="20" fillId="0" borderId="0" xfId="0" applyNumberFormat="1" applyFont="1" applyAlignment="1" applyProtection="1">
      <alignment horizontal="left"/>
    </xf>
    <xf numFmtId="40" fontId="17" fillId="0" borderId="0" xfId="0" applyNumberFormat="1" applyFont="1" applyProtection="1"/>
    <xf numFmtId="0" fontId="21" fillId="0" borderId="0" xfId="0" applyFont="1" applyBorder="1" applyAlignment="1" applyProtection="1">
      <alignment horizontal="center"/>
    </xf>
    <xf numFmtId="14" fontId="21" fillId="0" borderId="0" xfId="0" quotePrefix="1" applyNumberFormat="1" applyFont="1" applyAlignment="1" applyProtection="1">
      <alignment horizontal="left"/>
    </xf>
    <xf numFmtId="40" fontId="17" fillId="0" borderId="0" xfId="0" applyNumberFormat="1" applyFont="1" applyAlignment="1" applyProtection="1">
      <alignment horizontal="right" vertical="justify"/>
    </xf>
    <xf numFmtId="40" fontId="17" fillId="0" borderId="0" xfId="0" quotePrefix="1" applyNumberFormat="1" applyFont="1" applyAlignment="1" applyProtection="1">
      <alignment horizontal="left" vertical="justify"/>
    </xf>
    <xf numFmtId="40" fontId="17" fillId="0" borderId="0" xfId="0" applyNumberFormat="1" applyFont="1" applyAlignment="1" applyProtection="1">
      <alignment horizontal="center" vertical="justify"/>
      <protection locked="0"/>
    </xf>
    <xf numFmtId="40" fontId="17" fillId="0" borderId="0" xfId="0" applyNumberFormat="1" applyFont="1" applyAlignment="1" applyProtection="1">
      <alignment horizontal="right"/>
    </xf>
    <xf numFmtId="165" fontId="22" fillId="0" borderId="0" xfId="0" applyNumberFormat="1" applyFont="1" applyProtection="1">
      <protection locked="0"/>
    </xf>
    <xf numFmtId="0" fontId="21" fillId="0" borderId="0" xfId="0" applyFont="1"/>
    <xf numFmtId="164" fontId="23" fillId="0" borderId="0" xfId="0" applyNumberFormat="1" applyFont="1" applyAlignment="1" applyProtection="1">
      <alignment horizontal="left"/>
    </xf>
    <xf numFmtId="40" fontId="4" fillId="0" borderId="0" xfId="0" applyNumberFormat="1" applyFont="1" applyAlignment="1" applyProtection="1">
      <alignment horizontal="left"/>
    </xf>
    <xf numFmtId="40" fontId="19" fillId="0" borderId="3" xfId="0" applyNumberFormat="1" applyFont="1" applyBorder="1" applyProtection="1"/>
    <xf numFmtId="40" fontId="19" fillId="0" borderId="0" xfId="0" applyNumberFormat="1" applyFont="1" applyProtection="1"/>
    <xf numFmtId="40" fontId="4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2" fillId="0" borderId="0" xfId="0" applyNumberFormat="1" applyFont="1" applyBorder="1" applyProtection="1">
      <protection locked="0"/>
    </xf>
    <xf numFmtId="40" fontId="2" fillId="0" borderId="0" xfId="0" quotePrefix="1" applyNumberFormat="1" applyFont="1" applyBorder="1" applyAlignment="1">
      <alignment horizontal="center"/>
    </xf>
    <xf numFmtId="40" fontId="14" fillId="0" borderId="0" xfId="0" quotePrefix="1" applyNumberFormat="1" applyFont="1" applyProtection="1"/>
    <xf numFmtId="38" fontId="0" fillId="0" borderId="0" xfId="0" applyNumberFormat="1"/>
    <xf numFmtId="38" fontId="10" fillId="0" borderId="0" xfId="0" applyNumberFormat="1" applyFont="1"/>
    <xf numFmtId="0" fontId="10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10" fillId="0" borderId="0" xfId="0" applyNumberFormat="1" applyFont="1"/>
    <xf numFmtId="0" fontId="11" fillId="0" borderId="0" xfId="0" applyFont="1"/>
    <xf numFmtId="49" fontId="26" fillId="0" borderId="0" xfId="0" applyNumberFormat="1" applyFont="1"/>
    <xf numFmtId="0" fontId="27" fillId="0" borderId="0" xfId="0" applyFont="1"/>
    <xf numFmtId="0" fontId="27" fillId="0" borderId="0" xfId="0" quotePrefix="1" applyFont="1" applyAlignment="1">
      <alignment horizontal="left"/>
    </xf>
    <xf numFmtId="0" fontId="11" fillId="0" borderId="0" xfId="0" quotePrefix="1" applyFont="1" applyBorder="1" applyAlignment="1" applyProtection="1">
      <alignment horizontal="left"/>
    </xf>
    <xf numFmtId="40" fontId="4" fillId="0" borderId="0" xfId="0" quotePrefix="1" applyNumberFormat="1" applyFont="1" applyAlignment="1" applyProtection="1">
      <alignment horizontal="left"/>
    </xf>
    <xf numFmtId="40" fontId="19" fillId="0" borderId="0" xfId="0" quotePrefix="1" applyNumberFormat="1" applyFont="1" applyAlignment="1" applyProtection="1">
      <alignment horizontal="left"/>
    </xf>
    <xf numFmtId="0" fontId="2" fillId="0" borderId="4" xfId="0" applyFont="1" applyBorder="1" applyAlignment="1" applyProtection="1">
      <alignment horizontal="center"/>
    </xf>
    <xf numFmtId="0" fontId="2" fillId="0" borderId="4" xfId="0" applyFont="1" applyBorder="1" applyAlignment="1" applyProtection="1">
      <alignment horizontal="left"/>
    </xf>
    <xf numFmtId="40" fontId="4" fillId="0" borderId="4" xfId="0" applyNumberFormat="1" applyFont="1" applyBorder="1" applyAlignment="1" applyProtection="1">
      <alignment horizontal="right"/>
    </xf>
    <xf numFmtId="40" fontId="2" fillId="2" borderId="0" xfId="0" applyNumberFormat="1" applyFont="1" applyFill="1" applyBorder="1" applyAlignment="1" applyProtection="1">
      <alignment horizontal="left"/>
    </xf>
    <xf numFmtId="0" fontId="2" fillId="0" borderId="3" xfId="0" applyNumberFormat="1" applyFont="1" applyBorder="1" applyAlignment="1" applyProtection="1">
      <alignment horizontal="center"/>
    </xf>
    <xf numFmtId="0" fontId="2" fillId="0" borderId="3" xfId="0" applyNumberFormat="1" applyFont="1" applyBorder="1" applyAlignment="1" applyProtection="1">
      <alignment horizontal="left"/>
    </xf>
    <xf numFmtId="0" fontId="2" fillId="0" borderId="4" xfId="0" applyNumberFormat="1" applyFont="1" applyBorder="1" applyAlignment="1" applyProtection="1">
      <alignment horizontal="left"/>
    </xf>
    <xf numFmtId="164" fontId="21" fillId="0" borderId="0" xfId="0" applyNumberFormat="1" applyFont="1" applyAlignment="1" applyProtection="1">
      <alignment horizontal="left"/>
    </xf>
    <xf numFmtId="40" fontId="21" fillId="0" borderId="0" xfId="0" applyNumberFormat="1" applyFont="1" applyProtection="1"/>
    <xf numFmtId="40" fontId="4" fillId="0" borderId="5" xfId="0" applyNumberFormat="1" applyFont="1" applyBorder="1" applyProtection="1"/>
    <xf numFmtId="0" fontId="2" fillId="0" borderId="5" xfId="0" applyFont="1" applyBorder="1" applyAlignment="1">
      <alignment horizontal="center"/>
    </xf>
    <xf numFmtId="0" fontId="2" fillId="0" borderId="5" xfId="0" applyNumberFormat="1" applyFont="1" applyBorder="1" applyAlignment="1" applyProtection="1">
      <alignment horizontal="center"/>
    </xf>
    <xf numFmtId="165" fontId="2" fillId="0" borderId="5" xfId="0" applyNumberFormat="1" applyFont="1" applyBorder="1" applyAlignment="1" applyProtection="1">
      <alignment horizontal="left"/>
    </xf>
    <xf numFmtId="40" fontId="3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2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10" fillId="3" borderId="0" xfId="0" applyNumberFormat="1" applyFont="1" applyFill="1" applyAlignment="1" applyProtection="1">
      <alignment horizontal="center"/>
      <protection locked="0"/>
    </xf>
    <xf numFmtId="0" fontId="10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1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0" fillId="0" borderId="11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1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2" fillId="4" borderId="0" xfId="0" applyNumberFormat="1" applyFont="1" applyFill="1" applyAlignment="1" applyProtection="1">
      <alignment horizontal="center"/>
    </xf>
    <xf numFmtId="40" fontId="21" fillId="0" borderId="0" xfId="0" applyNumberFormat="1" applyFont="1" applyAlignment="1" applyProtection="1">
      <alignment horizontal="center"/>
    </xf>
    <xf numFmtId="40" fontId="21" fillId="0" borderId="0" xfId="0" applyNumberFormat="1" applyFont="1"/>
    <xf numFmtId="0" fontId="6" fillId="0" borderId="0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40" fontId="10" fillId="0" borderId="14" xfId="0" applyNumberFormat="1" applyFont="1" applyBorder="1"/>
    <xf numFmtId="4" fontId="10" fillId="0" borderId="0" xfId="0" applyNumberFormat="1" applyFont="1" applyBorder="1"/>
    <xf numFmtId="4" fontId="10" fillId="0" borderId="5" xfId="0" applyNumberFormat="1" applyFont="1" applyBorder="1"/>
    <xf numFmtId="49" fontId="5" fillId="0" borderId="0" xfId="0" applyNumberFormat="1" applyFont="1"/>
    <xf numFmtId="0" fontId="10" fillId="0" borderId="0" xfId="0" applyFont="1" applyAlignment="1">
      <alignment horizontal="right"/>
    </xf>
    <xf numFmtId="4" fontId="10" fillId="0" borderId="14" xfId="0" applyNumberFormat="1" applyFont="1" applyBorder="1"/>
    <xf numFmtId="40" fontId="10" fillId="0" borderId="14" xfId="0" applyNumberFormat="1" applyFont="1" applyBorder="1" applyAlignment="1">
      <alignment horizontal="right"/>
    </xf>
    <xf numFmtId="49" fontId="10" fillId="0" borderId="0" xfId="0" applyNumberFormat="1" applyFont="1" applyAlignment="1">
      <alignment horizontal="center"/>
    </xf>
    <xf numFmtId="40" fontId="6" fillId="0" borderId="0" xfId="0" applyNumberFormat="1" applyFont="1" applyBorder="1" applyAlignment="1">
      <alignment horizontal="center"/>
    </xf>
    <xf numFmtId="0" fontId="32" fillId="0" borderId="0" xfId="0" applyFont="1" applyAlignment="1">
      <alignment horizontal="center"/>
    </xf>
    <xf numFmtId="164" fontId="24" fillId="0" borderId="0" xfId="0" applyNumberFormat="1" applyFont="1" applyAlignment="1" applyProtection="1">
      <alignment horizontal="left"/>
    </xf>
    <xf numFmtId="4" fontId="5" fillId="0" borderId="0" xfId="0" applyNumberFormat="1" applyFont="1" applyProtection="1">
      <protection locked="0"/>
    </xf>
    <xf numFmtId="0" fontId="10" fillId="0" borderId="15" xfId="0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10" fillId="0" borderId="0" xfId="0" applyNumberFormat="1" applyFont="1"/>
    <xf numFmtId="40" fontId="10" fillId="0" borderId="8" xfId="0" applyNumberFormat="1" applyFont="1" applyBorder="1"/>
    <xf numFmtId="2" fontId="5" fillId="0" borderId="0" xfId="0" applyNumberFormat="1" applyFont="1" applyProtection="1">
      <protection locked="0"/>
    </xf>
    <xf numFmtId="2" fontId="3" fillId="0" borderId="0" xfId="0" applyNumberFormat="1" applyFont="1" applyProtection="1">
      <protection locked="0"/>
    </xf>
    <xf numFmtId="166" fontId="10" fillId="0" borderId="0" xfId="0" applyNumberFormat="1" applyFont="1"/>
    <xf numFmtId="0" fontId="10" fillId="0" borderId="17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10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2" fillId="0" borderId="0" xfId="0" applyFont="1"/>
    <xf numFmtId="49" fontId="27" fillId="0" borderId="0" xfId="0" applyNumberFormat="1" applyFont="1" applyAlignment="1">
      <alignment horizontal="left"/>
    </xf>
    <xf numFmtId="0" fontId="5" fillId="0" borderId="0" xfId="0" applyFont="1"/>
    <xf numFmtId="166" fontId="5" fillId="0" borderId="0" xfId="0" applyNumberFormat="1" applyFont="1"/>
    <xf numFmtId="0" fontId="37" fillId="0" borderId="0" xfId="0" applyFont="1"/>
    <xf numFmtId="0" fontId="26" fillId="0" borderId="0" xfId="0" applyFont="1"/>
    <xf numFmtId="1" fontId="1" fillId="0" borderId="11" xfId="0" applyNumberFormat="1" applyFont="1" applyBorder="1" applyAlignment="1" applyProtection="1">
      <alignment horizontal="right"/>
      <protection locked="0"/>
    </xf>
    <xf numFmtId="1" fontId="1" fillId="0" borderId="0" xfId="0" applyNumberFormat="1" applyFont="1" applyBorder="1" applyAlignment="1" applyProtection="1">
      <alignment horizontal="right"/>
      <protection locked="0"/>
    </xf>
    <xf numFmtId="0" fontId="27" fillId="0" borderId="0" xfId="0" applyFont="1" applyAlignment="1">
      <alignment horizontal="center"/>
    </xf>
    <xf numFmtId="0" fontId="27" fillId="0" borderId="0" xfId="0" applyFont="1" applyAlignment="1"/>
    <xf numFmtId="0" fontId="10" fillId="0" borderId="0" xfId="0" applyFont="1" applyAlignment="1">
      <alignment horizontal="center"/>
    </xf>
    <xf numFmtId="49" fontId="10" fillId="0" borderId="0" xfId="0" applyNumberFormat="1" applyFont="1" applyAlignment="1">
      <alignment horizontal="center"/>
    </xf>
    <xf numFmtId="0" fontId="10" fillId="0" borderId="17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10" fillId="0" borderId="18" xfId="0" applyFont="1" applyBorder="1" applyAlignment="1">
      <alignment horizontal="center"/>
    </xf>
    <xf numFmtId="0" fontId="0" fillId="0" borderId="0" xfId="0" applyAlignment="1"/>
    <xf numFmtId="0" fontId="25" fillId="0" borderId="0" xfId="0" applyFont="1" applyAlignment="1">
      <alignment horizontal="center"/>
    </xf>
    <xf numFmtId="49" fontId="11" fillId="0" borderId="0" xfId="0" applyNumberFormat="1" applyFont="1" applyBorder="1" applyAlignment="1" applyProtection="1">
      <alignment horizontal="left"/>
      <protection locked="0"/>
    </xf>
    <xf numFmtId="49" fontId="11" fillId="0" borderId="10" xfId="0" applyNumberFormat="1" applyFont="1" applyBorder="1" applyAlignment="1" applyProtection="1">
      <alignment horizontal="left"/>
      <protection locked="0"/>
    </xf>
    <xf numFmtId="49" fontId="11" fillId="0" borderId="0" xfId="0" applyNumberFormat="1" applyFont="1" applyAlignment="1" applyProtection="1">
      <alignment horizontal="left"/>
      <protection locked="0"/>
    </xf>
    <xf numFmtId="49" fontId="11" fillId="0" borderId="0" xfId="0" applyNumberFormat="1" applyFont="1" applyAlignment="1" applyProtection="1">
      <alignment horizontal="left"/>
    </xf>
    <xf numFmtId="49" fontId="11" fillId="0" borderId="0" xfId="0" applyNumberFormat="1" applyFont="1" applyBorder="1" applyAlignment="1" applyProtection="1">
      <alignment horizontal="left"/>
    </xf>
    <xf numFmtId="49" fontId="11" fillId="0" borderId="10" xfId="0" applyNumberFormat="1" applyFont="1" applyBorder="1" applyAlignment="1" applyProtection="1">
      <alignment horizontal="left"/>
    </xf>
    <xf numFmtId="49" fontId="1" fillId="0" borderId="0" xfId="0" applyNumberFormat="1" applyFont="1" applyBorder="1" applyAlignment="1" applyProtection="1">
      <alignment horizontal="left"/>
      <protection locked="0"/>
    </xf>
    <xf numFmtId="49" fontId="1" fillId="0" borderId="10" xfId="0" applyNumberFormat="1" applyFont="1" applyBorder="1" applyAlignment="1" applyProtection="1">
      <alignment horizontal="left"/>
      <protection locked="0"/>
    </xf>
    <xf numFmtId="0" fontId="30" fillId="0" borderId="11" xfId="0" applyFont="1" applyBorder="1" applyAlignment="1">
      <alignment horizontal="center"/>
    </xf>
    <xf numFmtId="0" fontId="30" fillId="0" borderId="0" xfId="0" applyFont="1" applyBorder="1" applyAlignment="1">
      <alignment horizontal="center"/>
    </xf>
    <xf numFmtId="0" fontId="28" fillId="0" borderId="22" xfId="0" applyFont="1" applyBorder="1" applyAlignment="1">
      <alignment horizontal="center"/>
    </xf>
    <xf numFmtId="0" fontId="28" fillId="0" borderId="8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49" fontId="31" fillId="0" borderId="0" xfId="0" applyNumberFormat="1" applyFont="1" applyBorder="1" applyAlignment="1"/>
    <xf numFmtId="0" fontId="31" fillId="0" borderId="0" xfId="0" applyFont="1" applyBorder="1" applyAlignment="1"/>
    <xf numFmtId="49" fontId="11" fillId="0" borderId="13" xfId="0" applyNumberFormat="1" applyFont="1" applyBorder="1" applyAlignment="1" applyProtection="1">
      <alignment horizontal="left"/>
      <protection locked="0"/>
    </xf>
    <xf numFmtId="49" fontId="11" fillId="0" borderId="21" xfId="0" applyNumberFormat="1" applyFont="1" applyBorder="1" applyAlignment="1" applyProtection="1">
      <alignment horizontal="left"/>
      <protection locked="0"/>
    </xf>
    <xf numFmtId="0" fontId="29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center"/>
    </xf>
  </cellXfs>
  <cellStyles count="1">
    <cellStyle name="Normal" xfId="0" builtinId="0"/>
  </cellStyles>
  <dxfs count="1">
    <dxf>
      <font>
        <b/>
        <i val="0"/>
        <condense val="0"/>
        <extend val="0"/>
        <color indexed="1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99C79-C0E9-4E04-84EF-FB7E12364C16}">
  <sheetPr transitionEvaluation="1" transitionEntry="1" codeName="Sheet1">
    <tabColor indexed="56"/>
  </sheetPr>
  <dimension ref="A1:AQ666"/>
  <sheetViews>
    <sheetView tabSelected="1" zoomScale="90" zoomScaleNormal="90" workbookViewId="0">
      <pane xSplit="5" ySplit="3" topLeftCell="F636" activePane="bottomRight" state="frozen"/>
      <selection pane="topRight" activeCell="F1" sqref="F1"/>
      <selection pane="bottomLeft" activeCell="A4" sqref="A4"/>
      <selection pane="bottomRight" activeCell="I659" sqref="I659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 x14ac:dyDescent="0.15">
      <c r="A1" s="1" t="s">
        <v>285</v>
      </c>
      <c r="B1" s="2" t="s">
        <v>286</v>
      </c>
      <c r="C1" s="2" t="s">
        <v>287</v>
      </c>
      <c r="D1" s="2"/>
      <c r="E1" s="2"/>
      <c r="F1" s="13"/>
      <c r="G1" s="13"/>
      <c r="H1" s="15" t="s">
        <v>880</v>
      </c>
      <c r="I1" s="13"/>
      <c r="J1" s="13"/>
      <c r="K1" s="13"/>
      <c r="L1" s="13"/>
    </row>
    <row r="2" spans="1:13" s="3" customFormat="1" ht="12" customHeight="1" x14ac:dyDescent="0.2">
      <c r="A2" s="176" t="s">
        <v>898</v>
      </c>
      <c r="B2" s="21">
        <v>39</v>
      </c>
      <c r="C2" s="21">
        <v>39</v>
      </c>
      <c r="D2" s="21"/>
      <c r="E2" s="6" t="s">
        <v>712</v>
      </c>
      <c r="F2" s="15" t="s">
        <v>288</v>
      </c>
      <c r="G2" s="15" t="s">
        <v>289</v>
      </c>
      <c r="H2" s="15" t="s">
        <v>290</v>
      </c>
      <c r="I2" s="15" t="s">
        <v>291</v>
      </c>
      <c r="J2" s="15" t="s">
        <v>292</v>
      </c>
      <c r="K2" s="15" t="s">
        <v>293</v>
      </c>
      <c r="L2" s="15" t="s">
        <v>723</v>
      </c>
    </row>
    <row r="3" spans="1:13" s="3" customFormat="1" ht="12" customHeight="1" x14ac:dyDescent="0.15">
      <c r="A3" s="5" t="s">
        <v>294</v>
      </c>
      <c r="B3" s="6" t="s">
        <v>295</v>
      </c>
      <c r="C3" s="6" t="s">
        <v>296</v>
      </c>
      <c r="D3" s="6"/>
      <c r="E3" s="23" t="s">
        <v>426</v>
      </c>
    </row>
    <row r="4" spans="1:13" s="3" customFormat="1" ht="12" customHeight="1" x14ac:dyDescent="0.15">
      <c r="A4" s="1" t="s">
        <v>302</v>
      </c>
      <c r="K4" s="13"/>
      <c r="L4" s="13"/>
    </row>
    <row r="5" spans="1:13" s="3" customFormat="1" ht="12" customHeight="1" x14ac:dyDescent="0.15">
      <c r="A5" s="1" t="s">
        <v>303</v>
      </c>
      <c r="F5" s="23" t="s">
        <v>297</v>
      </c>
      <c r="G5" s="23" t="s">
        <v>298</v>
      </c>
      <c r="H5" s="23" t="s">
        <v>299</v>
      </c>
      <c r="I5" s="23" t="s">
        <v>300</v>
      </c>
      <c r="J5" s="23" t="s">
        <v>301</v>
      </c>
      <c r="K5" s="13"/>
      <c r="L5" s="13"/>
    </row>
    <row r="6" spans="1:13" s="3" customFormat="1" ht="12" customHeight="1" x14ac:dyDescent="0.15">
      <c r="B6" s="7"/>
      <c r="C6" s="7"/>
      <c r="D6" s="7"/>
      <c r="F6" s="226" t="s">
        <v>304</v>
      </c>
      <c r="G6" s="226" t="s">
        <v>305</v>
      </c>
      <c r="H6" s="226" t="s">
        <v>306</v>
      </c>
      <c r="I6" s="226" t="s">
        <v>307</v>
      </c>
      <c r="J6" s="226" t="s">
        <v>308</v>
      </c>
      <c r="K6" s="13"/>
      <c r="L6" s="13"/>
      <c r="M6" s="8"/>
    </row>
    <row r="7" spans="1:13" s="3" customFormat="1" ht="12" customHeight="1" x14ac:dyDescent="0.15">
      <c r="A7" s="1" t="s">
        <v>309</v>
      </c>
      <c r="B7" s="7"/>
      <c r="C7" s="7"/>
      <c r="D7" s="7"/>
      <c r="E7" s="7"/>
      <c r="F7" s="226"/>
      <c r="G7" s="227"/>
      <c r="H7" s="226" t="s">
        <v>803</v>
      </c>
      <c r="I7" s="227"/>
      <c r="J7" s="227"/>
      <c r="K7" s="13"/>
      <c r="L7" s="13"/>
      <c r="M7" s="8"/>
    </row>
    <row r="8" spans="1:13" s="3" customFormat="1" ht="12" customHeight="1" x14ac:dyDescent="0.15">
      <c r="A8" s="29" t="s">
        <v>427</v>
      </c>
      <c r="B8" s="7"/>
      <c r="C8" s="7"/>
      <c r="D8" s="7"/>
      <c r="E8" s="7"/>
      <c r="F8" s="24" t="s">
        <v>312</v>
      </c>
      <c r="G8" s="24" t="s">
        <v>312</v>
      </c>
      <c r="H8" s="24" t="s">
        <v>312</v>
      </c>
      <c r="I8" s="24" t="s">
        <v>312</v>
      </c>
      <c r="J8" s="24" t="s">
        <v>312</v>
      </c>
      <c r="K8" s="24" t="s">
        <v>312</v>
      </c>
      <c r="L8" s="24" t="s">
        <v>312</v>
      </c>
      <c r="M8" s="8"/>
    </row>
    <row r="9" spans="1:13" s="3" customFormat="1" ht="12" customHeight="1" x14ac:dyDescent="0.15">
      <c r="A9" s="1" t="s">
        <v>587</v>
      </c>
      <c r="B9" s="2" t="s">
        <v>313</v>
      </c>
      <c r="C9" s="6">
        <v>1</v>
      </c>
      <c r="D9" s="2" t="s">
        <v>452</v>
      </c>
      <c r="E9" s="6">
        <v>100</v>
      </c>
      <c r="F9" s="18">
        <f>21827.91+100</f>
        <v>21927.91</v>
      </c>
      <c r="G9" s="18"/>
      <c r="H9" s="18"/>
      <c r="I9" s="18"/>
      <c r="J9" s="67">
        <f>SUM(I431)</f>
        <v>0</v>
      </c>
      <c r="K9" s="24" t="s">
        <v>312</v>
      </c>
      <c r="L9" s="24" t="s">
        <v>312</v>
      </c>
      <c r="M9" s="8"/>
    </row>
    <row r="10" spans="1:13" s="3" customFormat="1" ht="12" customHeight="1" x14ac:dyDescent="0.15">
      <c r="A10" s="1" t="s">
        <v>588</v>
      </c>
      <c r="B10" s="2" t="s">
        <v>313</v>
      </c>
      <c r="C10" s="6">
        <v>2</v>
      </c>
      <c r="D10" s="2" t="s">
        <v>452</v>
      </c>
      <c r="E10" s="6">
        <v>110</v>
      </c>
      <c r="F10" s="18"/>
      <c r="G10" s="18"/>
      <c r="H10" s="18"/>
      <c r="I10" s="18"/>
      <c r="J10" s="67">
        <f>SUM(I432)</f>
        <v>49809.08</v>
      </c>
      <c r="K10" s="24" t="s">
        <v>312</v>
      </c>
      <c r="L10" s="24" t="s">
        <v>312</v>
      </c>
      <c r="M10" s="8"/>
    </row>
    <row r="11" spans="1:13" s="3" customFormat="1" ht="12" customHeight="1" x14ac:dyDescent="0.15">
      <c r="A11" s="1" t="s">
        <v>589</v>
      </c>
      <c r="B11" s="2" t="s">
        <v>313</v>
      </c>
      <c r="C11" s="6">
        <v>3</v>
      </c>
      <c r="D11" s="2" t="s">
        <v>452</v>
      </c>
      <c r="E11" s="6">
        <v>120</v>
      </c>
      <c r="F11" s="18"/>
      <c r="G11" s="24" t="s">
        <v>312</v>
      </c>
      <c r="H11" s="24" t="s">
        <v>312</v>
      </c>
      <c r="I11" s="24" t="s">
        <v>312</v>
      </c>
      <c r="J11" s="24" t="s">
        <v>312</v>
      </c>
      <c r="K11" s="24" t="s">
        <v>312</v>
      </c>
      <c r="L11" s="24" t="s">
        <v>312</v>
      </c>
      <c r="M11" s="8"/>
    </row>
    <row r="12" spans="1:13" s="3" customFormat="1" ht="12" customHeight="1" x14ac:dyDescent="0.15">
      <c r="A12" s="1" t="s">
        <v>590</v>
      </c>
      <c r="B12" s="2" t="s">
        <v>313</v>
      </c>
      <c r="C12" s="6">
        <v>4</v>
      </c>
      <c r="D12" s="2" t="s">
        <v>452</v>
      </c>
      <c r="E12" s="6">
        <v>130</v>
      </c>
      <c r="F12" s="18">
        <v>13024.08</v>
      </c>
      <c r="G12" s="18"/>
      <c r="H12" s="18"/>
      <c r="I12" s="18"/>
      <c r="J12" s="67">
        <f>SUM(I433)</f>
        <v>0</v>
      </c>
      <c r="K12" s="24" t="s">
        <v>312</v>
      </c>
      <c r="L12" s="24" t="s">
        <v>312</v>
      </c>
      <c r="M12" s="8"/>
    </row>
    <row r="13" spans="1:13" s="3" customFormat="1" ht="12" customHeight="1" x14ac:dyDescent="0.15">
      <c r="A13" s="1" t="s">
        <v>636</v>
      </c>
      <c r="B13" s="2" t="s">
        <v>313</v>
      </c>
      <c r="C13" s="6">
        <v>5</v>
      </c>
      <c r="D13" s="2" t="s">
        <v>452</v>
      </c>
      <c r="E13" s="6">
        <v>140</v>
      </c>
      <c r="F13" s="18">
        <v>7139.11</v>
      </c>
      <c r="G13" s="18">
        <v>3279.9</v>
      </c>
      <c r="H13" s="18">
        <v>9744.18</v>
      </c>
      <c r="I13" s="18"/>
      <c r="J13" s="67">
        <f>SUM(I434)</f>
        <v>0</v>
      </c>
      <c r="K13" s="24" t="s">
        <v>312</v>
      </c>
      <c r="L13" s="24" t="s">
        <v>312</v>
      </c>
      <c r="M13" s="8"/>
    </row>
    <row r="14" spans="1:13" s="3" customFormat="1" ht="12" customHeight="1" x14ac:dyDescent="0.15">
      <c r="A14" s="1" t="s">
        <v>591</v>
      </c>
      <c r="B14" s="2" t="s">
        <v>313</v>
      </c>
      <c r="C14" s="6">
        <v>6</v>
      </c>
      <c r="D14" s="2" t="s">
        <v>452</v>
      </c>
      <c r="E14" s="6">
        <v>150</v>
      </c>
      <c r="F14" s="18">
        <v>1672.59</v>
      </c>
      <c r="G14" s="18"/>
      <c r="H14" s="18"/>
      <c r="I14" s="18"/>
      <c r="J14" s="67">
        <f>SUM(I435)</f>
        <v>0</v>
      </c>
      <c r="K14" s="24" t="s">
        <v>312</v>
      </c>
      <c r="L14" s="24" t="s">
        <v>312</v>
      </c>
      <c r="M14" s="8"/>
    </row>
    <row r="15" spans="1:13" s="3" customFormat="1" ht="12" customHeight="1" x14ac:dyDescent="0.15">
      <c r="A15" s="1" t="s">
        <v>616</v>
      </c>
      <c r="B15" s="2" t="s">
        <v>313</v>
      </c>
      <c r="C15" s="6">
        <v>7</v>
      </c>
      <c r="D15" s="2" t="s">
        <v>452</v>
      </c>
      <c r="E15" s="6">
        <v>160</v>
      </c>
      <c r="F15" s="24" t="s">
        <v>312</v>
      </c>
      <c r="G15" s="24" t="s">
        <v>312</v>
      </c>
      <c r="H15" s="24" t="s">
        <v>312</v>
      </c>
      <c r="I15" s="18"/>
      <c r="J15" s="24" t="s">
        <v>312</v>
      </c>
      <c r="K15" s="24" t="s">
        <v>312</v>
      </c>
      <c r="L15" s="24" t="s">
        <v>312</v>
      </c>
      <c r="M15" s="8"/>
    </row>
    <row r="16" spans="1:13" s="3" customFormat="1" ht="12" customHeight="1" x14ac:dyDescent="0.15">
      <c r="A16" s="1" t="s">
        <v>592</v>
      </c>
      <c r="B16" s="2" t="s">
        <v>313</v>
      </c>
      <c r="C16" s="6">
        <v>8</v>
      </c>
      <c r="D16" s="2" t="s">
        <v>452</v>
      </c>
      <c r="E16" s="6">
        <v>170</v>
      </c>
      <c r="F16" s="18"/>
      <c r="G16" s="18"/>
      <c r="H16" s="18"/>
      <c r="I16" s="18"/>
      <c r="J16" s="24" t="s">
        <v>312</v>
      </c>
      <c r="K16" s="24" t="s">
        <v>312</v>
      </c>
      <c r="L16" s="24" t="s">
        <v>312</v>
      </c>
      <c r="M16" s="8"/>
    </row>
    <row r="17" spans="1:13" s="3" customFormat="1" ht="12" customHeight="1" x14ac:dyDescent="0.15">
      <c r="A17" s="1" t="s">
        <v>593</v>
      </c>
      <c r="B17" s="2" t="s">
        <v>313</v>
      </c>
      <c r="C17" s="6">
        <v>9</v>
      </c>
      <c r="D17" s="2" t="s">
        <v>452</v>
      </c>
      <c r="E17" s="6">
        <v>180</v>
      </c>
      <c r="F17" s="18"/>
      <c r="G17" s="18"/>
      <c r="H17" s="18"/>
      <c r="I17" s="18"/>
      <c r="J17" s="67">
        <f>SUM(I436)</f>
        <v>0</v>
      </c>
      <c r="K17" s="24" t="s">
        <v>312</v>
      </c>
      <c r="L17" s="24" t="s">
        <v>312</v>
      </c>
      <c r="M17" s="8"/>
    </row>
    <row r="18" spans="1:13" s="3" customFormat="1" ht="12" customHeight="1" thickBot="1" x14ac:dyDescent="0.2">
      <c r="A18" s="1" t="s">
        <v>594</v>
      </c>
      <c r="B18" s="2" t="s">
        <v>313</v>
      </c>
      <c r="C18" s="6">
        <v>10</v>
      </c>
      <c r="D18" s="2" t="s">
        <v>452</v>
      </c>
      <c r="E18" s="6">
        <v>190</v>
      </c>
      <c r="F18" s="18"/>
      <c r="G18" s="18"/>
      <c r="H18" s="145"/>
      <c r="I18" s="18"/>
      <c r="J18" s="67">
        <f>SUM(I437)</f>
        <v>0</v>
      </c>
      <c r="K18" s="24" t="s">
        <v>312</v>
      </c>
      <c r="L18" s="24" t="s">
        <v>312</v>
      </c>
      <c r="M18" s="8"/>
    </row>
    <row r="19" spans="1:13" s="3" customFormat="1" ht="12" customHeight="1" thickTop="1" x14ac:dyDescent="0.15">
      <c r="A19" s="38" t="s">
        <v>428</v>
      </c>
      <c r="B19" s="39" t="s">
        <v>313</v>
      </c>
      <c r="C19" s="40">
        <v>11</v>
      </c>
      <c r="D19" s="39" t="s">
        <v>452</v>
      </c>
      <c r="E19" s="39"/>
      <c r="F19" s="41">
        <f>SUM(F9:F18)</f>
        <v>43763.689999999995</v>
      </c>
      <c r="G19" s="41">
        <f>SUM(G9:G18)</f>
        <v>3279.9</v>
      </c>
      <c r="H19" s="41">
        <f>SUM(H9:H18)</f>
        <v>9744.18</v>
      </c>
      <c r="I19" s="41">
        <f>SUM(I9:I18)</f>
        <v>0</v>
      </c>
      <c r="J19" s="41">
        <f>SUM(J9:J18)</f>
        <v>49809.08</v>
      </c>
      <c r="K19" s="45" t="s">
        <v>312</v>
      </c>
      <c r="L19" s="45" t="s">
        <v>312</v>
      </c>
      <c r="M19" s="8"/>
    </row>
    <row r="20" spans="1:13" s="3" customFormat="1" ht="12" customHeight="1" x14ac:dyDescent="0.15">
      <c r="B20" s="1" t="s">
        <v>325</v>
      </c>
      <c r="C20" s="159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 x14ac:dyDescent="0.15">
      <c r="A21" s="1" t="s">
        <v>478</v>
      </c>
      <c r="C21" s="159"/>
      <c r="F21" s="13"/>
      <c r="G21" s="13"/>
      <c r="H21" s="13"/>
      <c r="I21" s="13"/>
      <c r="J21" s="13"/>
      <c r="K21" s="13"/>
      <c r="L21" s="13"/>
      <c r="M21" s="8"/>
    </row>
    <row r="22" spans="1:13" s="3" customFormat="1" ht="12" customHeight="1" x14ac:dyDescent="0.15">
      <c r="A22" s="29" t="s">
        <v>429</v>
      </c>
      <c r="B22" s="7"/>
      <c r="C22" s="2"/>
      <c r="D22" s="7"/>
      <c r="E22" s="7"/>
      <c r="F22" s="24" t="s">
        <v>312</v>
      </c>
      <c r="G22" s="24" t="s">
        <v>312</v>
      </c>
      <c r="H22" s="24" t="s">
        <v>312</v>
      </c>
      <c r="I22" s="24" t="s">
        <v>312</v>
      </c>
      <c r="J22" s="24" t="s">
        <v>312</v>
      </c>
      <c r="K22" s="24" t="s">
        <v>312</v>
      </c>
      <c r="L22" s="24" t="s">
        <v>312</v>
      </c>
      <c r="M22" s="8"/>
    </row>
    <row r="23" spans="1:13" s="3" customFormat="1" ht="12" customHeight="1" x14ac:dyDescent="0.15">
      <c r="A23" s="1" t="s">
        <v>595</v>
      </c>
      <c r="B23" s="2" t="s">
        <v>313</v>
      </c>
      <c r="C23" s="6">
        <v>12</v>
      </c>
      <c r="D23" s="2" t="s">
        <v>453</v>
      </c>
      <c r="E23" s="6">
        <v>400</v>
      </c>
      <c r="F23" s="18"/>
      <c r="G23" s="18">
        <v>3279.9</v>
      </c>
      <c r="H23" s="18">
        <v>9744.18</v>
      </c>
      <c r="I23" s="18"/>
      <c r="J23" s="67">
        <f>SUM(I440)</f>
        <v>0</v>
      </c>
      <c r="K23" s="24" t="s">
        <v>312</v>
      </c>
      <c r="L23" s="24" t="s">
        <v>312</v>
      </c>
      <c r="M23" s="8"/>
    </row>
    <row r="24" spans="1:13" s="3" customFormat="1" ht="12" customHeight="1" x14ac:dyDescent="0.15">
      <c r="A24" s="1" t="s">
        <v>639</v>
      </c>
      <c r="B24" s="2" t="s">
        <v>313</v>
      </c>
      <c r="C24" s="6">
        <v>13</v>
      </c>
      <c r="D24" s="2" t="s">
        <v>453</v>
      </c>
      <c r="E24" s="6">
        <v>410</v>
      </c>
      <c r="F24" s="18"/>
      <c r="G24" s="18"/>
      <c r="H24" s="18"/>
      <c r="I24" s="18"/>
      <c r="J24" s="67">
        <f>SUM(I441)</f>
        <v>0</v>
      </c>
      <c r="K24" s="24" t="s">
        <v>312</v>
      </c>
      <c r="L24" s="24" t="s">
        <v>312</v>
      </c>
      <c r="M24" s="8"/>
    </row>
    <row r="25" spans="1:13" s="3" customFormat="1" ht="12" customHeight="1" x14ac:dyDescent="0.15">
      <c r="A25" s="1" t="s">
        <v>596</v>
      </c>
      <c r="B25" s="2" t="s">
        <v>313</v>
      </c>
      <c r="C25" s="6">
        <v>14</v>
      </c>
      <c r="D25" s="2" t="s">
        <v>453</v>
      </c>
      <c r="E25" s="6">
        <v>420</v>
      </c>
      <c r="F25" s="18">
        <v>1957.2</v>
      </c>
      <c r="G25" s="18"/>
      <c r="H25" s="18"/>
      <c r="I25" s="18"/>
      <c r="J25" s="67">
        <f>SUM(I442)</f>
        <v>0</v>
      </c>
      <c r="K25" s="24" t="s">
        <v>312</v>
      </c>
      <c r="L25" s="24" t="s">
        <v>312</v>
      </c>
      <c r="M25" s="8"/>
    </row>
    <row r="26" spans="1:13" s="3" customFormat="1" ht="12" customHeight="1" x14ac:dyDescent="0.15">
      <c r="A26" s="1" t="s">
        <v>600</v>
      </c>
      <c r="B26" s="2" t="s">
        <v>313</v>
      </c>
      <c r="C26" s="6">
        <v>15</v>
      </c>
      <c r="D26" s="2" t="s">
        <v>453</v>
      </c>
      <c r="E26" s="6">
        <v>430</v>
      </c>
      <c r="F26" s="18"/>
      <c r="G26" s="145"/>
      <c r="H26" s="18"/>
      <c r="I26" s="18"/>
      <c r="J26" s="24" t="s">
        <v>312</v>
      </c>
      <c r="K26" s="24" t="s">
        <v>312</v>
      </c>
      <c r="L26" s="24" t="s">
        <v>312</v>
      </c>
      <c r="M26" s="8"/>
    </row>
    <row r="27" spans="1:13" s="3" customFormat="1" ht="12" customHeight="1" x14ac:dyDescent="0.15">
      <c r="A27" s="1" t="s">
        <v>597</v>
      </c>
      <c r="B27" s="2" t="s">
        <v>313</v>
      </c>
      <c r="C27" s="6">
        <v>16</v>
      </c>
      <c r="D27" s="2" t="s">
        <v>453</v>
      </c>
      <c r="E27" s="6">
        <v>440</v>
      </c>
      <c r="F27" s="18"/>
      <c r="G27" s="24" t="s">
        <v>312</v>
      </c>
      <c r="H27" s="24" t="s">
        <v>312</v>
      </c>
      <c r="I27" s="18"/>
      <c r="J27" s="24" t="s">
        <v>312</v>
      </c>
      <c r="K27" s="24" t="s">
        <v>312</v>
      </c>
      <c r="L27" s="24" t="s">
        <v>312</v>
      </c>
      <c r="M27" s="8"/>
    </row>
    <row r="28" spans="1:13" s="3" customFormat="1" ht="12" customHeight="1" x14ac:dyDescent="0.15">
      <c r="A28" s="1" t="s">
        <v>598</v>
      </c>
      <c r="B28" s="2" t="s">
        <v>313</v>
      </c>
      <c r="C28" s="6">
        <v>17</v>
      </c>
      <c r="D28" s="2" t="s">
        <v>453</v>
      </c>
      <c r="E28" s="6">
        <v>450</v>
      </c>
      <c r="F28" s="18"/>
      <c r="G28" s="24" t="s">
        <v>312</v>
      </c>
      <c r="H28" s="24" t="s">
        <v>312</v>
      </c>
      <c r="I28" s="18"/>
      <c r="J28" s="24" t="s">
        <v>312</v>
      </c>
      <c r="K28" s="24" t="s">
        <v>312</v>
      </c>
      <c r="L28" s="24" t="s">
        <v>312</v>
      </c>
      <c r="M28" s="8"/>
    </row>
    <row r="29" spans="1:13" s="3" customFormat="1" ht="12" customHeight="1" x14ac:dyDescent="0.15">
      <c r="A29" s="1" t="s">
        <v>599</v>
      </c>
      <c r="B29" s="2" t="s">
        <v>313</v>
      </c>
      <c r="C29" s="6">
        <v>18</v>
      </c>
      <c r="D29" s="2" t="s">
        <v>453</v>
      </c>
      <c r="E29" s="6">
        <v>460</v>
      </c>
      <c r="F29" s="18">
        <v>507.66</v>
      </c>
      <c r="G29" s="18"/>
      <c r="H29" s="18"/>
      <c r="I29" s="18"/>
      <c r="J29" s="24" t="s">
        <v>312</v>
      </c>
      <c r="K29" s="24" t="s">
        <v>312</v>
      </c>
      <c r="L29" s="24" t="s">
        <v>312</v>
      </c>
      <c r="M29" s="8"/>
    </row>
    <row r="30" spans="1:13" s="3" customFormat="1" ht="12" customHeight="1" x14ac:dyDescent="0.15">
      <c r="A30" s="1" t="s">
        <v>601</v>
      </c>
      <c r="B30" s="2" t="s">
        <v>313</v>
      </c>
      <c r="C30" s="6">
        <v>19</v>
      </c>
      <c r="D30" s="2" t="s">
        <v>453</v>
      </c>
      <c r="E30" s="6">
        <v>470</v>
      </c>
      <c r="F30" s="18"/>
      <c r="G30" s="18"/>
      <c r="H30" s="18"/>
      <c r="I30" s="18"/>
      <c r="J30" s="24" t="s">
        <v>312</v>
      </c>
      <c r="K30" s="24" t="s">
        <v>312</v>
      </c>
      <c r="L30" s="24" t="s">
        <v>312</v>
      </c>
      <c r="M30" s="8"/>
    </row>
    <row r="31" spans="1:13" s="3" customFormat="1" ht="12" customHeight="1" x14ac:dyDescent="0.15">
      <c r="A31" s="1" t="s">
        <v>602</v>
      </c>
      <c r="B31" s="2" t="s">
        <v>313</v>
      </c>
      <c r="C31" s="6">
        <v>20</v>
      </c>
      <c r="D31" s="2" t="s">
        <v>453</v>
      </c>
      <c r="E31" s="6">
        <v>480</v>
      </c>
      <c r="F31" s="18"/>
      <c r="G31" s="18"/>
      <c r="H31" s="18"/>
      <c r="I31" s="18"/>
      <c r="J31" s="24" t="s">
        <v>312</v>
      </c>
      <c r="K31" s="24" t="s">
        <v>312</v>
      </c>
      <c r="L31" s="24" t="s">
        <v>312</v>
      </c>
      <c r="M31" s="8"/>
    </row>
    <row r="32" spans="1:13" s="3" customFormat="1" ht="12" customHeight="1" thickBot="1" x14ac:dyDescent="0.2">
      <c r="A32" s="1" t="s">
        <v>615</v>
      </c>
      <c r="B32" s="2" t="s">
        <v>313</v>
      </c>
      <c r="C32" s="6">
        <v>21</v>
      </c>
      <c r="D32" s="2" t="s">
        <v>453</v>
      </c>
      <c r="E32" s="6">
        <v>490</v>
      </c>
      <c r="F32" s="18"/>
      <c r="G32" s="18"/>
      <c r="H32" s="18"/>
      <c r="I32" s="18"/>
      <c r="J32" s="67">
        <f>SUM(I443)</f>
        <v>0</v>
      </c>
      <c r="K32" s="24" t="s">
        <v>312</v>
      </c>
      <c r="L32" s="24" t="s">
        <v>312</v>
      </c>
      <c r="M32" s="8"/>
    </row>
    <row r="33" spans="1:13" s="3" customFormat="1" ht="12" customHeight="1" thickTop="1" x14ac:dyDescent="0.15">
      <c r="A33" s="38" t="s">
        <v>430</v>
      </c>
      <c r="B33" s="39" t="s">
        <v>313</v>
      </c>
      <c r="C33" s="40">
        <v>22</v>
      </c>
      <c r="D33" s="39" t="s">
        <v>453</v>
      </c>
      <c r="E33" s="39"/>
      <c r="F33" s="41">
        <f>SUM(F23:F32)</f>
        <v>2464.86</v>
      </c>
      <c r="G33" s="41">
        <f>SUM(G23:G32)</f>
        <v>3279.9</v>
      </c>
      <c r="H33" s="41">
        <f>SUM(H23:H32)</f>
        <v>9744.18</v>
      </c>
      <c r="I33" s="41">
        <f>SUM(I23:I32)</f>
        <v>0</v>
      </c>
      <c r="J33" s="41">
        <f>SUM(J23:J32)</f>
        <v>0</v>
      </c>
      <c r="K33" s="45" t="s">
        <v>312</v>
      </c>
      <c r="L33" s="45" t="s">
        <v>312</v>
      </c>
      <c r="M33" s="8"/>
    </row>
    <row r="34" spans="1:13" s="3" customFormat="1" ht="12" customHeight="1" x14ac:dyDescent="0.15">
      <c r="A34" s="29" t="s">
        <v>328</v>
      </c>
      <c r="B34" s="1" t="s">
        <v>325</v>
      </c>
      <c r="C34" s="2" t="s">
        <v>310</v>
      </c>
      <c r="D34" s="2"/>
      <c r="E34" s="2"/>
      <c r="F34" s="24" t="s">
        <v>312</v>
      </c>
      <c r="G34" s="24" t="s">
        <v>312</v>
      </c>
      <c r="H34" s="24" t="s">
        <v>312</v>
      </c>
      <c r="I34" s="24" t="s">
        <v>312</v>
      </c>
      <c r="J34" s="24" t="s">
        <v>312</v>
      </c>
      <c r="K34" s="24" t="s">
        <v>312</v>
      </c>
      <c r="L34" s="24" t="s">
        <v>312</v>
      </c>
      <c r="M34" s="8"/>
    </row>
    <row r="35" spans="1:13" s="3" customFormat="1" ht="12" customHeight="1" x14ac:dyDescent="0.15">
      <c r="A35" s="1" t="s">
        <v>603</v>
      </c>
      <c r="B35" s="6">
        <v>1</v>
      </c>
      <c r="C35" s="6">
        <v>23</v>
      </c>
      <c r="D35" s="2" t="s">
        <v>687</v>
      </c>
      <c r="E35" s="6">
        <v>751</v>
      </c>
      <c r="F35" s="18"/>
      <c r="G35" s="18"/>
      <c r="H35" s="18"/>
      <c r="I35" s="18"/>
      <c r="J35" s="24" t="s">
        <v>312</v>
      </c>
      <c r="K35" s="24" t="s">
        <v>312</v>
      </c>
      <c r="L35" s="24" t="s">
        <v>312</v>
      </c>
      <c r="M35" s="8"/>
    </row>
    <row r="36" spans="1:13" s="3" customFormat="1" ht="12" customHeight="1" x14ac:dyDescent="0.15">
      <c r="A36" s="1" t="s">
        <v>604</v>
      </c>
      <c r="B36" s="6">
        <v>1</v>
      </c>
      <c r="C36" s="6">
        <v>24</v>
      </c>
      <c r="D36" s="2" t="s">
        <v>687</v>
      </c>
      <c r="E36" s="6">
        <v>752</v>
      </c>
      <c r="F36" s="18"/>
      <c r="G36" s="18"/>
      <c r="H36" s="18"/>
      <c r="I36" s="18"/>
      <c r="J36" s="24" t="s">
        <v>312</v>
      </c>
      <c r="K36" s="24" t="s">
        <v>312</v>
      </c>
      <c r="L36" s="24" t="s">
        <v>312</v>
      </c>
      <c r="M36" s="8"/>
    </row>
    <row r="37" spans="1:13" s="3" customFormat="1" ht="12" customHeight="1" x14ac:dyDescent="0.15">
      <c r="A37" s="1" t="s">
        <v>605</v>
      </c>
      <c r="B37" s="6">
        <v>1</v>
      </c>
      <c r="C37" s="6">
        <v>25</v>
      </c>
      <c r="D37" s="2" t="s">
        <v>687</v>
      </c>
      <c r="E37" s="6">
        <v>753</v>
      </c>
      <c r="F37" s="18">
        <v>10978.48</v>
      </c>
      <c r="G37" s="18"/>
      <c r="H37" s="18">
        <v>336</v>
      </c>
      <c r="I37" s="18"/>
      <c r="J37" s="13">
        <f>SUM(I446)</f>
        <v>0</v>
      </c>
      <c r="K37" s="24" t="s">
        <v>312</v>
      </c>
      <c r="L37" s="24" t="s">
        <v>312</v>
      </c>
      <c r="M37" s="8"/>
    </row>
    <row r="38" spans="1:13" s="3" customFormat="1" ht="12" customHeight="1" x14ac:dyDescent="0.15">
      <c r="A38" s="1" t="s">
        <v>617</v>
      </c>
      <c r="B38" s="6">
        <v>1</v>
      </c>
      <c r="C38" s="6">
        <v>26</v>
      </c>
      <c r="D38" s="2" t="s">
        <v>687</v>
      </c>
      <c r="E38" s="6">
        <v>754</v>
      </c>
      <c r="F38" s="18"/>
      <c r="G38" s="18"/>
      <c r="H38" s="18"/>
      <c r="I38" s="18"/>
      <c r="J38" s="13">
        <f>SUM(I447)</f>
        <v>0</v>
      </c>
      <c r="K38" s="24" t="s">
        <v>312</v>
      </c>
      <c r="L38" s="24" t="s">
        <v>312</v>
      </c>
      <c r="M38" s="8"/>
    </row>
    <row r="39" spans="1:13" s="3" customFormat="1" ht="12" customHeight="1" x14ac:dyDescent="0.15">
      <c r="A39" s="1" t="s">
        <v>606</v>
      </c>
      <c r="B39" s="6">
        <v>1</v>
      </c>
      <c r="C39" s="6">
        <v>27</v>
      </c>
      <c r="D39" s="2" t="s">
        <v>687</v>
      </c>
      <c r="E39" s="6">
        <v>755</v>
      </c>
      <c r="F39" s="18"/>
      <c r="G39" s="18"/>
      <c r="H39" s="18"/>
      <c r="I39" s="18"/>
      <c r="J39" s="24" t="s">
        <v>312</v>
      </c>
      <c r="K39" s="24"/>
      <c r="L39" s="24"/>
      <c r="M39" s="8"/>
    </row>
    <row r="40" spans="1:13" s="3" customFormat="1" ht="12" customHeight="1" x14ac:dyDescent="0.15">
      <c r="A40" s="1" t="s">
        <v>607</v>
      </c>
      <c r="B40" s="6">
        <v>1</v>
      </c>
      <c r="C40" s="6">
        <v>28</v>
      </c>
      <c r="D40" s="2" t="s">
        <v>687</v>
      </c>
      <c r="E40" s="6">
        <v>756</v>
      </c>
      <c r="F40" s="24" t="s">
        <v>312</v>
      </c>
      <c r="G40" s="24" t="s">
        <v>312</v>
      </c>
      <c r="H40" s="24" t="s">
        <v>312</v>
      </c>
      <c r="I40" s="24" t="s">
        <v>312</v>
      </c>
      <c r="J40" s="13">
        <f>SUM(I448)</f>
        <v>0</v>
      </c>
      <c r="K40" s="24"/>
      <c r="L40" s="24"/>
      <c r="M40" s="8"/>
    </row>
    <row r="41" spans="1:13" s="3" customFormat="1" ht="12" customHeight="1" x14ac:dyDescent="0.15">
      <c r="A41" s="1" t="s">
        <v>608</v>
      </c>
      <c r="B41" s="2" t="s">
        <v>313</v>
      </c>
      <c r="C41" s="6">
        <v>29</v>
      </c>
      <c r="D41" s="2" t="s">
        <v>687</v>
      </c>
      <c r="E41" s="6">
        <v>760</v>
      </c>
      <c r="F41" s="18"/>
      <c r="G41" s="18"/>
      <c r="H41" s="18">
        <v>-336</v>
      </c>
      <c r="I41" s="18"/>
      <c r="J41" s="13">
        <f>SUM(I449)</f>
        <v>49809.08</v>
      </c>
      <c r="K41" s="24" t="s">
        <v>312</v>
      </c>
      <c r="L41" s="24" t="s">
        <v>312</v>
      </c>
      <c r="M41" s="8"/>
    </row>
    <row r="42" spans="1:13" s="3" customFormat="1" ht="12" customHeight="1" thickBot="1" x14ac:dyDescent="0.2">
      <c r="A42" s="1" t="s">
        <v>609</v>
      </c>
      <c r="B42" s="2" t="s">
        <v>313</v>
      </c>
      <c r="C42" s="71">
        <v>30</v>
      </c>
      <c r="D42" s="2" t="s">
        <v>687</v>
      </c>
      <c r="E42" s="6">
        <v>770</v>
      </c>
      <c r="F42" s="18">
        <v>30320.35</v>
      </c>
      <c r="G42" s="24" t="s">
        <v>312</v>
      </c>
      <c r="H42" s="24" t="s">
        <v>312</v>
      </c>
      <c r="I42" s="24" t="s">
        <v>312</v>
      </c>
      <c r="J42" s="24" t="s">
        <v>312</v>
      </c>
      <c r="K42" s="24" t="s">
        <v>312</v>
      </c>
      <c r="L42" s="24" t="s">
        <v>312</v>
      </c>
      <c r="M42" s="8"/>
    </row>
    <row r="43" spans="1:13" s="3" customFormat="1" ht="12" customHeight="1" thickTop="1" thickBot="1" x14ac:dyDescent="0.2">
      <c r="A43" s="38" t="s">
        <v>431</v>
      </c>
      <c r="B43" s="39" t="s">
        <v>313</v>
      </c>
      <c r="C43" s="51">
        <v>31</v>
      </c>
      <c r="D43" s="39" t="s">
        <v>687</v>
      </c>
      <c r="E43" s="39"/>
      <c r="F43" s="41">
        <f>SUM(F35:F42)</f>
        <v>41298.83</v>
      </c>
      <c r="G43" s="41">
        <f>SUM(G35:G42)</f>
        <v>0</v>
      </c>
      <c r="H43" s="41">
        <f>SUM(H35:H42)</f>
        <v>0</v>
      </c>
      <c r="I43" s="41">
        <f>SUM(I35:I42)</f>
        <v>0</v>
      </c>
      <c r="J43" s="41">
        <f>SUM(J35:J42)</f>
        <v>49809.08</v>
      </c>
      <c r="K43" s="45" t="s">
        <v>312</v>
      </c>
      <c r="L43" s="45" t="s">
        <v>312</v>
      </c>
      <c r="M43" s="8"/>
    </row>
    <row r="44" spans="1:13" s="3" customFormat="1" ht="12" customHeight="1" thickTop="1" x14ac:dyDescent="0.15">
      <c r="A44" s="38" t="s">
        <v>479</v>
      </c>
      <c r="B44" s="39" t="s">
        <v>313</v>
      </c>
      <c r="C44" s="6">
        <v>32</v>
      </c>
      <c r="D44" s="39" t="s">
        <v>687</v>
      </c>
      <c r="E44" s="39"/>
      <c r="F44" s="41">
        <f>F43+F33</f>
        <v>43763.69</v>
      </c>
      <c r="G44" s="41">
        <f>G43+G33</f>
        <v>3279.9</v>
      </c>
      <c r="H44" s="41">
        <f>H43+H33</f>
        <v>9744.18</v>
      </c>
      <c r="I44" s="41">
        <f>I43+I33</f>
        <v>0</v>
      </c>
      <c r="J44" s="41">
        <f>J43+J33</f>
        <v>49809.08</v>
      </c>
      <c r="K44" s="45" t="s">
        <v>312</v>
      </c>
      <c r="L44" s="45" t="s">
        <v>312</v>
      </c>
      <c r="M44" s="8"/>
    </row>
    <row r="45" spans="1:13" ht="12" customHeight="1" x14ac:dyDescent="0.2">
      <c r="F45" s="23" t="s">
        <v>297</v>
      </c>
      <c r="G45" s="23" t="s">
        <v>298</v>
      </c>
      <c r="H45" s="23" t="s">
        <v>299</v>
      </c>
      <c r="I45" s="23" t="s">
        <v>300</v>
      </c>
      <c r="J45" s="23" t="s">
        <v>301</v>
      </c>
    </row>
    <row r="46" spans="1:13" s="3" customFormat="1" ht="12" customHeight="1" x14ac:dyDescent="0.2">
      <c r="A46" s="1" t="s">
        <v>329</v>
      </c>
      <c r="F46" s="23"/>
      <c r="G46" s="23"/>
      <c r="H46" s="23" t="s">
        <v>306</v>
      </c>
      <c r="I46" s="23"/>
      <c r="J46" s="23"/>
      <c r="K46" s="20"/>
      <c r="L46" s="20"/>
      <c r="M46" s="8"/>
    </row>
    <row r="47" spans="1:13" s="3" customFormat="1" ht="12" customHeight="1" x14ac:dyDescent="0.2">
      <c r="A47" s="28" t="s">
        <v>331</v>
      </c>
      <c r="E47" s="6"/>
      <c r="F47" s="16" t="s">
        <v>304</v>
      </c>
      <c r="G47" s="16" t="s">
        <v>305</v>
      </c>
      <c r="H47" s="16" t="s">
        <v>803</v>
      </c>
      <c r="I47" s="16" t="s">
        <v>307</v>
      </c>
      <c r="J47" s="16" t="s">
        <v>308</v>
      </c>
      <c r="K47" s="20"/>
      <c r="L47" s="20"/>
      <c r="M47" s="8"/>
    </row>
    <row r="48" spans="1:13" s="3" customFormat="1" ht="12" customHeight="1" x14ac:dyDescent="0.15">
      <c r="A48" s="27" t="s">
        <v>332</v>
      </c>
      <c r="E48" s="6"/>
      <c r="F48" s="24" t="s">
        <v>312</v>
      </c>
      <c r="G48" s="24" t="s">
        <v>312</v>
      </c>
      <c r="H48" s="24" t="s">
        <v>312</v>
      </c>
      <c r="I48" s="24" t="s">
        <v>312</v>
      </c>
      <c r="J48" s="24" t="s">
        <v>312</v>
      </c>
      <c r="K48" s="24" t="s">
        <v>312</v>
      </c>
      <c r="L48" s="24" t="s">
        <v>312</v>
      </c>
      <c r="M48" s="8"/>
    </row>
    <row r="49" spans="1:13" s="3" customFormat="1" ht="12" customHeight="1" x14ac:dyDescent="0.15">
      <c r="A49" s="1" t="s">
        <v>537</v>
      </c>
      <c r="B49" s="2" t="s">
        <v>333</v>
      </c>
      <c r="C49" s="6">
        <v>1</v>
      </c>
      <c r="D49" s="2" t="s">
        <v>454</v>
      </c>
      <c r="E49" s="6">
        <v>1111</v>
      </c>
      <c r="F49" s="18">
        <v>1161837</v>
      </c>
      <c r="G49" s="18"/>
      <c r="H49" s="18"/>
      <c r="I49" s="18"/>
      <c r="J49" s="18"/>
      <c r="K49" s="24" t="s">
        <v>312</v>
      </c>
      <c r="L49" s="24" t="s">
        <v>312</v>
      </c>
      <c r="M49" s="8"/>
    </row>
    <row r="50" spans="1:13" s="3" customFormat="1" ht="12" customHeight="1" x14ac:dyDescent="0.15">
      <c r="A50" s="1" t="s">
        <v>538</v>
      </c>
      <c r="B50" s="2" t="s">
        <v>333</v>
      </c>
      <c r="C50" s="6">
        <v>2</v>
      </c>
      <c r="D50" s="2" t="s">
        <v>454</v>
      </c>
      <c r="E50" s="6">
        <v>1112</v>
      </c>
      <c r="F50" s="18"/>
      <c r="G50" s="18"/>
      <c r="H50" s="24" t="s">
        <v>312</v>
      </c>
      <c r="I50" s="18"/>
      <c r="J50" s="24" t="s">
        <v>312</v>
      </c>
      <c r="K50" s="24" t="s">
        <v>312</v>
      </c>
      <c r="L50" s="24" t="s">
        <v>312</v>
      </c>
      <c r="M50" s="8"/>
    </row>
    <row r="51" spans="1:13" s="3" customFormat="1" ht="12" customHeight="1" thickBot="1" x14ac:dyDescent="0.2">
      <c r="A51" s="1" t="s">
        <v>536</v>
      </c>
      <c r="B51" s="2" t="s">
        <v>333</v>
      </c>
      <c r="C51" s="6">
        <v>3</v>
      </c>
      <c r="D51" s="2" t="s">
        <v>454</v>
      </c>
      <c r="E51" s="6">
        <v>1119</v>
      </c>
      <c r="F51" s="18"/>
      <c r="G51" s="18"/>
      <c r="H51" s="18"/>
      <c r="I51" s="18"/>
      <c r="J51" s="18"/>
      <c r="K51" s="24" t="s">
        <v>312</v>
      </c>
      <c r="L51" s="24" t="s">
        <v>312</v>
      </c>
      <c r="M51" s="8"/>
    </row>
    <row r="52" spans="1:13" s="3" customFormat="1" ht="12" customHeight="1" thickTop="1" x14ac:dyDescent="0.15">
      <c r="A52" s="38" t="s">
        <v>432</v>
      </c>
      <c r="B52" s="39" t="s">
        <v>333</v>
      </c>
      <c r="C52" s="40">
        <v>4</v>
      </c>
      <c r="D52" s="39" t="s">
        <v>454</v>
      </c>
      <c r="E52" s="40">
        <v>1100</v>
      </c>
      <c r="F52" s="41">
        <f>SUM(F49:F51)</f>
        <v>1161837</v>
      </c>
      <c r="G52" s="41">
        <f>SUM(G49:G51)</f>
        <v>0</v>
      </c>
      <c r="H52" s="41">
        <f>SUM(H49:H51)</f>
        <v>0</v>
      </c>
      <c r="I52" s="41">
        <f>SUM(I49:I51)</f>
        <v>0</v>
      </c>
      <c r="J52" s="41">
        <f>SUM(J49:J51)</f>
        <v>0</v>
      </c>
      <c r="K52" s="45" t="s">
        <v>312</v>
      </c>
      <c r="L52" s="45" t="s">
        <v>312</v>
      </c>
      <c r="M52" s="8"/>
    </row>
    <row r="53" spans="1:13" s="27" customFormat="1" ht="12" customHeight="1" x14ac:dyDescent="0.15">
      <c r="A53" s="30" t="s">
        <v>543</v>
      </c>
      <c r="C53" s="30" t="s">
        <v>325</v>
      </c>
      <c r="D53" s="30"/>
      <c r="E53" s="6"/>
      <c r="F53" s="24" t="s">
        <v>312</v>
      </c>
      <c r="G53" s="24" t="s">
        <v>312</v>
      </c>
      <c r="H53" s="24" t="s">
        <v>312</v>
      </c>
      <c r="I53" s="24" t="s">
        <v>312</v>
      </c>
      <c r="J53" s="24" t="s">
        <v>312</v>
      </c>
      <c r="K53" s="24" t="s">
        <v>312</v>
      </c>
      <c r="L53" s="24" t="s">
        <v>312</v>
      </c>
      <c r="M53" s="31"/>
    </row>
    <row r="54" spans="1:13" s="27" customFormat="1" ht="12" customHeight="1" x14ac:dyDescent="0.15">
      <c r="A54" s="30" t="s">
        <v>335</v>
      </c>
      <c r="C54" s="30"/>
      <c r="D54" s="30"/>
      <c r="E54" s="6">
        <v>1310</v>
      </c>
      <c r="F54" s="24" t="s">
        <v>312</v>
      </c>
      <c r="G54" s="24" t="s">
        <v>312</v>
      </c>
      <c r="H54" s="24" t="s">
        <v>312</v>
      </c>
      <c r="I54" s="24" t="s">
        <v>312</v>
      </c>
      <c r="J54" s="24" t="s">
        <v>312</v>
      </c>
      <c r="K54" s="24" t="s">
        <v>312</v>
      </c>
      <c r="L54" s="24" t="s">
        <v>312</v>
      </c>
      <c r="M54" s="31"/>
    </row>
    <row r="55" spans="1:13" s="3" customFormat="1" ht="12" customHeight="1" x14ac:dyDescent="0.15">
      <c r="A55" s="1" t="s">
        <v>539</v>
      </c>
      <c r="B55" s="2" t="s">
        <v>333</v>
      </c>
      <c r="C55" s="6">
        <v>5</v>
      </c>
      <c r="D55" s="2" t="s">
        <v>454</v>
      </c>
      <c r="E55" s="6">
        <v>1311</v>
      </c>
      <c r="F55" s="18"/>
      <c r="G55" s="24" t="s">
        <v>312</v>
      </c>
      <c r="H55" s="18"/>
      <c r="I55" s="24" t="s">
        <v>312</v>
      </c>
      <c r="J55" s="24" t="s">
        <v>312</v>
      </c>
      <c r="K55" s="24" t="s">
        <v>312</v>
      </c>
      <c r="L55" s="24" t="s">
        <v>312</v>
      </c>
      <c r="M55" s="8"/>
    </row>
    <row r="56" spans="1:13" s="3" customFormat="1" ht="12" customHeight="1" x14ac:dyDescent="0.15">
      <c r="A56" s="1" t="s">
        <v>540</v>
      </c>
      <c r="B56" s="2" t="s">
        <v>333</v>
      </c>
      <c r="C56" s="6">
        <v>6</v>
      </c>
      <c r="D56" s="2" t="s">
        <v>454</v>
      </c>
      <c r="E56" s="6">
        <v>1314</v>
      </c>
      <c r="F56" s="18"/>
      <c r="G56" s="24" t="s">
        <v>312</v>
      </c>
      <c r="H56" s="18"/>
      <c r="I56" s="24" t="s">
        <v>312</v>
      </c>
      <c r="J56" s="24" t="s">
        <v>312</v>
      </c>
      <c r="K56" s="24" t="s">
        <v>312</v>
      </c>
      <c r="L56" s="24" t="s">
        <v>312</v>
      </c>
      <c r="M56" s="8"/>
    </row>
    <row r="57" spans="1:13" s="3" customFormat="1" ht="12" customHeight="1" x14ac:dyDescent="0.15">
      <c r="A57" s="1" t="s">
        <v>525</v>
      </c>
      <c r="B57" s="2" t="s">
        <v>333</v>
      </c>
      <c r="C57" s="6">
        <v>7</v>
      </c>
      <c r="D57" s="2" t="s">
        <v>454</v>
      </c>
      <c r="E57" s="6">
        <v>1315</v>
      </c>
      <c r="F57" s="18"/>
      <c r="G57" s="24" t="s">
        <v>312</v>
      </c>
      <c r="H57" s="18"/>
      <c r="I57" s="24" t="s">
        <v>312</v>
      </c>
      <c r="J57" s="24" t="s">
        <v>312</v>
      </c>
      <c r="K57" s="24" t="s">
        <v>312</v>
      </c>
      <c r="L57" s="24" t="s">
        <v>312</v>
      </c>
      <c r="M57" s="8"/>
    </row>
    <row r="58" spans="1:13" s="3" customFormat="1" ht="12" customHeight="1" x14ac:dyDescent="0.15">
      <c r="A58" s="1" t="s">
        <v>351</v>
      </c>
      <c r="B58" s="2" t="s">
        <v>333</v>
      </c>
      <c r="C58" s="6">
        <v>8</v>
      </c>
      <c r="D58" s="2" t="s">
        <v>454</v>
      </c>
      <c r="E58" s="6">
        <v>1316</v>
      </c>
      <c r="F58" s="18"/>
      <c r="G58" s="24" t="s">
        <v>312</v>
      </c>
      <c r="H58" s="18"/>
      <c r="I58" s="24" t="s">
        <v>312</v>
      </c>
      <c r="J58" s="24" t="s">
        <v>312</v>
      </c>
      <c r="K58" s="24" t="s">
        <v>312</v>
      </c>
      <c r="L58" s="24" t="s">
        <v>312</v>
      </c>
      <c r="M58" s="8"/>
    </row>
    <row r="59" spans="1:13" s="27" customFormat="1" ht="12" customHeight="1" x14ac:dyDescent="0.15">
      <c r="A59" s="30" t="s">
        <v>434</v>
      </c>
      <c r="B59" s="2"/>
      <c r="C59" s="6"/>
      <c r="D59" s="6"/>
      <c r="E59" s="6">
        <v>1320</v>
      </c>
      <c r="F59" s="24" t="s">
        <v>312</v>
      </c>
      <c r="G59" s="24" t="s">
        <v>312</v>
      </c>
      <c r="H59" s="24" t="s">
        <v>312</v>
      </c>
      <c r="I59" s="24" t="s">
        <v>312</v>
      </c>
      <c r="J59" s="24" t="s">
        <v>312</v>
      </c>
      <c r="K59" s="24" t="s">
        <v>312</v>
      </c>
      <c r="L59" s="24" t="s">
        <v>312</v>
      </c>
      <c r="M59" s="31"/>
    </row>
    <row r="60" spans="1:13" s="3" customFormat="1" ht="12" customHeight="1" x14ac:dyDescent="0.15">
      <c r="A60" s="1" t="s">
        <v>539</v>
      </c>
      <c r="B60" s="2" t="s">
        <v>333</v>
      </c>
      <c r="C60" s="6">
        <v>9</v>
      </c>
      <c r="D60" s="2" t="s">
        <v>454</v>
      </c>
      <c r="E60" s="6">
        <v>1321</v>
      </c>
      <c r="F60" s="18"/>
      <c r="G60" s="24" t="s">
        <v>312</v>
      </c>
      <c r="H60" s="18"/>
      <c r="I60" s="24" t="s">
        <v>312</v>
      </c>
      <c r="J60" s="24" t="s">
        <v>312</v>
      </c>
      <c r="K60" s="24" t="s">
        <v>312</v>
      </c>
      <c r="L60" s="24" t="s">
        <v>312</v>
      </c>
      <c r="M60" s="8"/>
    </row>
    <row r="61" spans="1:13" s="3" customFormat="1" ht="12" customHeight="1" x14ac:dyDescent="0.15">
      <c r="A61" s="1" t="s">
        <v>541</v>
      </c>
      <c r="B61" s="2" t="s">
        <v>333</v>
      </c>
      <c r="C61" s="6">
        <v>10</v>
      </c>
      <c r="D61" s="2" t="s">
        <v>454</v>
      </c>
      <c r="E61" s="6">
        <v>1322</v>
      </c>
      <c r="F61" s="18"/>
      <c r="G61" s="24" t="s">
        <v>312</v>
      </c>
      <c r="H61" s="18"/>
      <c r="I61" s="24" t="s">
        <v>312</v>
      </c>
      <c r="J61" s="24" t="s">
        <v>312</v>
      </c>
      <c r="K61" s="24" t="s">
        <v>312</v>
      </c>
      <c r="L61" s="24" t="s">
        <v>312</v>
      </c>
      <c r="M61" s="8"/>
    </row>
    <row r="62" spans="1:13" s="3" customFormat="1" ht="12" customHeight="1" x14ac:dyDescent="0.15">
      <c r="A62" s="1" t="s">
        <v>542</v>
      </c>
      <c r="B62" s="2" t="s">
        <v>333</v>
      </c>
      <c r="C62" s="6">
        <v>11</v>
      </c>
      <c r="D62" s="2" t="s">
        <v>454</v>
      </c>
      <c r="E62" s="6">
        <v>1323</v>
      </c>
      <c r="F62" s="18"/>
      <c r="G62" s="24" t="s">
        <v>312</v>
      </c>
      <c r="H62" s="18"/>
      <c r="I62" s="24" t="s">
        <v>312</v>
      </c>
      <c r="J62" s="24" t="s">
        <v>312</v>
      </c>
      <c r="K62" s="24" t="s">
        <v>312</v>
      </c>
      <c r="L62" s="24" t="s">
        <v>312</v>
      </c>
      <c r="M62" s="8"/>
    </row>
    <row r="63" spans="1:13" s="3" customFormat="1" ht="12" customHeight="1" x14ac:dyDescent="0.15">
      <c r="A63" s="30" t="s">
        <v>435</v>
      </c>
      <c r="B63" s="1" t="s">
        <v>325</v>
      </c>
      <c r="E63" s="6">
        <v>1330</v>
      </c>
      <c r="F63" s="24" t="s">
        <v>312</v>
      </c>
      <c r="G63" s="24" t="s">
        <v>312</v>
      </c>
      <c r="H63" s="24" t="s">
        <v>312</v>
      </c>
      <c r="I63" s="24" t="s">
        <v>312</v>
      </c>
      <c r="J63" s="24" t="s">
        <v>312</v>
      </c>
      <c r="K63" s="24" t="s">
        <v>312</v>
      </c>
      <c r="L63" s="24" t="s">
        <v>312</v>
      </c>
      <c r="M63" s="8"/>
    </row>
    <row r="64" spans="1:13" s="3" customFormat="1" ht="12" customHeight="1" x14ac:dyDescent="0.15">
      <c r="A64" s="1" t="s">
        <v>539</v>
      </c>
      <c r="B64" s="2" t="s">
        <v>333</v>
      </c>
      <c r="C64" s="6">
        <v>12</v>
      </c>
      <c r="D64" s="2" t="s">
        <v>454</v>
      </c>
      <c r="E64" s="6">
        <v>1331</v>
      </c>
      <c r="F64" s="18"/>
      <c r="G64" s="24" t="s">
        <v>312</v>
      </c>
      <c r="H64" s="18"/>
      <c r="I64" s="24" t="s">
        <v>312</v>
      </c>
      <c r="J64" s="24" t="s">
        <v>312</v>
      </c>
      <c r="K64" s="24" t="s">
        <v>312</v>
      </c>
      <c r="L64" s="24" t="s">
        <v>312</v>
      </c>
      <c r="M64" s="8"/>
    </row>
    <row r="65" spans="1:13" s="3" customFormat="1" ht="12" customHeight="1" x14ac:dyDescent="0.15">
      <c r="A65" s="1" t="s">
        <v>541</v>
      </c>
      <c r="B65" s="2" t="s">
        <v>333</v>
      </c>
      <c r="C65" s="6">
        <v>13</v>
      </c>
      <c r="D65" s="2" t="s">
        <v>454</v>
      </c>
      <c r="E65" s="6">
        <v>1332</v>
      </c>
      <c r="F65" s="18"/>
      <c r="G65" s="24" t="s">
        <v>312</v>
      </c>
      <c r="H65" s="18"/>
      <c r="I65" s="24" t="s">
        <v>312</v>
      </c>
      <c r="J65" s="24" t="s">
        <v>312</v>
      </c>
      <c r="K65" s="24" t="s">
        <v>312</v>
      </c>
      <c r="L65" s="24" t="s">
        <v>312</v>
      </c>
      <c r="M65" s="8"/>
    </row>
    <row r="66" spans="1:13" s="3" customFormat="1" ht="12" customHeight="1" x14ac:dyDescent="0.15">
      <c r="A66" s="1" t="s">
        <v>542</v>
      </c>
      <c r="B66" s="2" t="s">
        <v>333</v>
      </c>
      <c r="C66" s="6">
        <v>14</v>
      </c>
      <c r="D66" s="2" t="s">
        <v>454</v>
      </c>
      <c r="E66" s="6">
        <v>1333</v>
      </c>
      <c r="F66" s="18"/>
      <c r="G66" s="24" t="s">
        <v>312</v>
      </c>
      <c r="H66" s="18"/>
      <c r="I66" s="24" t="s">
        <v>312</v>
      </c>
      <c r="J66" s="24" t="s">
        <v>312</v>
      </c>
      <c r="K66" s="24" t="s">
        <v>312</v>
      </c>
      <c r="L66" s="24" t="s">
        <v>312</v>
      </c>
      <c r="M66" s="8"/>
    </row>
    <row r="67" spans="1:13" s="3" customFormat="1" ht="12" customHeight="1" x14ac:dyDescent="0.15">
      <c r="A67" s="30" t="s">
        <v>337</v>
      </c>
      <c r="E67" s="6">
        <v>1340</v>
      </c>
      <c r="F67" s="24" t="s">
        <v>312</v>
      </c>
      <c r="G67" s="24" t="s">
        <v>312</v>
      </c>
      <c r="H67" s="24" t="s">
        <v>312</v>
      </c>
      <c r="I67" s="24" t="s">
        <v>312</v>
      </c>
      <c r="J67" s="24" t="s">
        <v>312</v>
      </c>
      <c r="K67" s="24" t="s">
        <v>312</v>
      </c>
      <c r="L67" s="24" t="s">
        <v>312</v>
      </c>
      <c r="M67" s="8"/>
    </row>
    <row r="68" spans="1:13" s="3" customFormat="1" ht="12" customHeight="1" x14ac:dyDescent="0.15">
      <c r="A68" s="1" t="s">
        <v>539</v>
      </c>
      <c r="B68" s="2" t="s">
        <v>333</v>
      </c>
      <c r="C68" s="6">
        <v>15</v>
      </c>
      <c r="D68" s="2" t="s">
        <v>454</v>
      </c>
      <c r="E68" s="6">
        <v>1341</v>
      </c>
      <c r="F68" s="18"/>
      <c r="G68" s="24" t="s">
        <v>312</v>
      </c>
      <c r="H68" s="18"/>
      <c r="I68" s="24" t="s">
        <v>312</v>
      </c>
      <c r="J68" s="24" t="s">
        <v>312</v>
      </c>
      <c r="K68" s="24" t="s">
        <v>312</v>
      </c>
      <c r="L68" s="24" t="s">
        <v>312</v>
      </c>
      <c r="M68" s="8"/>
    </row>
    <row r="69" spans="1:13" s="3" customFormat="1" ht="12" customHeight="1" x14ac:dyDescent="0.15">
      <c r="A69" s="1" t="s">
        <v>541</v>
      </c>
      <c r="B69" s="2" t="s">
        <v>333</v>
      </c>
      <c r="C69" s="6">
        <v>16</v>
      </c>
      <c r="D69" s="2" t="s">
        <v>454</v>
      </c>
      <c r="E69" s="6">
        <v>1342</v>
      </c>
      <c r="F69" s="18"/>
      <c r="G69" s="24" t="s">
        <v>312</v>
      </c>
      <c r="H69" s="18"/>
      <c r="I69" s="24" t="s">
        <v>312</v>
      </c>
      <c r="J69" s="24" t="s">
        <v>312</v>
      </c>
      <c r="K69" s="24" t="s">
        <v>312</v>
      </c>
      <c r="L69" s="24" t="s">
        <v>312</v>
      </c>
      <c r="M69" s="8"/>
    </row>
    <row r="70" spans="1:13" s="3" customFormat="1" ht="12" customHeight="1" thickBot="1" x14ac:dyDescent="0.2">
      <c r="A70" s="1" t="s">
        <v>536</v>
      </c>
      <c r="B70" s="2" t="s">
        <v>333</v>
      </c>
      <c r="C70" s="6">
        <v>17</v>
      </c>
      <c r="D70" s="2" t="s">
        <v>454</v>
      </c>
      <c r="E70" s="6">
        <v>1349</v>
      </c>
      <c r="F70" s="18"/>
      <c r="G70" s="24" t="s">
        <v>312</v>
      </c>
      <c r="H70" s="18"/>
      <c r="I70" s="24" t="s">
        <v>312</v>
      </c>
      <c r="J70" s="24" t="s">
        <v>312</v>
      </c>
      <c r="K70" s="24" t="s">
        <v>312</v>
      </c>
      <c r="L70" s="24" t="s">
        <v>312</v>
      </c>
      <c r="M70" s="8"/>
    </row>
    <row r="71" spans="1:13" s="3" customFormat="1" ht="12" customHeight="1" thickTop="1" x14ac:dyDescent="0.15">
      <c r="A71" s="38" t="s">
        <v>433</v>
      </c>
      <c r="B71" s="39" t="s">
        <v>333</v>
      </c>
      <c r="C71" s="39" t="s">
        <v>338</v>
      </c>
      <c r="D71" s="39" t="s">
        <v>454</v>
      </c>
      <c r="E71" s="40">
        <v>1300</v>
      </c>
      <c r="F71" s="41">
        <f>SUM(F55:F70)</f>
        <v>0</v>
      </c>
      <c r="G71" s="45" t="s">
        <v>312</v>
      </c>
      <c r="H71" s="41">
        <f>SUM(H55:H70)</f>
        <v>0</v>
      </c>
      <c r="I71" s="45" t="s">
        <v>312</v>
      </c>
      <c r="J71" s="45" t="s">
        <v>312</v>
      </c>
      <c r="K71" s="45" t="s">
        <v>312</v>
      </c>
      <c r="L71" s="45" t="s">
        <v>312</v>
      </c>
      <c r="M71" s="8"/>
    </row>
    <row r="72" spans="1:13" ht="12" customHeight="1" x14ac:dyDescent="0.2">
      <c r="C72" s="32"/>
      <c r="D72" s="32"/>
      <c r="E72" s="32"/>
      <c r="F72" s="23" t="s">
        <v>297</v>
      </c>
      <c r="G72" s="23" t="s">
        <v>298</v>
      </c>
      <c r="H72" s="23" t="s">
        <v>299</v>
      </c>
      <c r="I72" s="23" t="s">
        <v>300</v>
      </c>
      <c r="J72" s="23" t="s">
        <v>301</v>
      </c>
    </row>
    <row r="73" spans="1:13" s="3" customFormat="1" ht="12" customHeight="1" x14ac:dyDescent="0.2">
      <c r="A73" s="170" t="s">
        <v>544</v>
      </c>
      <c r="C73" s="23"/>
      <c r="D73" s="23"/>
      <c r="E73" s="23"/>
      <c r="F73" s="23"/>
      <c r="G73" s="23"/>
      <c r="H73" s="23" t="s">
        <v>306</v>
      </c>
      <c r="I73" s="23"/>
      <c r="J73" s="23"/>
      <c r="K73" s="20"/>
      <c r="L73" s="20"/>
      <c r="M73" s="8">
        <v>278</v>
      </c>
    </row>
    <row r="74" spans="1:13" s="3" customFormat="1" ht="12" customHeight="1" x14ac:dyDescent="0.2">
      <c r="A74" s="30" t="s">
        <v>436</v>
      </c>
      <c r="C74" s="23"/>
      <c r="D74" s="23"/>
      <c r="E74" s="6">
        <v>1410</v>
      </c>
      <c r="F74" s="16" t="s">
        <v>304</v>
      </c>
      <c r="G74" s="16" t="s">
        <v>305</v>
      </c>
      <c r="H74" s="16" t="s">
        <v>803</v>
      </c>
      <c r="I74" s="16" t="s">
        <v>307</v>
      </c>
      <c r="J74" s="16" t="s">
        <v>308</v>
      </c>
      <c r="K74" s="20"/>
      <c r="L74" s="20"/>
      <c r="M74" s="8"/>
    </row>
    <row r="75" spans="1:13" s="3" customFormat="1" ht="12" customHeight="1" x14ac:dyDescent="0.15">
      <c r="A75" s="1" t="s">
        <v>539</v>
      </c>
      <c r="B75" s="2" t="s">
        <v>339</v>
      </c>
      <c r="C75" s="6">
        <v>1</v>
      </c>
      <c r="D75" s="2" t="s">
        <v>454</v>
      </c>
      <c r="E75" s="6">
        <v>1411</v>
      </c>
      <c r="F75" s="18"/>
      <c r="G75" s="24" t="s">
        <v>312</v>
      </c>
      <c r="H75" s="18"/>
      <c r="I75" s="24" t="s">
        <v>312</v>
      </c>
      <c r="J75" s="24" t="s">
        <v>312</v>
      </c>
      <c r="K75" s="24" t="s">
        <v>312</v>
      </c>
      <c r="L75" s="24" t="s">
        <v>312</v>
      </c>
      <c r="M75" s="8"/>
    </row>
    <row r="76" spans="1:13" s="3" customFormat="1" ht="12" customHeight="1" x14ac:dyDescent="0.15">
      <c r="A76" s="1" t="s">
        <v>540</v>
      </c>
      <c r="B76" s="2" t="s">
        <v>339</v>
      </c>
      <c r="C76" s="6">
        <v>2</v>
      </c>
      <c r="D76" s="2" t="s">
        <v>454</v>
      </c>
      <c r="E76" s="6">
        <v>1414</v>
      </c>
      <c r="F76" s="18"/>
      <c r="G76" s="24" t="s">
        <v>312</v>
      </c>
      <c r="H76" s="18"/>
      <c r="I76" s="24" t="s">
        <v>312</v>
      </c>
      <c r="J76" s="24" t="s">
        <v>312</v>
      </c>
      <c r="K76" s="24" t="s">
        <v>312</v>
      </c>
      <c r="L76" s="24" t="s">
        <v>312</v>
      </c>
      <c r="M76" s="8"/>
    </row>
    <row r="77" spans="1:13" s="3" customFormat="1" ht="12" customHeight="1" x14ac:dyDescent="0.15">
      <c r="A77" s="30" t="s">
        <v>336</v>
      </c>
      <c r="C77" s="23"/>
      <c r="D77" s="23"/>
      <c r="E77" s="6">
        <v>1420</v>
      </c>
      <c r="F77" s="24" t="s">
        <v>312</v>
      </c>
      <c r="G77" s="24" t="s">
        <v>312</v>
      </c>
      <c r="H77" s="24" t="s">
        <v>312</v>
      </c>
      <c r="I77" s="24" t="s">
        <v>312</v>
      </c>
      <c r="J77" s="24" t="s">
        <v>312</v>
      </c>
      <c r="K77" s="24" t="s">
        <v>312</v>
      </c>
      <c r="L77" s="24" t="s">
        <v>312</v>
      </c>
      <c r="M77" s="8"/>
    </row>
    <row r="78" spans="1:13" s="3" customFormat="1" ht="12" customHeight="1" x14ac:dyDescent="0.15">
      <c r="A78" s="1" t="s">
        <v>539</v>
      </c>
      <c r="B78" s="1" t="s">
        <v>339</v>
      </c>
      <c r="C78" s="6">
        <v>3</v>
      </c>
      <c r="D78" s="2" t="s">
        <v>454</v>
      </c>
      <c r="E78" s="6">
        <v>1421</v>
      </c>
      <c r="F78" s="18"/>
      <c r="G78" s="24" t="s">
        <v>312</v>
      </c>
      <c r="H78" s="18"/>
      <c r="I78" s="24" t="s">
        <v>312</v>
      </c>
      <c r="J78" s="24" t="s">
        <v>312</v>
      </c>
      <c r="K78" s="24" t="s">
        <v>312</v>
      </c>
      <c r="L78" s="24" t="s">
        <v>312</v>
      </c>
      <c r="M78" s="8"/>
    </row>
    <row r="79" spans="1:13" s="3" customFormat="1" ht="12" customHeight="1" x14ac:dyDescent="0.15">
      <c r="A79" s="1" t="s">
        <v>541</v>
      </c>
      <c r="B79" s="2" t="s">
        <v>339</v>
      </c>
      <c r="C79" s="6">
        <v>4</v>
      </c>
      <c r="D79" s="2" t="s">
        <v>454</v>
      </c>
      <c r="E79" s="6">
        <v>1422</v>
      </c>
      <c r="F79" s="18"/>
      <c r="G79" s="24" t="s">
        <v>312</v>
      </c>
      <c r="H79" s="18"/>
      <c r="I79" s="24" t="s">
        <v>312</v>
      </c>
      <c r="J79" s="24" t="s">
        <v>312</v>
      </c>
      <c r="K79" s="24" t="s">
        <v>312</v>
      </c>
      <c r="L79" s="24" t="s">
        <v>312</v>
      </c>
      <c r="M79" s="8"/>
    </row>
    <row r="80" spans="1:13" s="3" customFormat="1" ht="12" customHeight="1" x14ac:dyDescent="0.15">
      <c r="A80" s="1" t="s">
        <v>542</v>
      </c>
      <c r="B80" s="2" t="s">
        <v>339</v>
      </c>
      <c r="C80" s="6">
        <v>5</v>
      </c>
      <c r="D80" s="2" t="s">
        <v>454</v>
      </c>
      <c r="E80" s="6">
        <v>1423</v>
      </c>
      <c r="F80" s="18"/>
      <c r="G80" s="24" t="s">
        <v>312</v>
      </c>
      <c r="H80" s="18"/>
      <c r="I80" s="24" t="s">
        <v>312</v>
      </c>
      <c r="J80" s="24" t="s">
        <v>312</v>
      </c>
      <c r="K80" s="24" t="s">
        <v>312</v>
      </c>
      <c r="L80" s="24" t="s">
        <v>312</v>
      </c>
      <c r="M80" s="8"/>
    </row>
    <row r="81" spans="1:13" s="3" customFormat="1" ht="12" customHeight="1" x14ac:dyDescent="0.15">
      <c r="A81" s="30" t="s">
        <v>340</v>
      </c>
      <c r="C81" s="23"/>
      <c r="D81" s="23"/>
      <c r="E81" s="6">
        <v>1430</v>
      </c>
      <c r="F81" s="24" t="s">
        <v>312</v>
      </c>
      <c r="G81" s="24" t="s">
        <v>312</v>
      </c>
      <c r="H81" s="24" t="s">
        <v>312</v>
      </c>
      <c r="I81" s="24" t="s">
        <v>312</v>
      </c>
      <c r="J81" s="24" t="s">
        <v>312</v>
      </c>
      <c r="K81" s="24" t="s">
        <v>312</v>
      </c>
      <c r="L81" s="24" t="s">
        <v>312</v>
      </c>
      <c r="M81" s="8"/>
    </row>
    <row r="82" spans="1:13" s="3" customFormat="1" ht="12" customHeight="1" x14ac:dyDescent="0.15">
      <c r="A82" s="1" t="s">
        <v>539</v>
      </c>
      <c r="B82" s="2" t="s">
        <v>339</v>
      </c>
      <c r="C82" s="6">
        <v>6</v>
      </c>
      <c r="D82" s="2" t="s">
        <v>454</v>
      </c>
      <c r="E82" s="6">
        <v>1431</v>
      </c>
      <c r="F82" s="18"/>
      <c r="G82" s="24" t="s">
        <v>312</v>
      </c>
      <c r="H82" s="18"/>
      <c r="I82" s="24" t="s">
        <v>312</v>
      </c>
      <c r="J82" s="24" t="s">
        <v>312</v>
      </c>
      <c r="K82" s="24" t="s">
        <v>312</v>
      </c>
      <c r="L82" s="24" t="s">
        <v>312</v>
      </c>
      <c r="M82" s="8"/>
    </row>
    <row r="83" spans="1:13" s="3" customFormat="1" ht="12" customHeight="1" x14ac:dyDescent="0.15">
      <c r="A83" s="1" t="s">
        <v>541</v>
      </c>
      <c r="B83" s="2" t="s">
        <v>339</v>
      </c>
      <c r="C83" s="6">
        <v>7</v>
      </c>
      <c r="D83" s="2" t="s">
        <v>454</v>
      </c>
      <c r="E83" s="6">
        <v>1432</v>
      </c>
      <c r="F83" s="18"/>
      <c r="G83" s="24" t="s">
        <v>312</v>
      </c>
      <c r="H83" s="18"/>
      <c r="I83" s="24" t="s">
        <v>312</v>
      </c>
      <c r="J83" s="24" t="s">
        <v>312</v>
      </c>
      <c r="K83" s="24" t="s">
        <v>312</v>
      </c>
      <c r="L83" s="24" t="s">
        <v>312</v>
      </c>
      <c r="M83" s="8"/>
    </row>
    <row r="84" spans="1:13" s="3" customFormat="1" ht="12" customHeight="1" x14ac:dyDescent="0.15">
      <c r="A84" s="1" t="s">
        <v>542</v>
      </c>
      <c r="B84" s="2" t="s">
        <v>339</v>
      </c>
      <c r="C84" s="6">
        <v>8</v>
      </c>
      <c r="D84" s="2" t="s">
        <v>454</v>
      </c>
      <c r="E84" s="6">
        <v>1433</v>
      </c>
      <c r="F84" s="18"/>
      <c r="G84" s="24" t="s">
        <v>312</v>
      </c>
      <c r="H84" s="18"/>
      <c r="I84" s="24" t="s">
        <v>312</v>
      </c>
      <c r="J84" s="24" t="s">
        <v>312</v>
      </c>
      <c r="K84" s="24" t="s">
        <v>312</v>
      </c>
      <c r="L84" s="24" t="s">
        <v>312</v>
      </c>
      <c r="M84" s="8"/>
    </row>
    <row r="85" spans="1:13" s="3" customFormat="1" ht="12" customHeight="1" thickBot="1" x14ac:dyDescent="0.2">
      <c r="A85" s="1" t="s">
        <v>545</v>
      </c>
      <c r="B85" s="2" t="s">
        <v>339</v>
      </c>
      <c r="C85" s="6">
        <v>9</v>
      </c>
      <c r="D85" s="2" t="s">
        <v>454</v>
      </c>
      <c r="E85" s="6">
        <v>1440</v>
      </c>
      <c r="F85" s="18"/>
      <c r="G85" s="24" t="s">
        <v>312</v>
      </c>
      <c r="H85" s="18"/>
      <c r="I85" s="24" t="s">
        <v>312</v>
      </c>
      <c r="J85" s="24" t="s">
        <v>312</v>
      </c>
      <c r="K85" s="24" t="s">
        <v>312</v>
      </c>
      <c r="L85" s="24" t="s">
        <v>312</v>
      </c>
      <c r="M85" s="8"/>
    </row>
    <row r="86" spans="1:13" s="3" customFormat="1" ht="12" customHeight="1" thickTop="1" x14ac:dyDescent="0.15">
      <c r="A86" s="38" t="s">
        <v>437</v>
      </c>
      <c r="B86" s="39" t="s">
        <v>339</v>
      </c>
      <c r="C86" s="40">
        <v>10</v>
      </c>
      <c r="D86" s="39" t="s">
        <v>454</v>
      </c>
      <c r="E86" s="40">
        <v>1400</v>
      </c>
      <c r="F86" s="41">
        <f>SUM(F75:F85)</f>
        <v>0</v>
      </c>
      <c r="G86" s="45" t="s">
        <v>312</v>
      </c>
      <c r="H86" s="41">
        <f>SUM(H75:H85)</f>
        <v>0</v>
      </c>
      <c r="I86" s="45" t="s">
        <v>312</v>
      </c>
      <c r="J86" s="45" t="s">
        <v>312</v>
      </c>
      <c r="K86" s="45" t="s">
        <v>312</v>
      </c>
      <c r="L86" s="45" t="s">
        <v>312</v>
      </c>
      <c r="M86" s="8"/>
    </row>
    <row r="87" spans="1:13" s="3" customFormat="1" ht="12" customHeight="1" x14ac:dyDescent="0.15">
      <c r="A87" s="30" t="s">
        <v>341</v>
      </c>
      <c r="B87" s="2" t="s">
        <v>310</v>
      </c>
      <c r="C87" s="6" t="s">
        <v>310</v>
      </c>
      <c r="D87" s="6"/>
      <c r="E87" s="6"/>
      <c r="F87" s="24" t="s">
        <v>312</v>
      </c>
      <c r="G87" s="24" t="s">
        <v>312</v>
      </c>
      <c r="H87" s="24" t="s">
        <v>312</v>
      </c>
      <c r="I87" s="24" t="s">
        <v>312</v>
      </c>
      <c r="J87" s="24" t="s">
        <v>312</v>
      </c>
      <c r="K87" s="24" t="s">
        <v>312</v>
      </c>
      <c r="L87" s="24" t="s">
        <v>312</v>
      </c>
      <c r="M87" s="8"/>
    </row>
    <row r="88" spans="1:13" s="3" customFormat="1" ht="12" customHeight="1" x14ac:dyDescent="0.15">
      <c r="A88" s="1" t="s">
        <v>623</v>
      </c>
      <c r="B88" s="2" t="s">
        <v>339</v>
      </c>
      <c r="C88" s="6">
        <v>11</v>
      </c>
      <c r="D88" s="2" t="s">
        <v>454</v>
      </c>
      <c r="E88" s="6">
        <v>1500</v>
      </c>
      <c r="F88" s="18">
        <v>421.03</v>
      </c>
      <c r="G88" s="18"/>
      <c r="H88" s="18"/>
      <c r="I88" s="18"/>
      <c r="J88" s="18">
        <v>80.790000000000006</v>
      </c>
      <c r="K88" s="24" t="s">
        <v>312</v>
      </c>
      <c r="L88" s="24" t="s">
        <v>312</v>
      </c>
      <c r="M88" s="8"/>
    </row>
    <row r="89" spans="1:13" s="3" customFormat="1" ht="12" customHeight="1" x14ac:dyDescent="0.15">
      <c r="A89" s="1" t="s">
        <v>529</v>
      </c>
      <c r="B89" s="2" t="s">
        <v>339</v>
      </c>
      <c r="C89" s="6">
        <v>12</v>
      </c>
      <c r="D89" s="2" t="s">
        <v>454</v>
      </c>
      <c r="E89" s="6">
        <v>1600</v>
      </c>
      <c r="F89" s="24" t="s">
        <v>312</v>
      </c>
      <c r="G89" s="18">
        <v>10348.11</v>
      </c>
      <c r="H89" s="24" t="s">
        <v>312</v>
      </c>
      <c r="I89" s="24" t="s">
        <v>312</v>
      </c>
      <c r="J89" s="24" t="s">
        <v>312</v>
      </c>
      <c r="K89" s="24" t="s">
        <v>312</v>
      </c>
      <c r="L89" s="24" t="s">
        <v>312</v>
      </c>
      <c r="M89" s="8"/>
    </row>
    <row r="90" spans="1:13" s="3" customFormat="1" ht="12" customHeight="1" x14ac:dyDescent="0.15">
      <c r="A90" s="1" t="s">
        <v>530</v>
      </c>
      <c r="B90" s="2" t="s">
        <v>339</v>
      </c>
      <c r="C90" s="6">
        <v>13</v>
      </c>
      <c r="D90" s="2" t="s">
        <v>454</v>
      </c>
      <c r="E90" s="6">
        <v>1700</v>
      </c>
      <c r="F90" s="18"/>
      <c r="G90" s="24" t="s">
        <v>312</v>
      </c>
      <c r="H90" s="18"/>
      <c r="I90" s="24" t="s">
        <v>312</v>
      </c>
      <c r="J90" s="24" t="s">
        <v>312</v>
      </c>
      <c r="K90" s="24" t="s">
        <v>312</v>
      </c>
      <c r="L90" s="24" t="s">
        <v>312</v>
      </c>
      <c r="M90" s="8"/>
    </row>
    <row r="91" spans="1:13" s="3" customFormat="1" ht="12" customHeight="1" x14ac:dyDescent="0.15">
      <c r="A91" s="1" t="s">
        <v>618</v>
      </c>
      <c r="B91" s="2" t="s">
        <v>339</v>
      </c>
      <c r="C91" s="6">
        <v>14</v>
      </c>
      <c r="D91" s="2" t="s">
        <v>454</v>
      </c>
      <c r="E91" s="6">
        <v>1800</v>
      </c>
      <c r="F91" s="18"/>
      <c r="G91" s="18"/>
      <c r="H91" s="18"/>
      <c r="I91" s="24" t="s">
        <v>312</v>
      </c>
      <c r="J91" s="24" t="s">
        <v>312</v>
      </c>
      <c r="K91" s="24" t="s">
        <v>312</v>
      </c>
      <c r="L91" s="24" t="s">
        <v>312</v>
      </c>
      <c r="M91" s="8"/>
    </row>
    <row r="92" spans="1:13" s="3" customFormat="1" ht="12" customHeight="1" x14ac:dyDescent="0.15">
      <c r="A92" s="30" t="s">
        <v>342</v>
      </c>
      <c r="B92" s="2"/>
      <c r="C92" s="6"/>
      <c r="D92" s="6"/>
      <c r="E92" s="6"/>
      <c r="F92" s="24" t="s">
        <v>312</v>
      </c>
      <c r="G92" s="24" t="s">
        <v>312</v>
      </c>
      <c r="H92" s="24" t="s">
        <v>312</v>
      </c>
      <c r="I92" s="24" t="s">
        <v>312</v>
      </c>
      <c r="J92" s="24" t="s">
        <v>312</v>
      </c>
      <c r="K92" s="24" t="s">
        <v>312</v>
      </c>
      <c r="L92" s="24" t="s">
        <v>312</v>
      </c>
      <c r="M92" s="8"/>
    </row>
    <row r="93" spans="1:13" s="3" customFormat="1" ht="12" customHeight="1" x14ac:dyDescent="0.15">
      <c r="A93" s="1" t="s">
        <v>531</v>
      </c>
      <c r="B93" s="2" t="s">
        <v>339</v>
      </c>
      <c r="C93" s="6">
        <v>15</v>
      </c>
      <c r="D93" s="2" t="s">
        <v>454</v>
      </c>
      <c r="E93" s="6">
        <v>1910</v>
      </c>
      <c r="F93" s="18"/>
      <c r="G93" s="18"/>
      <c r="H93" s="18"/>
      <c r="I93" s="18"/>
      <c r="J93" s="24" t="s">
        <v>312</v>
      </c>
      <c r="K93" s="24" t="s">
        <v>312</v>
      </c>
      <c r="L93" s="24" t="s">
        <v>312</v>
      </c>
      <c r="M93" s="8"/>
    </row>
    <row r="94" spans="1:13" s="3" customFormat="1" ht="12" customHeight="1" x14ac:dyDescent="0.15">
      <c r="A94" s="1" t="s">
        <v>532</v>
      </c>
      <c r="B94" s="2" t="s">
        <v>339</v>
      </c>
      <c r="C94" s="6">
        <v>16</v>
      </c>
      <c r="D94" s="2" t="s">
        <v>454</v>
      </c>
      <c r="E94" s="6">
        <v>1920</v>
      </c>
      <c r="F94" s="18"/>
      <c r="G94" s="18"/>
      <c r="H94" s="18"/>
      <c r="I94" s="18"/>
      <c r="J94" s="18"/>
      <c r="K94" s="24" t="s">
        <v>312</v>
      </c>
      <c r="L94" s="24" t="s">
        <v>312</v>
      </c>
      <c r="M94" s="8"/>
    </row>
    <row r="95" spans="1:13" s="3" customFormat="1" ht="12" customHeight="1" x14ac:dyDescent="0.15">
      <c r="A95" s="1" t="s">
        <v>533</v>
      </c>
      <c r="B95" s="2" t="s">
        <v>339</v>
      </c>
      <c r="C95" s="6">
        <v>17</v>
      </c>
      <c r="D95" s="2" t="s">
        <v>454</v>
      </c>
      <c r="E95" s="6">
        <v>1930</v>
      </c>
      <c r="F95" s="18"/>
      <c r="G95" s="18"/>
      <c r="H95" s="18"/>
      <c r="I95" s="24" t="s">
        <v>312</v>
      </c>
      <c r="J95" s="24" t="s">
        <v>312</v>
      </c>
      <c r="K95" s="24" t="s">
        <v>312</v>
      </c>
      <c r="L95" s="24" t="s">
        <v>312</v>
      </c>
      <c r="M95" s="8"/>
    </row>
    <row r="96" spans="1:13" s="3" customFormat="1" ht="12" customHeight="1" x14ac:dyDescent="0.15">
      <c r="A96" s="1" t="s">
        <v>619</v>
      </c>
      <c r="B96" s="2" t="s">
        <v>339</v>
      </c>
      <c r="C96" s="6">
        <v>18</v>
      </c>
      <c r="D96" s="2" t="s">
        <v>454</v>
      </c>
      <c r="E96" s="6">
        <v>1940</v>
      </c>
      <c r="F96" s="18"/>
      <c r="G96" s="24" t="s">
        <v>312</v>
      </c>
      <c r="H96" s="18"/>
      <c r="I96" s="24" t="s">
        <v>312</v>
      </c>
      <c r="J96" s="24" t="s">
        <v>312</v>
      </c>
      <c r="K96" s="24" t="s">
        <v>312</v>
      </c>
      <c r="L96" s="24" t="s">
        <v>312</v>
      </c>
      <c r="M96" s="8"/>
    </row>
    <row r="97" spans="1:13" s="3" customFormat="1" ht="12" customHeight="1" x14ac:dyDescent="0.15">
      <c r="A97" s="1" t="s">
        <v>620</v>
      </c>
      <c r="B97" s="2" t="s">
        <v>339</v>
      </c>
      <c r="C97" s="6">
        <v>19</v>
      </c>
      <c r="D97" s="2" t="s">
        <v>454</v>
      </c>
      <c r="E97" s="6">
        <v>1951</v>
      </c>
      <c r="F97" s="18"/>
      <c r="G97" s="18"/>
      <c r="H97" s="18"/>
      <c r="I97" s="24" t="s">
        <v>312</v>
      </c>
      <c r="J97" s="24" t="s">
        <v>312</v>
      </c>
      <c r="K97" s="24" t="s">
        <v>312</v>
      </c>
      <c r="L97" s="24" t="s">
        <v>312</v>
      </c>
      <c r="M97" s="8"/>
    </row>
    <row r="98" spans="1:13" s="3" customFormat="1" ht="12" customHeight="1" x14ac:dyDescent="0.15">
      <c r="A98" s="1" t="s">
        <v>621</v>
      </c>
      <c r="B98" s="2" t="s">
        <v>339</v>
      </c>
      <c r="C98" s="6">
        <v>20</v>
      </c>
      <c r="D98" s="2" t="s">
        <v>454</v>
      </c>
      <c r="E98" s="6">
        <v>1952</v>
      </c>
      <c r="F98" s="18"/>
      <c r="G98" s="18"/>
      <c r="H98" s="18"/>
      <c r="I98" s="24" t="s">
        <v>312</v>
      </c>
      <c r="J98" s="24" t="s">
        <v>312</v>
      </c>
      <c r="K98" s="24" t="s">
        <v>312</v>
      </c>
      <c r="L98" s="24" t="s">
        <v>312</v>
      </c>
      <c r="M98" s="8"/>
    </row>
    <row r="99" spans="1:13" s="3" customFormat="1" ht="12" customHeight="1" x14ac:dyDescent="0.15">
      <c r="A99" s="1" t="s">
        <v>534</v>
      </c>
      <c r="B99" s="2" t="s">
        <v>339</v>
      </c>
      <c r="C99" s="6">
        <v>21</v>
      </c>
      <c r="D99" s="2" t="s">
        <v>454</v>
      </c>
      <c r="E99" s="6">
        <v>1953</v>
      </c>
      <c r="F99" s="18"/>
      <c r="G99" s="18"/>
      <c r="H99" s="18"/>
      <c r="I99" s="18"/>
      <c r="J99" s="24" t="s">
        <v>312</v>
      </c>
      <c r="K99" s="24" t="s">
        <v>312</v>
      </c>
      <c r="L99" s="24" t="s">
        <v>312</v>
      </c>
      <c r="M99" s="8"/>
    </row>
    <row r="100" spans="1:13" s="3" customFormat="1" ht="12" customHeight="1" x14ac:dyDescent="0.15">
      <c r="A100" s="1" t="s">
        <v>622</v>
      </c>
      <c r="B100" s="2" t="s">
        <v>339</v>
      </c>
      <c r="C100" s="6">
        <v>22</v>
      </c>
      <c r="D100" s="2" t="s">
        <v>454</v>
      </c>
      <c r="E100" s="6">
        <v>1960</v>
      </c>
      <c r="F100" s="18"/>
      <c r="G100" s="18"/>
      <c r="H100" s="18"/>
      <c r="I100" s="18"/>
      <c r="J100" s="24" t="s">
        <v>312</v>
      </c>
      <c r="K100" s="24" t="s">
        <v>312</v>
      </c>
      <c r="L100" s="24" t="s">
        <v>312</v>
      </c>
      <c r="M100" s="8"/>
    </row>
    <row r="101" spans="1:13" s="3" customFormat="1" ht="12" customHeight="1" x14ac:dyDescent="0.15">
      <c r="A101" s="1" t="s">
        <v>535</v>
      </c>
      <c r="B101" s="2" t="s">
        <v>339</v>
      </c>
      <c r="C101" s="6">
        <v>23</v>
      </c>
      <c r="D101" s="2" t="s">
        <v>454</v>
      </c>
      <c r="E101" s="6">
        <v>1980</v>
      </c>
      <c r="F101" s="18">
        <v>209.85</v>
      </c>
      <c r="G101" s="18"/>
      <c r="H101" s="18"/>
      <c r="I101" s="18"/>
      <c r="J101" s="24" t="s">
        <v>312</v>
      </c>
      <c r="K101" s="24" t="s">
        <v>312</v>
      </c>
      <c r="L101" s="24" t="s">
        <v>312</v>
      </c>
      <c r="M101" s="8"/>
    </row>
    <row r="102" spans="1:13" s="3" customFormat="1" ht="12" customHeight="1" thickBot="1" x14ac:dyDescent="0.2">
      <c r="A102" s="1" t="s">
        <v>536</v>
      </c>
      <c r="B102" s="2" t="s">
        <v>339</v>
      </c>
      <c r="C102" s="6">
        <v>24</v>
      </c>
      <c r="D102" s="2" t="s">
        <v>454</v>
      </c>
      <c r="E102" s="6">
        <v>1990</v>
      </c>
      <c r="F102" s="18">
        <v>2477.65</v>
      </c>
      <c r="G102" s="18"/>
      <c r="H102" s="18"/>
      <c r="I102" s="18"/>
      <c r="J102" s="18"/>
      <c r="K102" s="24" t="s">
        <v>312</v>
      </c>
      <c r="L102" s="24" t="s">
        <v>312</v>
      </c>
      <c r="M102" s="8"/>
    </row>
    <row r="103" spans="1:13" s="3" customFormat="1" ht="12" customHeight="1" thickTop="1" thickBot="1" x14ac:dyDescent="0.2">
      <c r="A103" s="38" t="s">
        <v>457</v>
      </c>
      <c r="B103" s="39" t="s">
        <v>339</v>
      </c>
      <c r="C103" s="40">
        <v>25</v>
      </c>
      <c r="D103" s="39" t="s">
        <v>454</v>
      </c>
      <c r="E103" s="40"/>
      <c r="F103" s="41">
        <f>SUM(F88:F102)</f>
        <v>3108.53</v>
      </c>
      <c r="G103" s="41">
        <f>SUM(G88:G102)</f>
        <v>10348.11</v>
      </c>
      <c r="H103" s="41">
        <f>SUM(H88:H102)</f>
        <v>0</v>
      </c>
      <c r="I103" s="41">
        <f>SUM(I88:I102)</f>
        <v>0</v>
      </c>
      <c r="J103" s="41">
        <f>SUM(J88:J102)</f>
        <v>80.790000000000006</v>
      </c>
      <c r="K103" s="45" t="s">
        <v>312</v>
      </c>
      <c r="L103" s="45" t="s">
        <v>312</v>
      </c>
      <c r="M103" s="8"/>
    </row>
    <row r="104" spans="1:13" s="3" customFormat="1" ht="12" customHeight="1" thickTop="1" x14ac:dyDescent="0.15">
      <c r="A104" s="38" t="s">
        <v>438</v>
      </c>
      <c r="B104" s="39" t="s">
        <v>339</v>
      </c>
      <c r="C104" s="40">
        <v>26</v>
      </c>
      <c r="D104" s="39" t="s">
        <v>454</v>
      </c>
      <c r="E104" s="40">
        <v>1000</v>
      </c>
      <c r="F104" s="41">
        <f>F52+F71+F86+F103</f>
        <v>1164945.53</v>
      </c>
      <c r="G104" s="41">
        <f>G52+G103</f>
        <v>10348.11</v>
      </c>
      <c r="H104" s="41">
        <f>H52+H71+H86+H103</f>
        <v>0</v>
      </c>
      <c r="I104" s="41">
        <f>I52+I103</f>
        <v>0</v>
      </c>
      <c r="J104" s="41">
        <f>J52+J103</f>
        <v>80.790000000000006</v>
      </c>
      <c r="K104" s="45" t="s">
        <v>312</v>
      </c>
      <c r="L104" s="45" t="s">
        <v>312</v>
      </c>
      <c r="M104" s="8"/>
    </row>
    <row r="105" spans="1:13" ht="12" customHeight="1" x14ac:dyDescent="0.2">
      <c r="F105" s="23" t="s">
        <v>297</v>
      </c>
      <c r="G105" s="23" t="s">
        <v>298</v>
      </c>
      <c r="H105" s="23" t="s">
        <v>299</v>
      </c>
      <c r="I105" s="23" t="s">
        <v>300</v>
      </c>
      <c r="J105" s="23" t="s">
        <v>301</v>
      </c>
    </row>
    <row r="106" spans="1:13" s="3" customFormat="1" ht="12" customHeight="1" x14ac:dyDescent="0.2">
      <c r="A106" s="29" t="s">
        <v>343</v>
      </c>
      <c r="H106" s="23" t="s">
        <v>306</v>
      </c>
      <c r="K106" s="20"/>
      <c r="L106" s="20"/>
      <c r="M106" s="8"/>
    </row>
    <row r="107" spans="1:13" s="3" customFormat="1" ht="12" customHeight="1" x14ac:dyDescent="0.2">
      <c r="A107" s="28" t="s">
        <v>344</v>
      </c>
      <c r="F107" s="16" t="s">
        <v>304</v>
      </c>
      <c r="G107" s="14" t="s">
        <v>305</v>
      </c>
      <c r="H107" s="16" t="s">
        <v>803</v>
      </c>
      <c r="I107" s="16" t="s">
        <v>307</v>
      </c>
      <c r="J107" s="16" t="s">
        <v>308</v>
      </c>
      <c r="K107" s="20"/>
      <c r="L107" s="20"/>
      <c r="M107" s="8"/>
    </row>
    <row r="108" spans="1:13" s="3" customFormat="1" ht="12" customHeight="1" x14ac:dyDescent="0.15">
      <c r="A108" s="30" t="s">
        <v>347</v>
      </c>
      <c r="B108" s="7"/>
      <c r="C108" s="7"/>
      <c r="D108" s="7"/>
      <c r="E108" s="7"/>
      <c r="F108" s="24" t="s">
        <v>312</v>
      </c>
      <c r="G108" s="24" t="s">
        <v>312</v>
      </c>
      <c r="H108" s="24" t="s">
        <v>312</v>
      </c>
      <c r="I108" s="24" t="s">
        <v>312</v>
      </c>
      <c r="J108" s="24" t="s">
        <v>312</v>
      </c>
      <c r="K108" s="24" t="s">
        <v>312</v>
      </c>
      <c r="L108" s="24" t="s">
        <v>312</v>
      </c>
      <c r="M108" s="8"/>
    </row>
    <row r="109" spans="1:13" s="3" customFormat="1" ht="12" customHeight="1" x14ac:dyDescent="0.15">
      <c r="A109" s="1" t="s">
        <v>881</v>
      </c>
      <c r="B109" s="2" t="s">
        <v>345</v>
      </c>
      <c r="C109" s="6">
        <v>1</v>
      </c>
      <c r="D109" s="2" t="s">
        <v>454</v>
      </c>
      <c r="E109" s="6">
        <v>3111</v>
      </c>
      <c r="F109" s="18">
        <v>435285.32</v>
      </c>
      <c r="G109" s="24" t="s">
        <v>312</v>
      </c>
      <c r="H109" s="24" t="s">
        <v>312</v>
      </c>
      <c r="I109" s="24" t="s">
        <v>312</v>
      </c>
      <c r="J109" s="24" t="s">
        <v>312</v>
      </c>
      <c r="K109" s="24" t="s">
        <v>312</v>
      </c>
      <c r="L109" s="24" t="s">
        <v>312</v>
      </c>
      <c r="M109" s="8"/>
    </row>
    <row r="110" spans="1:13" s="3" customFormat="1" ht="12" customHeight="1" x14ac:dyDescent="0.15">
      <c r="A110" s="1" t="s">
        <v>804</v>
      </c>
      <c r="B110" s="2" t="s">
        <v>345</v>
      </c>
      <c r="C110" s="6">
        <v>2</v>
      </c>
      <c r="D110" s="2" t="s">
        <v>454</v>
      </c>
      <c r="E110" s="6">
        <v>3112</v>
      </c>
      <c r="F110" s="18">
        <v>252150</v>
      </c>
      <c r="G110" s="24" t="s">
        <v>312</v>
      </c>
      <c r="H110" s="24" t="s">
        <v>312</v>
      </c>
      <c r="I110" s="24" t="s">
        <v>312</v>
      </c>
      <c r="J110" s="24" t="s">
        <v>312</v>
      </c>
      <c r="K110" s="24" t="s">
        <v>312</v>
      </c>
      <c r="L110" s="24" t="s">
        <v>312</v>
      </c>
      <c r="M110" s="8"/>
    </row>
    <row r="111" spans="1:13" s="3" customFormat="1" ht="12" customHeight="1" x14ac:dyDescent="0.15">
      <c r="A111" s="3" t="s">
        <v>882</v>
      </c>
      <c r="B111" s="2" t="s">
        <v>345</v>
      </c>
      <c r="C111" s="6">
        <v>3</v>
      </c>
      <c r="D111" s="2" t="s">
        <v>454</v>
      </c>
      <c r="E111" s="6">
        <v>3119</v>
      </c>
      <c r="F111" s="18">
        <v>15787.68</v>
      </c>
      <c r="G111" s="24" t="s">
        <v>312</v>
      </c>
      <c r="H111" s="24" t="s">
        <v>312</v>
      </c>
      <c r="I111" s="24" t="s">
        <v>312</v>
      </c>
      <c r="J111" s="24" t="s">
        <v>312</v>
      </c>
      <c r="K111" s="24" t="s">
        <v>312</v>
      </c>
      <c r="L111" s="24" t="s">
        <v>312</v>
      </c>
      <c r="M111" s="8"/>
    </row>
    <row r="112" spans="1:13" s="3" customFormat="1" ht="12" customHeight="1" thickBot="1" x14ac:dyDescent="0.2">
      <c r="A112" s="3" t="s">
        <v>528</v>
      </c>
      <c r="B112" s="2" t="s">
        <v>345</v>
      </c>
      <c r="C112" s="6">
        <v>4</v>
      </c>
      <c r="D112" s="2" t="s">
        <v>454</v>
      </c>
      <c r="E112" s="6">
        <v>3190</v>
      </c>
      <c r="F112" s="18"/>
      <c r="G112" s="18"/>
      <c r="H112" s="18"/>
      <c r="I112" s="18"/>
      <c r="J112" s="18"/>
      <c r="K112" s="24" t="s">
        <v>312</v>
      </c>
      <c r="L112" s="24" t="s">
        <v>312</v>
      </c>
      <c r="M112" s="8"/>
    </row>
    <row r="113" spans="1:13" s="3" customFormat="1" ht="12" customHeight="1" thickTop="1" x14ac:dyDescent="0.15">
      <c r="A113" s="38" t="s">
        <v>682</v>
      </c>
      <c r="B113" s="39" t="s">
        <v>345</v>
      </c>
      <c r="C113" s="40">
        <v>5</v>
      </c>
      <c r="D113" s="39" t="s">
        <v>454</v>
      </c>
      <c r="E113" s="40">
        <v>3100</v>
      </c>
      <c r="F113" s="41">
        <f>SUM(F109:F112)</f>
        <v>703223.00000000012</v>
      </c>
      <c r="G113" s="41">
        <f>SUM(G109:G112)</f>
        <v>0</v>
      </c>
      <c r="H113" s="41">
        <f>SUM(H109:H112)</f>
        <v>0</v>
      </c>
      <c r="I113" s="41">
        <f>SUM(I109:I112)</f>
        <v>0</v>
      </c>
      <c r="J113" s="41">
        <f>SUM(J109:J112)</f>
        <v>0</v>
      </c>
      <c r="K113" s="45" t="s">
        <v>312</v>
      </c>
      <c r="L113" s="45" t="s">
        <v>312</v>
      </c>
      <c r="M113" s="8"/>
    </row>
    <row r="114" spans="1:13" s="3" customFormat="1" ht="12" customHeight="1" x14ac:dyDescent="0.15">
      <c r="A114" s="30" t="s">
        <v>349</v>
      </c>
      <c r="F114" s="24" t="s">
        <v>312</v>
      </c>
      <c r="G114" s="24" t="s">
        <v>312</v>
      </c>
      <c r="H114" s="24" t="s">
        <v>312</v>
      </c>
      <c r="I114" s="24" t="s">
        <v>312</v>
      </c>
      <c r="J114" s="24" t="s">
        <v>312</v>
      </c>
      <c r="K114" s="24" t="s">
        <v>312</v>
      </c>
      <c r="L114" s="24" t="s">
        <v>312</v>
      </c>
      <c r="M114" s="8"/>
    </row>
    <row r="115" spans="1:13" s="3" customFormat="1" ht="12" customHeight="1" x14ac:dyDescent="0.15">
      <c r="A115" s="1" t="s">
        <v>520</v>
      </c>
      <c r="B115" s="2" t="s">
        <v>345</v>
      </c>
      <c r="C115" s="6">
        <v>6</v>
      </c>
      <c r="D115" s="2" t="s">
        <v>454</v>
      </c>
      <c r="E115" s="6">
        <v>3210</v>
      </c>
      <c r="F115" s="18"/>
      <c r="G115" s="24" t="s">
        <v>312</v>
      </c>
      <c r="H115" s="24" t="s">
        <v>312</v>
      </c>
      <c r="I115" s="18"/>
      <c r="J115" s="24" t="s">
        <v>312</v>
      </c>
      <c r="K115" s="24" t="s">
        <v>312</v>
      </c>
      <c r="L115" s="24" t="s">
        <v>312</v>
      </c>
      <c r="M115" s="8"/>
    </row>
    <row r="116" spans="1:13" s="3" customFormat="1" ht="12" customHeight="1" x14ac:dyDescent="0.15">
      <c r="A116" s="1" t="s">
        <v>521</v>
      </c>
      <c r="B116" s="2" t="s">
        <v>345</v>
      </c>
      <c r="C116" s="6">
        <v>7</v>
      </c>
      <c r="D116" s="2" t="s">
        <v>454</v>
      </c>
      <c r="E116" s="6">
        <v>3215</v>
      </c>
      <c r="F116" s="18"/>
      <c r="G116" s="24"/>
      <c r="H116" s="24"/>
      <c r="I116" s="18"/>
      <c r="J116" s="24"/>
      <c r="K116" s="24"/>
      <c r="L116" s="24"/>
      <c r="M116" s="8"/>
    </row>
    <row r="117" spans="1:13" s="3" customFormat="1" ht="12" customHeight="1" x14ac:dyDescent="0.15">
      <c r="A117" s="1" t="s">
        <v>522</v>
      </c>
      <c r="B117" s="2" t="s">
        <v>345</v>
      </c>
      <c r="C117" s="6">
        <v>8</v>
      </c>
      <c r="D117" s="2" t="s">
        <v>454</v>
      </c>
      <c r="E117" s="6">
        <v>3220</v>
      </c>
      <c r="F117" s="18"/>
      <c r="G117" s="24" t="s">
        <v>312</v>
      </c>
      <c r="H117" s="24" t="s">
        <v>312</v>
      </c>
      <c r="I117" s="24" t="s">
        <v>312</v>
      </c>
      <c r="J117" s="24" t="s">
        <v>312</v>
      </c>
      <c r="K117" s="24" t="s">
        <v>312</v>
      </c>
      <c r="L117" s="24" t="s">
        <v>312</v>
      </c>
      <c r="M117" s="8"/>
    </row>
    <row r="118" spans="1:13" s="3" customFormat="1" ht="12" customHeight="1" x14ac:dyDescent="0.15">
      <c r="A118" s="1" t="s">
        <v>523</v>
      </c>
      <c r="B118" s="2" t="s">
        <v>345</v>
      </c>
      <c r="C118" s="6">
        <v>9</v>
      </c>
      <c r="D118" s="2" t="s">
        <v>454</v>
      </c>
      <c r="E118" s="6">
        <v>3230</v>
      </c>
      <c r="F118" s="18">
        <v>17128.77</v>
      </c>
      <c r="G118" s="24" t="s">
        <v>312</v>
      </c>
      <c r="H118" s="24" t="s">
        <v>312</v>
      </c>
      <c r="I118" s="24" t="s">
        <v>312</v>
      </c>
      <c r="J118" s="24" t="s">
        <v>312</v>
      </c>
      <c r="K118" s="24" t="s">
        <v>312</v>
      </c>
      <c r="L118" s="24" t="s">
        <v>312</v>
      </c>
      <c r="M118" s="8"/>
    </row>
    <row r="119" spans="1:13" s="3" customFormat="1" ht="12" customHeight="1" x14ac:dyDescent="0.15">
      <c r="A119" s="1" t="s">
        <v>624</v>
      </c>
      <c r="B119" s="2" t="s">
        <v>345</v>
      </c>
      <c r="C119" s="6">
        <v>10</v>
      </c>
      <c r="D119" s="2" t="s">
        <v>454</v>
      </c>
      <c r="E119" s="6">
        <v>3241</v>
      </c>
      <c r="F119" s="18">
        <v>8952.94</v>
      </c>
      <c r="G119" s="24" t="s">
        <v>312</v>
      </c>
      <c r="H119" s="18"/>
      <c r="I119" s="24" t="s">
        <v>312</v>
      </c>
      <c r="J119" s="24" t="s">
        <v>312</v>
      </c>
      <c r="K119" s="24" t="s">
        <v>312</v>
      </c>
      <c r="L119" s="24" t="s">
        <v>312</v>
      </c>
      <c r="M119" s="8"/>
    </row>
    <row r="120" spans="1:13" s="3" customFormat="1" ht="12" customHeight="1" x14ac:dyDescent="0.15">
      <c r="A120" s="1" t="s">
        <v>625</v>
      </c>
      <c r="B120" s="2" t="s">
        <v>345</v>
      </c>
      <c r="C120" s="6">
        <v>11</v>
      </c>
      <c r="D120" s="2" t="s">
        <v>454</v>
      </c>
      <c r="E120" s="6">
        <v>3242</v>
      </c>
      <c r="F120" s="18">
        <v>589.91</v>
      </c>
      <c r="G120" s="24" t="s">
        <v>312</v>
      </c>
      <c r="H120" s="18"/>
      <c r="I120" s="24" t="s">
        <v>312</v>
      </c>
      <c r="J120" s="24" t="s">
        <v>312</v>
      </c>
      <c r="K120" s="24" t="s">
        <v>312</v>
      </c>
      <c r="L120" s="24" t="s">
        <v>312</v>
      </c>
      <c r="M120" s="8"/>
    </row>
    <row r="121" spans="1:13" s="3" customFormat="1" ht="12" customHeight="1" x14ac:dyDescent="0.15">
      <c r="A121" s="1" t="s">
        <v>626</v>
      </c>
      <c r="B121" s="2" t="s">
        <v>345</v>
      </c>
      <c r="C121" s="6">
        <v>12</v>
      </c>
      <c r="D121" s="2" t="s">
        <v>454</v>
      </c>
      <c r="E121" s="6">
        <v>3243</v>
      </c>
      <c r="F121" s="18"/>
      <c r="G121" s="24" t="s">
        <v>312</v>
      </c>
      <c r="H121" s="18"/>
      <c r="I121" s="24" t="s">
        <v>312</v>
      </c>
      <c r="J121" s="24" t="s">
        <v>312</v>
      </c>
      <c r="K121" s="24" t="s">
        <v>312</v>
      </c>
      <c r="L121" s="24" t="s">
        <v>312</v>
      </c>
      <c r="M121" s="8"/>
    </row>
    <row r="122" spans="1:13" s="3" customFormat="1" ht="12" customHeight="1" x14ac:dyDescent="0.15">
      <c r="A122" s="1" t="s">
        <v>627</v>
      </c>
      <c r="B122" s="2" t="s">
        <v>345</v>
      </c>
      <c r="C122" s="6">
        <v>13</v>
      </c>
      <c r="D122" s="2" t="s">
        <v>454</v>
      </c>
      <c r="E122" s="6">
        <v>3249</v>
      </c>
      <c r="F122" s="18"/>
      <c r="G122" s="24" t="s">
        <v>312</v>
      </c>
      <c r="H122" s="18"/>
      <c r="I122" s="24" t="s">
        <v>312</v>
      </c>
      <c r="J122" s="24" t="s">
        <v>312</v>
      </c>
      <c r="K122" s="24" t="s">
        <v>312</v>
      </c>
      <c r="L122" s="24" t="s">
        <v>312</v>
      </c>
      <c r="M122" s="8"/>
    </row>
    <row r="123" spans="1:13" s="3" customFormat="1" ht="12" customHeight="1" x14ac:dyDescent="0.15">
      <c r="A123" s="1" t="s">
        <v>351</v>
      </c>
      <c r="B123" s="2" t="s">
        <v>345</v>
      </c>
      <c r="C123" s="6">
        <v>14</v>
      </c>
      <c r="D123" s="2" t="s">
        <v>454</v>
      </c>
      <c r="E123" s="6">
        <v>3250</v>
      </c>
      <c r="F123" s="18"/>
      <c r="G123" s="24" t="s">
        <v>312</v>
      </c>
      <c r="H123" s="18"/>
      <c r="I123" s="24" t="s">
        <v>312</v>
      </c>
      <c r="J123" s="24" t="s">
        <v>312</v>
      </c>
      <c r="K123" s="24" t="s">
        <v>312</v>
      </c>
      <c r="L123" s="24" t="s">
        <v>312</v>
      </c>
      <c r="M123" s="8"/>
    </row>
    <row r="124" spans="1:13" s="3" customFormat="1" ht="12" customHeight="1" x14ac:dyDescent="0.15">
      <c r="A124" s="1" t="s">
        <v>524</v>
      </c>
      <c r="B124" s="2" t="s">
        <v>345</v>
      </c>
      <c r="C124" s="6">
        <v>15</v>
      </c>
      <c r="D124" s="2" t="s">
        <v>454</v>
      </c>
      <c r="E124" s="6">
        <v>3260</v>
      </c>
      <c r="F124" s="24" t="s">
        <v>312</v>
      </c>
      <c r="G124" s="18">
        <v>431.01</v>
      </c>
      <c r="H124" s="24" t="s">
        <v>312</v>
      </c>
      <c r="I124" s="24" t="s">
        <v>312</v>
      </c>
      <c r="J124" s="24" t="s">
        <v>312</v>
      </c>
      <c r="K124" s="24" t="s">
        <v>312</v>
      </c>
      <c r="L124" s="24" t="s">
        <v>312</v>
      </c>
      <c r="M124" s="8"/>
    </row>
    <row r="125" spans="1:13" s="3" customFormat="1" ht="12" customHeight="1" x14ac:dyDescent="0.15">
      <c r="A125" s="1" t="s">
        <v>525</v>
      </c>
      <c r="B125" s="2" t="s">
        <v>345</v>
      </c>
      <c r="C125" s="6">
        <v>16</v>
      </c>
      <c r="D125" s="2" t="s">
        <v>454</v>
      </c>
      <c r="E125" s="6">
        <v>3270</v>
      </c>
      <c r="F125" s="18"/>
      <c r="G125" s="24" t="s">
        <v>312</v>
      </c>
      <c r="H125" s="18"/>
      <c r="I125" s="24" t="s">
        <v>312</v>
      </c>
      <c r="J125" s="24" t="s">
        <v>312</v>
      </c>
      <c r="K125" s="24" t="s">
        <v>312</v>
      </c>
      <c r="L125" s="24" t="s">
        <v>312</v>
      </c>
      <c r="M125" s="8"/>
    </row>
    <row r="126" spans="1:13" s="3" customFormat="1" ht="12" customHeight="1" x14ac:dyDescent="0.15">
      <c r="A126" s="1" t="s">
        <v>526</v>
      </c>
      <c r="B126" s="6">
        <v>4</v>
      </c>
      <c r="C126" s="6">
        <v>17</v>
      </c>
      <c r="D126" s="2"/>
      <c r="E126" s="6">
        <v>3280</v>
      </c>
      <c r="F126" s="24" t="s">
        <v>312</v>
      </c>
      <c r="G126" s="24"/>
      <c r="H126" s="18"/>
      <c r="I126" s="24"/>
      <c r="J126" s="24"/>
      <c r="K126" s="24"/>
      <c r="L126" s="24"/>
      <c r="M126" s="8"/>
    </row>
    <row r="127" spans="1:13" s="3" customFormat="1" ht="12" customHeight="1" thickBot="1" x14ac:dyDescent="0.2">
      <c r="A127" s="1" t="s">
        <v>527</v>
      </c>
      <c r="B127" s="2" t="s">
        <v>345</v>
      </c>
      <c r="C127" s="6">
        <v>18</v>
      </c>
      <c r="D127" s="2" t="s">
        <v>454</v>
      </c>
      <c r="E127" s="6">
        <v>3290</v>
      </c>
      <c r="F127" s="18"/>
      <c r="G127" s="18"/>
      <c r="H127" s="18"/>
      <c r="I127" s="18"/>
      <c r="J127" s="18"/>
      <c r="K127" s="24" t="s">
        <v>312</v>
      </c>
      <c r="L127" s="24" t="s">
        <v>312</v>
      </c>
      <c r="M127" s="8"/>
    </row>
    <row r="128" spans="1:13" s="3" customFormat="1" ht="12" customHeight="1" thickTop="1" x14ac:dyDescent="0.15">
      <c r="A128" s="38" t="s">
        <v>458</v>
      </c>
      <c r="B128" s="39" t="s">
        <v>345</v>
      </c>
      <c r="C128" s="40">
        <v>19</v>
      </c>
      <c r="D128" s="39" t="s">
        <v>454</v>
      </c>
      <c r="E128" s="40">
        <v>3200</v>
      </c>
      <c r="F128" s="41">
        <f>SUM(F115:F127)</f>
        <v>26671.62</v>
      </c>
      <c r="G128" s="41">
        <f>SUM(G115:G127)</f>
        <v>431.01</v>
      </c>
      <c r="H128" s="41">
        <f>SUM(H115:H127)</f>
        <v>0</v>
      </c>
      <c r="I128" s="41">
        <f>SUM(I115:I127)</f>
        <v>0</v>
      </c>
      <c r="J128" s="41">
        <f>SUM(J115:J127)</f>
        <v>0</v>
      </c>
      <c r="K128" s="45" t="s">
        <v>312</v>
      </c>
      <c r="L128" s="45" t="s">
        <v>312</v>
      </c>
      <c r="M128" s="8"/>
    </row>
    <row r="129" spans="1:13" s="3" customFormat="1" ht="12" customHeight="1" x14ac:dyDescent="0.15">
      <c r="A129" s="3" t="s">
        <v>346</v>
      </c>
      <c r="B129" s="1" t="s">
        <v>345</v>
      </c>
      <c r="C129" s="6">
        <v>20</v>
      </c>
      <c r="D129" s="2" t="s">
        <v>454</v>
      </c>
      <c r="E129" s="6">
        <v>3700</v>
      </c>
      <c r="F129" s="18"/>
      <c r="G129" s="18"/>
      <c r="H129" s="18"/>
      <c r="I129" s="24" t="s">
        <v>312</v>
      </c>
      <c r="J129" s="24" t="s">
        <v>312</v>
      </c>
      <c r="K129" s="24" t="s">
        <v>312</v>
      </c>
      <c r="L129" s="24" t="s">
        <v>312</v>
      </c>
      <c r="M129" s="8"/>
    </row>
    <row r="130" spans="1:13" s="3" customFormat="1" ht="12" customHeight="1" x14ac:dyDescent="0.15">
      <c r="A130" s="1" t="s">
        <v>628</v>
      </c>
      <c r="B130" s="1" t="s">
        <v>345</v>
      </c>
      <c r="C130" s="6">
        <v>21</v>
      </c>
      <c r="D130" s="2" t="s">
        <v>454</v>
      </c>
      <c r="E130" s="6">
        <v>3800</v>
      </c>
      <c r="F130" s="18"/>
      <c r="G130" s="24" t="s">
        <v>312</v>
      </c>
      <c r="H130" s="18"/>
      <c r="I130" s="24" t="s">
        <v>312</v>
      </c>
      <c r="J130" s="24" t="s">
        <v>312</v>
      </c>
      <c r="K130" s="24" t="s">
        <v>312</v>
      </c>
      <c r="L130" s="24" t="s">
        <v>312</v>
      </c>
      <c r="M130" s="8"/>
    </row>
    <row r="131" spans="1:13" s="3" customFormat="1" ht="12" customHeight="1" thickBot="1" x14ac:dyDescent="0.2">
      <c r="A131" s="1" t="s">
        <v>629</v>
      </c>
      <c r="B131" s="1" t="s">
        <v>345</v>
      </c>
      <c r="C131" s="6">
        <v>22</v>
      </c>
      <c r="D131" s="2" t="s">
        <v>454</v>
      </c>
      <c r="E131" s="6">
        <v>3900</v>
      </c>
      <c r="F131" s="24" t="s">
        <v>312</v>
      </c>
      <c r="G131" s="24" t="s">
        <v>312</v>
      </c>
      <c r="H131" s="24" t="s">
        <v>312</v>
      </c>
      <c r="I131" s="24" t="s">
        <v>312</v>
      </c>
      <c r="J131" s="24" t="s">
        <v>312</v>
      </c>
      <c r="K131" s="24" t="s">
        <v>312</v>
      </c>
      <c r="L131" s="24" t="s">
        <v>312</v>
      </c>
      <c r="M131" s="8"/>
    </row>
    <row r="132" spans="1:13" s="3" customFormat="1" ht="12" customHeight="1" thickTop="1" x14ac:dyDescent="0.15">
      <c r="A132" s="38" t="s">
        <v>439</v>
      </c>
      <c r="B132" s="39" t="s">
        <v>345</v>
      </c>
      <c r="C132" s="40">
        <v>23</v>
      </c>
      <c r="D132" s="39" t="s">
        <v>454</v>
      </c>
      <c r="E132" s="40">
        <v>3000</v>
      </c>
      <c r="F132" s="41">
        <f>F113+SUM(F128:F131)</f>
        <v>729894.62000000011</v>
      </c>
      <c r="G132" s="41">
        <f>G113+SUM(G128:G129)</f>
        <v>431.01</v>
      </c>
      <c r="H132" s="41">
        <f>H113+SUM(H128:H131)</f>
        <v>0</v>
      </c>
      <c r="I132" s="41">
        <f>I113+I128</f>
        <v>0</v>
      </c>
      <c r="J132" s="41">
        <f>J113+J128</f>
        <v>0</v>
      </c>
      <c r="K132" s="45" t="s">
        <v>312</v>
      </c>
      <c r="L132" s="45" t="s">
        <v>312</v>
      </c>
      <c r="M132" s="8"/>
    </row>
    <row r="133" spans="1:13" s="3" customFormat="1" ht="12" customHeight="1" x14ac:dyDescent="0.2">
      <c r="A133" s="70"/>
      <c r="B133" s="36"/>
      <c r="C133" s="37"/>
      <c r="D133" s="37"/>
      <c r="E133" s="37"/>
      <c r="F133" s="23" t="s">
        <v>297</v>
      </c>
      <c r="G133" s="23" t="s">
        <v>298</v>
      </c>
      <c r="H133" s="23" t="s">
        <v>299</v>
      </c>
      <c r="I133" s="23" t="s">
        <v>300</v>
      </c>
      <c r="J133" s="23" t="s">
        <v>301</v>
      </c>
      <c r="K133" s="20"/>
      <c r="L133" s="20"/>
      <c r="M133" s="8"/>
    </row>
    <row r="134" spans="1:13" s="3" customFormat="1" ht="12" customHeight="1" x14ac:dyDescent="0.2">
      <c r="A134" s="29" t="s">
        <v>343</v>
      </c>
      <c r="F134" s="23"/>
      <c r="G134" s="23"/>
      <c r="H134" s="16" t="s">
        <v>306</v>
      </c>
      <c r="I134" s="23"/>
      <c r="J134" s="23"/>
      <c r="K134" s="20"/>
      <c r="L134" s="20"/>
      <c r="M134" s="8"/>
    </row>
    <row r="135" spans="1:13" s="3" customFormat="1" ht="12" customHeight="1" x14ac:dyDescent="0.2">
      <c r="A135" s="28" t="s">
        <v>480</v>
      </c>
      <c r="F135" s="16" t="s">
        <v>304</v>
      </c>
      <c r="G135" s="16" t="s">
        <v>305</v>
      </c>
      <c r="H135" s="225" t="s">
        <v>803</v>
      </c>
      <c r="I135" s="16" t="s">
        <v>307</v>
      </c>
      <c r="J135" s="16" t="s">
        <v>308</v>
      </c>
      <c r="K135" s="20"/>
      <c r="L135" s="20"/>
      <c r="M135" s="8"/>
    </row>
    <row r="136" spans="1:13" s="3" customFormat="1" ht="12" customHeight="1" x14ac:dyDescent="0.15">
      <c r="A136" s="30" t="s">
        <v>347</v>
      </c>
      <c r="F136" s="24" t="s">
        <v>312</v>
      </c>
      <c r="G136" s="24" t="s">
        <v>312</v>
      </c>
      <c r="H136" s="24" t="s">
        <v>312</v>
      </c>
      <c r="I136" s="24" t="s">
        <v>312</v>
      </c>
      <c r="J136" s="24" t="s">
        <v>312</v>
      </c>
      <c r="K136" s="24" t="s">
        <v>312</v>
      </c>
      <c r="L136" s="24" t="s">
        <v>312</v>
      </c>
      <c r="M136" s="8"/>
    </row>
    <row r="137" spans="1:13" s="3" customFormat="1" ht="12" customHeight="1" x14ac:dyDescent="0.15">
      <c r="A137" s="1" t="s">
        <v>631</v>
      </c>
      <c r="B137" s="2" t="s">
        <v>348</v>
      </c>
      <c r="C137" s="6">
        <v>1</v>
      </c>
      <c r="D137" s="2" t="s">
        <v>454</v>
      </c>
      <c r="E137" s="6">
        <v>4100</v>
      </c>
      <c r="F137" s="18"/>
      <c r="G137" s="18"/>
      <c r="H137" s="18"/>
      <c r="I137" s="18"/>
      <c r="J137" s="24" t="s">
        <v>312</v>
      </c>
      <c r="K137" s="24" t="s">
        <v>312</v>
      </c>
      <c r="L137" s="24" t="s">
        <v>312</v>
      </c>
      <c r="M137" s="8"/>
    </row>
    <row r="138" spans="1:13" s="3" customFormat="1" ht="12" customHeight="1" thickBot="1" x14ac:dyDescent="0.2">
      <c r="A138" s="1" t="s">
        <v>630</v>
      </c>
      <c r="B138" s="2" t="s">
        <v>348</v>
      </c>
      <c r="C138" s="6">
        <v>2</v>
      </c>
      <c r="D138" s="2" t="s">
        <v>454</v>
      </c>
      <c r="E138" s="6">
        <v>4200</v>
      </c>
      <c r="F138" s="18"/>
      <c r="G138" s="18"/>
      <c r="H138" s="18"/>
      <c r="I138" s="18"/>
      <c r="J138" s="24" t="s">
        <v>312</v>
      </c>
      <c r="K138" s="24" t="s">
        <v>312</v>
      </c>
      <c r="L138" s="24" t="s">
        <v>312</v>
      </c>
      <c r="M138" s="8"/>
    </row>
    <row r="139" spans="1:13" s="3" customFormat="1" ht="12" customHeight="1" thickTop="1" x14ac:dyDescent="0.15">
      <c r="A139" s="38" t="s">
        <v>459</v>
      </c>
      <c r="B139" s="39" t="s">
        <v>348</v>
      </c>
      <c r="C139" s="40">
        <v>3</v>
      </c>
      <c r="D139" s="39" t="s">
        <v>454</v>
      </c>
      <c r="E139" s="40"/>
      <c r="F139" s="41">
        <f>SUM(F137:F138)</f>
        <v>0</v>
      </c>
      <c r="G139" s="41">
        <f>SUM(G137:G138)</f>
        <v>0</v>
      </c>
      <c r="H139" s="41">
        <f>SUM(H137:H138)</f>
        <v>0</v>
      </c>
      <c r="I139" s="41">
        <f>SUM(I137:I138)</f>
        <v>0</v>
      </c>
      <c r="J139" s="45" t="s">
        <v>312</v>
      </c>
      <c r="K139" s="45" t="s">
        <v>312</v>
      </c>
      <c r="L139" s="45" t="s">
        <v>312</v>
      </c>
      <c r="M139" s="8"/>
    </row>
    <row r="140" spans="1:13" s="3" customFormat="1" ht="12" customHeight="1" x14ac:dyDescent="0.15">
      <c r="A140" s="30" t="s">
        <v>349</v>
      </c>
      <c r="B140" s="2"/>
      <c r="C140" s="2"/>
      <c r="D140" s="2"/>
      <c r="E140" s="2"/>
      <c r="F140" s="24" t="s">
        <v>312</v>
      </c>
      <c r="G140" s="24" t="s">
        <v>312</v>
      </c>
      <c r="H140" s="24" t="s">
        <v>312</v>
      </c>
      <c r="I140" s="24" t="s">
        <v>312</v>
      </c>
      <c r="J140" s="24" t="s">
        <v>312</v>
      </c>
      <c r="K140" s="24" t="s">
        <v>312</v>
      </c>
      <c r="L140" s="24" t="s">
        <v>312</v>
      </c>
      <c r="M140" s="8"/>
    </row>
    <row r="141" spans="1:13" s="3" customFormat="1" ht="12" customHeight="1" x14ac:dyDescent="0.15">
      <c r="A141" s="1" t="s">
        <v>632</v>
      </c>
      <c r="C141" s="1" t="s">
        <v>350</v>
      </c>
      <c r="D141" s="1"/>
      <c r="E141" s="6">
        <v>4300</v>
      </c>
      <c r="F141" s="24" t="s">
        <v>312</v>
      </c>
      <c r="G141" s="24" t="s">
        <v>312</v>
      </c>
      <c r="H141" s="24" t="s">
        <v>312</v>
      </c>
      <c r="I141" s="24" t="s">
        <v>312</v>
      </c>
      <c r="J141" s="24" t="s">
        <v>312</v>
      </c>
      <c r="K141" s="24" t="s">
        <v>312</v>
      </c>
      <c r="L141" s="24" t="s">
        <v>312</v>
      </c>
      <c r="M141" s="8"/>
    </row>
    <row r="142" spans="1:13" s="3" customFormat="1" ht="12" customHeight="1" x14ac:dyDescent="0.15">
      <c r="A142" s="3" t="s">
        <v>683</v>
      </c>
      <c r="B142" s="2" t="s">
        <v>348</v>
      </c>
      <c r="C142" s="6">
        <v>4</v>
      </c>
      <c r="D142" s="2" t="s">
        <v>454</v>
      </c>
      <c r="E142" s="6">
        <v>4310</v>
      </c>
      <c r="F142" s="18"/>
      <c r="G142" s="24" t="s">
        <v>312</v>
      </c>
      <c r="H142" s="18"/>
      <c r="I142" s="18"/>
      <c r="J142" s="24" t="s">
        <v>312</v>
      </c>
      <c r="K142" s="24" t="s">
        <v>312</v>
      </c>
      <c r="L142" s="24" t="s">
        <v>312</v>
      </c>
      <c r="M142" s="8"/>
    </row>
    <row r="143" spans="1:13" s="3" customFormat="1" ht="12" customHeight="1" x14ac:dyDescent="0.15">
      <c r="A143" s="1" t="s">
        <v>509</v>
      </c>
      <c r="B143" s="2" t="s">
        <v>348</v>
      </c>
      <c r="C143" s="6">
        <v>5</v>
      </c>
      <c r="D143" s="2" t="s">
        <v>454</v>
      </c>
      <c r="E143" s="6">
        <v>4330</v>
      </c>
      <c r="F143" s="18"/>
      <c r="G143" s="24" t="s">
        <v>312</v>
      </c>
      <c r="H143" s="18"/>
      <c r="I143" s="18"/>
      <c r="J143" s="24" t="s">
        <v>312</v>
      </c>
      <c r="K143" s="24" t="s">
        <v>312</v>
      </c>
      <c r="L143" s="24" t="s">
        <v>312</v>
      </c>
      <c r="M143" s="8"/>
    </row>
    <row r="144" spans="1:13" s="3" customFormat="1" ht="12" customHeight="1" x14ac:dyDescent="0.15">
      <c r="A144" s="1" t="s">
        <v>510</v>
      </c>
      <c r="B144" s="2" t="s">
        <v>348</v>
      </c>
      <c r="C144" s="6">
        <v>6</v>
      </c>
      <c r="D144" s="2" t="s">
        <v>454</v>
      </c>
      <c r="E144" s="6">
        <v>4350</v>
      </c>
      <c r="F144" s="18"/>
      <c r="G144" s="24" t="s">
        <v>312</v>
      </c>
      <c r="H144" s="18"/>
      <c r="I144" s="18"/>
      <c r="J144" s="24" t="s">
        <v>312</v>
      </c>
      <c r="K144" s="24" t="s">
        <v>312</v>
      </c>
      <c r="L144" s="24" t="s">
        <v>312</v>
      </c>
      <c r="M144" s="8"/>
    </row>
    <row r="145" spans="1:13" s="3" customFormat="1" ht="12" customHeight="1" x14ac:dyDescent="0.15">
      <c r="A145" s="1" t="s">
        <v>511</v>
      </c>
      <c r="B145" s="2"/>
      <c r="C145" s="6"/>
      <c r="D145" s="6"/>
      <c r="E145" s="6">
        <v>4500</v>
      </c>
      <c r="F145" s="24" t="s">
        <v>312</v>
      </c>
      <c r="G145" s="24" t="s">
        <v>312</v>
      </c>
      <c r="H145" s="24" t="s">
        <v>312</v>
      </c>
      <c r="I145" s="24" t="s">
        <v>312</v>
      </c>
      <c r="J145" s="24" t="s">
        <v>312</v>
      </c>
      <c r="K145" s="24" t="s">
        <v>312</v>
      </c>
      <c r="L145" s="24" t="s">
        <v>312</v>
      </c>
      <c r="M145" s="8"/>
    </row>
    <row r="146" spans="1:13" s="3" customFormat="1" ht="12" customHeight="1" x14ac:dyDescent="0.15">
      <c r="A146" s="1" t="s">
        <v>680</v>
      </c>
      <c r="B146" s="2" t="s">
        <v>348</v>
      </c>
      <c r="C146" s="6">
        <v>7</v>
      </c>
      <c r="D146" s="2" t="s">
        <v>454</v>
      </c>
      <c r="E146" s="6">
        <v>4520</v>
      </c>
      <c r="F146" s="24" t="s">
        <v>312</v>
      </c>
      <c r="G146" s="24" t="s">
        <v>312</v>
      </c>
      <c r="H146" s="18">
        <f>633.11+24460.15</f>
        <v>25093.260000000002</v>
      </c>
      <c r="I146" s="24" t="s">
        <v>312</v>
      </c>
      <c r="J146" s="24" t="s">
        <v>312</v>
      </c>
      <c r="K146" s="24" t="s">
        <v>312</v>
      </c>
      <c r="L146" s="24" t="s">
        <v>312</v>
      </c>
      <c r="M146" s="8"/>
    </row>
    <row r="147" spans="1:13" s="3" customFormat="1" ht="12" customHeight="1" x14ac:dyDescent="0.15">
      <c r="A147" s="1" t="s">
        <v>681</v>
      </c>
      <c r="B147" s="2" t="s">
        <v>348</v>
      </c>
      <c r="C147" s="6">
        <v>8</v>
      </c>
      <c r="D147" s="2" t="s">
        <v>454</v>
      </c>
      <c r="E147" s="6">
        <v>4530</v>
      </c>
      <c r="F147" s="24" t="s">
        <v>312</v>
      </c>
      <c r="G147" s="24" t="s">
        <v>312</v>
      </c>
      <c r="H147" s="18">
        <f>79689.02-H146-H151</f>
        <v>51452.57</v>
      </c>
      <c r="I147" s="24" t="s">
        <v>312</v>
      </c>
      <c r="J147" s="24" t="s">
        <v>312</v>
      </c>
      <c r="K147" s="24" t="s">
        <v>312</v>
      </c>
      <c r="L147" s="24" t="s">
        <v>312</v>
      </c>
      <c r="M147" s="8"/>
    </row>
    <row r="148" spans="1:13" s="3" customFormat="1" ht="12" customHeight="1" x14ac:dyDescent="0.15">
      <c r="A148" s="1" t="s">
        <v>512</v>
      </c>
      <c r="B148" s="2" t="s">
        <v>348</v>
      </c>
      <c r="C148" s="6">
        <v>9</v>
      </c>
      <c r="D148" s="2" t="s">
        <v>454</v>
      </c>
      <c r="E148" s="6">
        <v>4540</v>
      </c>
      <c r="F148" s="24" t="s">
        <v>312</v>
      </c>
      <c r="G148" s="24" t="s">
        <v>312</v>
      </c>
      <c r="H148" s="18"/>
      <c r="I148" s="24" t="s">
        <v>312</v>
      </c>
      <c r="J148" s="24" t="s">
        <v>312</v>
      </c>
      <c r="K148" s="24" t="s">
        <v>312</v>
      </c>
      <c r="L148" s="24" t="s">
        <v>312</v>
      </c>
      <c r="M148" s="8"/>
    </row>
    <row r="149" spans="1:13" s="3" customFormat="1" ht="12" customHeight="1" x14ac:dyDescent="0.15">
      <c r="A149" s="1" t="s">
        <v>513</v>
      </c>
      <c r="B149" s="2" t="s">
        <v>348</v>
      </c>
      <c r="C149" s="6">
        <v>10</v>
      </c>
      <c r="D149" s="2" t="s">
        <v>454</v>
      </c>
      <c r="E149" s="6">
        <v>4550</v>
      </c>
      <c r="F149" s="18"/>
      <c r="G149" s="24" t="s">
        <v>312</v>
      </c>
      <c r="H149" s="18"/>
      <c r="I149" s="24" t="s">
        <v>312</v>
      </c>
      <c r="J149" s="24" t="s">
        <v>312</v>
      </c>
      <c r="K149" s="24" t="s">
        <v>312</v>
      </c>
      <c r="L149" s="24" t="s">
        <v>312</v>
      </c>
      <c r="M149" s="8"/>
    </row>
    <row r="150" spans="1:13" s="3" customFormat="1" ht="12" customHeight="1" x14ac:dyDescent="0.15">
      <c r="A150" s="1" t="s">
        <v>514</v>
      </c>
      <c r="B150" s="2" t="s">
        <v>348</v>
      </c>
      <c r="C150" s="6">
        <v>11</v>
      </c>
      <c r="D150" s="2" t="s">
        <v>454</v>
      </c>
      <c r="E150" s="6">
        <v>4560</v>
      </c>
      <c r="F150" s="24" t="s">
        <v>312</v>
      </c>
      <c r="G150" s="18">
        <v>14276.13</v>
      </c>
      <c r="H150" s="24" t="s">
        <v>312</v>
      </c>
      <c r="I150" s="24" t="s">
        <v>312</v>
      </c>
      <c r="J150" s="24" t="s">
        <v>312</v>
      </c>
      <c r="K150" s="24" t="s">
        <v>312</v>
      </c>
      <c r="L150" s="24" t="s">
        <v>312</v>
      </c>
      <c r="M150" s="8"/>
    </row>
    <row r="151" spans="1:13" s="3" customFormat="1" ht="12" customHeight="1" x14ac:dyDescent="0.15">
      <c r="A151" s="1" t="s">
        <v>510</v>
      </c>
      <c r="B151" s="2" t="s">
        <v>348</v>
      </c>
      <c r="C151" s="6">
        <v>12</v>
      </c>
      <c r="D151" s="2" t="s">
        <v>454</v>
      </c>
      <c r="E151" s="6">
        <v>4570</v>
      </c>
      <c r="F151" s="18"/>
      <c r="G151" s="24" t="s">
        <v>312</v>
      </c>
      <c r="H151" s="18">
        <v>3143.19</v>
      </c>
      <c r="I151" s="24" t="s">
        <v>312</v>
      </c>
      <c r="J151" s="24" t="s">
        <v>312</v>
      </c>
      <c r="K151" s="24" t="s">
        <v>312</v>
      </c>
      <c r="L151" s="24" t="s">
        <v>312</v>
      </c>
      <c r="M151" s="8"/>
    </row>
    <row r="152" spans="1:13" s="3" customFormat="1" ht="12" customHeight="1" x14ac:dyDescent="0.15">
      <c r="A152" s="1" t="s">
        <v>515</v>
      </c>
      <c r="B152" s="2" t="s">
        <v>348</v>
      </c>
      <c r="C152" s="6">
        <v>13</v>
      </c>
      <c r="D152" s="2" t="s">
        <v>454</v>
      </c>
      <c r="E152" s="6">
        <v>4580</v>
      </c>
      <c r="F152" s="18">
        <v>37673.33</v>
      </c>
      <c r="G152" s="24" t="s">
        <v>312</v>
      </c>
      <c r="H152" s="18"/>
      <c r="I152" s="24" t="s">
        <v>312</v>
      </c>
      <c r="J152" s="24" t="s">
        <v>312</v>
      </c>
      <c r="K152" s="24" t="s">
        <v>312</v>
      </c>
      <c r="L152" s="24" t="s">
        <v>312</v>
      </c>
      <c r="M152" s="8"/>
    </row>
    <row r="153" spans="1:13" s="3" customFormat="1" ht="12" customHeight="1" thickBot="1" x14ac:dyDescent="0.2">
      <c r="A153" s="1" t="s">
        <v>516</v>
      </c>
      <c r="B153" s="2" t="s">
        <v>348</v>
      </c>
      <c r="C153" s="6">
        <v>14</v>
      </c>
      <c r="D153" s="2" t="s">
        <v>454</v>
      </c>
      <c r="E153" s="6">
        <v>4590</v>
      </c>
      <c r="F153" s="18"/>
      <c r="G153" s="18">
        <v>2494.59</v>
      </c>
      <c r="H153" s="18"/>
      <c r="I153" s="18"/>
      <c r="J153" s="24" t="s">
        <v>312</v>
      </c>
      <c r="K153" s="24" t="s">
        <v>312</v>
      </c>
      <c r="L153" s="24" t="s">
        <v>312</v>
      </c>
      <c r="M153" s="8"/>
    </row>
    <row r="154" spans="1:13" s="3" customFormat="1" ht="12" customHeight="1" thickTop="1" x14ac:dyDescent="0.15">
      <c r="A154" s="38" t="s">
        <v>460</v>
      </c>
      <c r="B154" s="39" t="s">
        <v>348</v>
      </c>
      <c r="C154" s="40">
        <v>15</v>
      </c>
      <c r="D154" s="39" t="s">
        <v>454</v>
      </c>
      <c r="E154" s="40"/>
      <c r="F154" s="41">
        <f>SUM(F142:F153)</f>
        <v>37673.33</v>
      </c>
      <c r="G154" s="41">
        <f>SUM(G142:G153)</f>
        <v>16770.72</v>
      </c>
      <c r="H154" s="41">
        <f>SUM(H142:H153)</f>
        <v>79689.02</v>
      </c>
      <c r="I154" s="41">
        <f>SUM(I142:I153)</f>
        <v>0</v>
      </c>
      <c r="J154" s="45" t="s">
        <v>312</v>
      </c>
      <c r="K154" s="45" t="s">
        <v>312</v>
      </c>
      <c r="L154" s="45" t="s">
        <v>312</v>
      </c>
      <c r="M154" s="8"/>
    </row>
    <row r="155" spans="1:13" s="3" customFormat="1" ht="12" customHeight="1" x14ac:dyDescent="0.15">
      <c r="A155" s="3" t="s">
        <v>713</v>
      </c>
      <c r="B155" s="2" t="s">
        <v>348</v>
      </c>
      <c r="C155" s="6">
        <v>16</v>
      </c>
      <c r="D155" s="2" t="s">
        <v>454</v>
      </c>
      <c r="E155" s="6">
        <v>4700</v>
      </c>
      <c r="F155" s="18"/>
      <c r="G155" s="18"/>
      <c r="H155" s="18"/>
      <c r="I155" s="18"/>
      <c r="J155" s="24" t="s">
        <v>312</v>
      </c>
      <c r="K155" s="24" t="s">
        <v>312</v>
      </c>
      <c r="L155" s="24" t="s">
        <v>312</v>
      </c>
      <c r="M155" s="8"/>
    </row>
    <row r="156" spans="1:13" s="3" customFormat="1" ht="12" customHeight="1" x14ac:dyDescent="0.15">
      <c r="A156" s="30" t="s">
        <v>352</v>
      </c>
      <c r="E156" s="6"/>
      <c r="F156" s="24" t="s">
        <v>312</v>
      </c>
      <c r="G156" s="24" t="s">
        <v>312</v>
      </c>
      <c r="H156" s="24" t="s">
        <v>312</v>
      </c>
      <c r="I156" s="24" t="s">
        <v>312</v>
      </c>
      <c r="J156" s="24" t="s">
        <v>312</v>
      </c>
      <c r="K156" s="24" t="s">
        <v>312</v>
      </c>
      <c r="L156" s="24" t="s">
        <v>312</v>
      </c>
      <c r="M156" s="8"/>
    </row>
    <row r="157" spans="1:13" s="3" customFormat="1" ht="12" customHeight="1" x14ac:dyDescent="0.15">
      <c r="A157" s="1" t="s">
        <v>517</v>
      </c>
      <c r="B157" s="2" t="s">
        <v>348</v>
      </c>
      <c r="C157" s="6">
        <v>17</v>
      </c>
      <c r="D157" s="2" t="s">
        <v>454</v>
      </c>
      <c r="E157" s="6">
        <v>4810</v>
      </c>
      <c r="F157" s="18">
        <v>212.77</v>
      </c>
      <c r="G157" s="24" t="s">
        <v>312</v>
      </c>
      <c r="H157" s="24" t="s">
        <v>312</v>
      </c>
      <c r="I157" s="24" t="s">
        <v>312</v>
      </c>
      <c r="J157" s="24" t="s">
        <v>312</v>
      </c>
      <c r="K157" s="24" t="s">
        <v>312</v>
      </c>
      <c r="L157" s="24" t="s">
        <v>312</v>
      </c>
      <c r="M157" s="8"/>
    </row>
    <row r="158" spans="1:13" s="3" customFormat="1" ht="12" customHeight="1" x14ac:dyDescent="0.15">
      <c r="A158" s="1" t="s">
        <v>518</v>
      </c>
      <c r="B158" s="2" t="s">
        <v>348</v>
      </c>
      <c r="C158" s="6">
        <v>18</v>
      </c>
      <c r="D158" s="2" t="s">
        <v>454</v>
      </c>
      <c r="E158" s="6">
        <v>4890</v>
      </c>
      <c r="F158" s="18"/>
      <c r="G158" s="24" t="s">
        <v>312</v>
      </c>
      <c r="H158" s="24" t="s">
        <v>312</v>
      </c>
      <c r="I158" s="24" t="s">
        <v>312</v>
      </c>
      <c r="J158" s="24" t="s">
        <v>312</v>
      </c>
      <c r="K158" s="24" t="s">
        <v>312</v>
      </c>
      <c r="L158" s="24" t="s">
        <v>312</v>
      </c>
      <c r="M158" s="8"/>
    </row>
    <row r="159" spans="1:13" s="3" customFormat="1" ht="12" customHeight="1" x14ac:dyDescent="0.15">
      <c r="A159" s="30" t="s">
        <v>716</v>
      </c>
      <c r="B159" s="2"/>
      <c r="C159" s="6"/>
      <c r="D159" s="2"/>
      <c r="E159" s="6"/>
      <c r="F159" s="24" t="s">
        <v>312</v>
      </c>
      <c r="G159" s="24" t="s">
        <v>312</v>
      </c>
      <c r="H159" s="24" t="s">
        <v>312</v>
      </c>
      <c r="I159" s="24" t="s">
        <v>312</v>
      </c>
      <c r="J159" s="24" t="s">
        <v>312</v>
      </c>
      <c r="K159" s="24" t="s">
        <v>312</v>
      </c>
      <c r="L159" s="24" t="s">
        <v>312</v>
      </c>
      <c r="M159" s="8"/>
    </row>
    <row r="160" spans="1:13" s="3" customFormat="1" ht="12" customHeight="1" thickBot="1" x14ac:dyDescent="0.2">
      <c r="A160" s="1" t="s">
        <v>519</v>
      </c>
      <c r="B160" s="2" t="s">
        <v>348</v>
      </c>
      <c r="C160" s="6">
        <v>19</v>
      </c>
      <c r="D160" s="2" t="s">
        <v>454</v>
      </c>
      <c r="E160" s="6">
        <v>4900</v>
      </c>
      <c r="F160" s="18"/>
      <c r="G160" s="18"/>
      <c r="H160" s="18"/>
      <c r="I160" s="24" t="s">
        <v>312</v>
      </c>
      <c r="J160" s="24" t="s">
        <v>312</v>
      </c>
      <c r="K160" s="24" t="s">
        <v>312</v>
      </c>
      <c r="L160" s="24" t="s">
        <v>312</v>
      </c>
      <c r="M160" s="8"/>
    </row>
    <row r="161" spans="1:13" s="3" customFormat="1" ht="12" customHeight="1" thickTop="1" x14ac:dyDescent="0.15">
      <c r="A161" s="38" t="s">
        <v>482</v>
      </c>
      <c r="B161" s="39" t="s">
        <v>348</v>
      </c>
      <c r="C161" s="40">
        <v>20</v>
      </c>
      <c r="D161" s="39" t="s">
        <v>454</v>
      </c>
      <c r="E161" s="44">
        <v>4000</v>
      </c>
      <c r="F161" s="41">
        <f>F139+F154+SUM(F155:F160)</f>
        <v>37886.1</v>
      </c>
      <c r="G161" s="41">
        <f>G139+G154+SUM(G155:G160)</f>
        <v>16770.72</v>
      </c>
      <c r="H161" s="41">
        <f>H139+H154+SUM(H155:H160)</f>
        <v>79689.02</v>
      </c>
      <c r="I161" s="41">
        <f>I139+I154+SUM(I155:I160)</f>
        <v>0</v>
      </c>
      <c r="J161" s="45" t="s">
        <v>312</v>
      </c>
      <c r="K161" s="45" t="s">
        <v>312</v>
      </c>
      <c r="L161" s="45" t="s">
        <v>312</v>
      </c>
      <c r="M161" s="8"/>
    </row>
    <row r="162" spans="1:13" s="3" customFormat="1" ht="12" customHeight="1" x14ac:dyDescent="0.2">
      <c r="A162" s="70"/>
      <c r="B162" s="36"/>
      <c r="C162" s="75"/>
      <c r="D162" s="75"/>
      <c r="E162" s="75"/>
      <c r="F162" s="23" t="s">
        <v>297</v>
      </c>
      <c r="G162" s="23" t="s">
        <v>298</v>
      </c>
      <c r="H162" s="23" t="s">
        <v>299</v>
      </c>
      <c r="I162" s="23" t="s">
        <v>300</v>
      </c>
      <c r="J162" s="23" t="s">
        <v>301</v>
      </c>
      <c r="K162" s="20"/>
      <c r="L162" s="20"/>
      <c r="M162" s="8"/>
    </row>
    <row r="163" spans="1:13" s="3" customFormat="1" ht="12" customHeight="1" x14ac:dyDescent="0.2">
      <c r="A163" s="29" t="s">
        <v>714</v>
      </c>
      <c r="F163" s="23"/>
      <c r="G163" s="23"/>
      <c r="H163" s="16" t="s">
        <v>306</v>
      </c>
      <c r="I163" s="23"/>
      <c r="J163" s="23"/>
      <c r="K163" s="20"/>
      <c r="L163" s="20"/>
      <c r="M163" s="8"/>
    </row>
    <row r="164" spans="1:13" s="3" customFormat="1" ht="12" customHeight="1" x14ac:dyDescent="0.2">
      <c r="A164" s="27" t="s">
        <v>353</v>
      </c>
      <c r="B164" s="7"/>
      <c r="C164" s="7"/>
      <c r="D164" s="7"/>
      <c r="E164" s="7"/>
      <c r="F164" s="16" t="s">
        <v>304</v>
      </c>
      <c r="G164" s="16" t="s">
        <v>305</v>
      </c>
      <c r="H164" s="225" t="s">
        <v>803</v>
      </c>
      <c r="I164" s="16" t="s">
        <v>307</v>
      </c>
      <c r="J164" s="16" t="s">
        <v>308</v>
      </c>
      <c r="K164" s="20"/>
      <c r="L164" s="20"/>
      <c r="M164" s="8"/>
    </row>
    <row r="165" spans="1:13" s="3" customFormat="1" ht="12" customHeight="1" x14ac:dyDescent="0.15">
      <c r="A165" s="1" t="s">
        <v>546</v>
      </c>
      <c r="B165" s="2" t="s">
        <v>354</v>
      </c>
      <c r="C165" s="6">
        <v>1</v>
      </c>
      <c r="D165" s="2" t="s">
        <v>454</v>
      </c>
      <c r="E165" s="6">
        <v>5110</v>
      </c>
      <c r="F165" s="18"/>
      <c r="G165" s="24" t="s">
        <v>312</v>
      </c>
      <c r="H165" s="24" t="s">
        <v>312</v>
      </c>
      <c r="I165" s="18"/>
      <c r="J165" s="24" t="s">
        <v>312</v>
      </c>
      <c r="K165" s="24" t="s">
        <v>312</v>
      </c>
      <c r="L165" s="24" t="s">
        <v>312</v>
      </c>
      <c r="M165" s="8"/>
    </row>
    <row r="166" spans="1:13" s="3" customFormat="1" ht="12" customHeight="1" x14ac:dyDescent="0.15">
      <c r="A166" s="1" t="s">
        <v>547</v>
      </c>
      <c r="B166" s="6">
        <v>6</v>
      </c>
      <c r="C166" s="6">
        <v>2</v>
      </c>
      <c r="D166" s="2" t="s">
        <v>454</v>
      </c>
      <c r="E166" s="6">
        <v>5120</v>
      </c>
      <c r="F166" s="18"/>
      <c r="G166" s="24" t="s">
        <v>312</v>
      </c>
      <c r="H166" s="24" t="s">
        <v>312</v>
      </c>
      <c r="I166" s="18"/>
      <c r="J166" s="24" t="s">
        <v>312</v>
      </c>
      <c r="K166" s="24" t="s">
        <v>312</v>
      </c>
      <c r="L166" s="24" t="s">
        <v>312</v>
      </c>
      <c r="M166" s="8"/>
    </row>
    <row r="167" spans="1:13" s="3" customFormat="1" ht="12" customHeight="1" x14ac:dyDescent="0.15">
      <c r="A167" s="1" t="s">
        <v>549</v>
      </c>
      <c r="B167" s="2" t="s">
        <v>354</v>
      </c>
      <c r="C167" s="6">
        <v>3</v>
      </c>
      <c r="D167" s="2" t="s">
        <v>454</v>
      </c>
      <c r="E167" s="6">
        <v>5130</v>
      </c>
      <c r="F167" s="18"/>
      <c r="G167" s="24" t="s">
        <v>312</v>
      </c>
      <c r="H167" s="24" t="s">
        <v>312</v>
      </c>
      <c r="I167" s="18"/>
      <c r="J167" s="24" t="s">
        <v>312</v>
      </c>
      <c r="K167" s="24" t="s">
        <v>312</v>
      </c>
      <c r="L167" s="24" t="s">
        <v>312</v>
      </c>
      <c r="M167" s="8"/>
    </row>
    <row r="168" spans="1:13" s="3" customFormat="1" ht="12" customHeight="1" thickBot="1" x14ac:dyDescent="0.2">
      <c r="A168" s="1" t="s">
        <v>548</v>
      </c>
      <c r="B168" s="2" t="s">
        <v>354</v>
      </c>
      <c r="C168" s="6">
        <v>4</v>
      </c>
      <c r="D168" s="2" t="s">
        <v>454</v>
      </c>
      <c r="E168" s="6">
        <v>5140</v>
      </c>
      <c r="F168" s="18"/>
      <c r="G168" s="24" t="s">
        <v>312</v>
      </c>
      <c r="H168" s="24" t="s">
        <v>312</v>
      </c>
      <c r="I168" s="18"/>
      <c r="J168" s="24" t="s">
        <v>312</v>
      </c>
      <c r="K168" s="24" t="s">
        <v>312</v>
      </c>
      <c r="L168" s="24" t="s">
        <v>312</v>
      </c>
      <c r="M168" s="8"/>
    </row>
    <row r="169" spans="1:13" s="3" customFormat="1" ht="12" customHeight="1" thickTop="1" x14ac:dyDescent="0.15">
      <c r="A169" s="38" t="s">
        <v>461</v>
      </c>
      <c r="B169" s="39" t="s">
        <v>354</v>
      </c>
      <c r="C169" s="44">
        <v>5</v>
      </c>
      <c r="D169" s="39" t="s">
        <v>454</v>
      </c>
      <c r="E169" s="44">
        <v>5100</v>
      </c>
      <c r="F169" s="41">
        <f>SUM(F165:F168)</f>
        <v>0</v>
      </c>
      <c r="G169" s="41" t="s">
        <v>312</v>
      </c>
      <c r="H169" s="41" t="s">
        <v>312</v>
      </c>
      <c r="I169" s="41">
        <f>SUM(I165:I168)</f>
        <v>0</v>
      </c>
      <c r="J169" s="45" t="s">
        <v>312</v>
      </c>
      <c r="K169" s="45" t="s">
        <v>312</v>
      </c>
      <c r="L169" s="45" t="s">
        <v>312</v>
      </c>
      <c r="M169" s="8"/>
    </row>
    <row r="170" spans="1:13" s="3" customFormat="1" ht="12" customHeight="1" x14ac:dyDescent="0.15">
      <c r="A170" s="30" t="s">
        <v>355</v>
      </c>
      <c r="B170" s="2"/>
      <c r="C170" s="2"/>
      <c r="D170" s="2"/>
      <c r="E170" s="2"/>
      <c r="F170" s="24" t="s">
        <v>312</v>
      </c>
      <c r="G170" s="24" t="s">
        <v>312</v>
      </c>
      <c r="H170" s="24" t="s">
        <v>312</v>
      </c>
      <c r="I170" s="24" t="s">
        <v>312</v>
      </c>
      <c r="J170" s="24" t="s">
        <v>312</v>
      </c>
      <c r="K170" s="24" t="s">
        <v>312</v>
      </c>
      <c r="L170" s="24" t="s">
        <v>312</v>
      </c>
      <c r="M170" s="8"/>
    </row>
    <row r="171" spans="1:13" s="3" customFormat="1" ht="12" customHeight="1" x14ac:dyDescent="0.15">
      <c r="A171" s="1" t="s">
        <v>550</v>
      </c>
      <c r="B171" s="2" t="s">
        <v>354</v>
      </c>
      <c r="C171" s="6">
        <v>6</v>
      </c>
      <c r="D171" s="2" t="s">
        <v>454</v>
      </c>
      <c r="E171" s="6">
        <v>5210</v>
      </c>
      <c r="F171" s="24" t="s">
        <v>312</v>
      </c>
      <c r="G171" s="18">
        <v>24633.42</v>
      </c>
      <c r="H171" s="18"/>
      <c r="I171" s="18"/>
      <c r="J171" s="18"/>
      <c r="K171" s="24" t="s">
        <v>312</v>
      </c>
      <c r="L171" s="24" t="s">
        <v>312</v>
      </c>
      <c r="M171" s="8"/>
    </row>
    <row r="172" spans="1:13" s="3" customFormat="1" ht="12" customHeight="1" x14ac:dyDescent="0.15">
      <c r="A172" s="1" t="s">
        <v>551</v>
      </c>
      <c r="B172" s="2" t="s">
        <v>354</v>
      </c>
      <c r="C172" s="6">
        <v>7</v>
      </c>
      <c r="D172" s="2" t="s">
        <v>454</v>
      </c>
      <c r="E172" s="6">
        <v>5221</v>
      </c>
      <c r="F172" s="18"/>
      <c r="G172" s="24" t="s">
        <v>312</v>
      </c>
      <c r="H172" s="18"/>
      <c r="I172" s="18"/>
      <c r="J172" s="18"/>
      <c r="K172" s="24" t="s">
        <v>312</v>
      </c>
      <c r="L172" s="24" t="s">
        <v>312</v>
      </c>
      <c r="M172" s="8"/>
    </row>
    <row r="173" spans="1:13" s="3" customFormat="1" ht="12" customHeight="1" x14ac:dyDescent="0.15">
      <c r="A173" s="3" t="s">
        <v>552</v>
      </c>
      <c r="B173" s="2" t="s">
        <v>354</v>
      </c>
      <c r="C173" s="6">
        <v>8</v>
      </c>
      <c r="D173" s="2" t="s">
        <v>454</v>
      </c>
      <c r="E173" s="6">
        <v>5222</v>
      </c>
      <c r="F173" s="18">
        <v>383.59</v>
      </c>
      <c r="G173" s="18"/>
      <c r="H173" s="24" t="s">
        <v>312</v>
      </c>
      <c r="I173" s="18"/>
      <c r="J173" s="18"/>
      <c r="K173" s="24" t="s">
        <v>312</v>
      </c>
      <c r="L173" s="24" t="s">
        <v>312</v>
      </c>
      <c r="M173" s="8"/>
    </row>
    <row r="174" spans="1:13" s="3" customFormat="1" ht="12" customHeight="1" thickBot="1" x14ac:dyDescent="0.2">
      <c r="A174" s="3" t="s">
        <v>553</v>
      </c>
      <c r="B174" s="2" t="s">
        <v>354</v>
      </c>
      <c r="C174" s="6">
        <v>9</v>
      </c>
      <c r="D174" s="2" t="s">
        <v>454</v>
      </c>
      <c r="E174" s="6">
        <v>5230</v>
      </c>
      <c r="F174" s="18"/>
      <c r="G174" s="18"/>
      <c r="H174" s="18"/>
      <c r="I174" s="24" t="s">
        <v>312</v>
      </c>
      <c r="J174" s="18"/>
      <c r="K174" s="24" t="s">
        <v>312</v>
      </c>
      <c r="L174" s="24" t="s">
        <v>312</v>
      </c>
      <c r="M174" s="8"/>
    </row>
    <row r="175" spans="1:13" s="3" customFormat="1" ht="12" customHeight="1" thickTop="1" x14ac:dyDescent="0.15">
      <c r="A175" s="38" t="s">
        <v>440</v>
      </c>
      <c r="B175" s="39" t="s">
        <v>354</v>
      </c>
      <c r="C175" s="44">
        <v>10</v>
      </c>
      <c r="D175" s="39" t="s">
        <v>454</v>
      </c>
      <c r="E175" s="44">
        <v>5200</v>
      </c>
      <c r="F175" s="41">
        <f>SUM(F171:F174)</f>
        <v>383.59</v>
      </c>
      <c r="G175" s="41">
        <f>SUM(G171:G174)</f>
        <v>24633.42</v>
      </c>
      <c r="H175" s="41">
        <f>SUM(H171:H174)</f>
        <v>0</v>
      </c>
      <c r="I175" s="41">
        <f>SUM(I171:I174)</f>
        <v>0</v>
      </c>
      <c r="J175" s="41">
        <f>SUM(J171:J174)</f>
        <v>0</v>
      </c>
      <c r="K175" s="45" t="s">
        <v>312</v>
      </c>
      <c r="L175" s="45" t="s">
        <v>312</v>
      </c>
      <c r="M175" s="8"/>
    </row>
    <row r="176" spans="1:13" s="3" customFormat="1" ht="12" customHeight="1" x14ac:dyDescent="0.15">
      <c r="A176" s="30" t="s">
        <v>356</v>
      </c>
      <c r="B176" s="2"/>
      <c r="C176" s="6"/>
      <c r="D176" s="6"/>
      <c r="E176" s="6"/>
      <c r="F176" s="24" t="s">
        <v>312</v>
      </c>
      <c r="G176" s="24" t="s">
        <v>312</v>
      </c>
      <c r="H176" s="24" t="s">
        <v>312</v>
      </c>
      <c r="I176" s="24" t="s">
        <v>312</v>
      </c>
      <c r="J176" s="24" t="s">
        <v>312</v>
      </c>
      <c r="K176" s="24" t="s">
        <v>312</v>
      </c>
      <c r="L176" s="24" t="s">
        <v>312</v>
      </c>
      <c r="M176" s="8"/>
    </row>
    <row r="177" spans="1:13" s="3" customFormat="1" ht="12" customHeight="1" x14ac:dyDescent="0.15">
      <c r="A177" s="1" t="s">
        <v>554</v>
      </c>
      <c r="B177" s="2" t="s">
        <v>354</v>
      </c>
      <c r="C177" s="6">
        <v>11</v>
      </c>
      <c r="D177" s="2" t="s">
        <v>454</v>
      </c>
      <c r="E177" s="6">
        <v>5251</v>
      </c>
      <c r="F177" s="18"/>
      <c r="G177" s="18"/>
      <c r="H177" s="18"/>
      <c r="I177" s="18"/>
      <c r="J177" s="24" t="s">
        <v>312</v>
      </c>
      <c r="K177" s="24" t="s">
        <v>312</v>
      </c>
      <c r="L177" s="24" t="s">
        <v>312</v>
      </c>
      <c r="M177" s="8"/>
    </row>
    <row r="178" spans="1:13" s="3" customFormat="1" ht="12" customHeight="1" x14ac:dyDescent="0.15">
      <c r="A178" s="1" t="s">
        <v>555</v>
      </c>
      <c r="B178" s="2" t="s">
        <v>354</v>
      </c>
      <c r="C178" s="6">
        <v>12</v>
      </c>
      <c r="D178" s="2" t="s">
        <v>454</v>
      </c>
      <c r="E178" s="6">
        <v>5252</v>
      </c>
      <c r="F178" s="18"/>
      <c r="G178" s="18"/>
      <c r="H178" s="18"/>
      <c r="I178" s="18"/>
      <c r="J178" s="24" t="s">
        <v>312</v>
      </c>
      <c r="K178" s="24" t="s">
        <v>312</v>
      </c>
      <c r="L178" s="24" t="s">
        <v>312</v>
      </c>
      <c r="M178" s="8"/>
    </row>
    <row r="179" spans="1:13" s="3" customFormat="1" ht="12" customHeight="1" thickBot="1" x14ac:dyDescent="0.2">
      <c r="A179" s="1" t="s">
        <v>556</v>
      </c>
      <c r="B179" s="2" t="s">
        <v>354</v>
      </c>
      <c r="C179" s="6">
        <v>13</v>
      </c>
      <c r="D179" s="2" t="s">
        <v>454</v>
      </c>
      <c r="E179" s="6">
        <v>5253</v>
      </c>
      <c r="F179" s="18"/>
      <c r="G179" s="18"/>
      <c r="H179" s="18"/>
      <c r="I179" s="18"/>
      <c r="J179" s="24" t="s">
        <v>312</v>
      </c>
      <c r="K179" s="24" t="s">
        <v>312</v>
      </c>
      <c r="L179" s="24" t="s">
        <v>312</v>
      </c>
      <c r="M179" s="8"/>
    </row>
    <row r="180" spans="1:13" s="3" customFormat="1" ht="12" customHeight="1" thickTop="1" x14ac:dyDescent="0.15">
      <c r="A180" s="38" t="s">
        <v>441</v>
      </c>
      <c r="B180" s="39" t="s">
        <v>354</v>
      </c>
      <c r="C180" s="40">
        <v>14</v>
      </c>
      <c r="D180" s="39" t="s">
        <v>454</v>
      </c>
      <c r="E180" s="44">
        <v>5250</v>
      </c>
      <c r="F180" s="41">
        <f>SUM(F177:F179)</f>
        <v>0</v>
      </c>
      <c r="G180" s="41">
        <f>SUM(G177:G179)</f>
        <v>0</v>
      </c>
      <c r="H180" s="41">
        <f>SUM(H177:H179)</f>
        <v>0</v>
      </c>
      <c r="I180" s="41">
        <f>SUM(I177:I179)</f>
        <v>0</v>
      </c>
      <c r="J180" s="45" t="s">
        <v>312</v>
      </c>
      <c r="K180" s="45" t="s">
        <v>312</v>
      </c>
      <c r="L180" s="45" t="s">
        <v>312</v>
      </c>
      <c r="M180" s="8"/>
    </row>
    <row r="181" spans="1:13" ht="12" customHeight="1" x14ac:dyDescent="0.2">
      <c r="A181" s="3" t="s">
        <v>357</v>
      </c>
      <c r="B181" s="2" t="s">
        <v>354</v>
      </c>
      <c r="C181" s="6">
        <v>15</v>
      </c>
      <c r="D181" s="2" t="s">
        <v>454</v>
      </c>
      <c r="E181" s="6">
        <v>5300</v>
      </c>
      <c r="F181" s="18"/>
      <c r="G181" s="18"/>
      <c r="H181" s="18"/>
      <c r="I181" s="18"/>
      <c r="J181" s="24" t="s">
        <v>312</v>
      </c>
      <c r="K181" s="24" t="s">
        <v>312</v>
      </c>
      <c r="L181" s="24" t="s">
        <v>312</v>
      </c>
    </row>
    <row r="182" spans="1:13" ht="12" customHeight="1" x14ac:dyDescent="0.2">
      <c r="A182" s="3" t="s">
        <v>358</v>
      </c>
      <c r="B182" s="2" t="s">
        <v>354</v>
      </c>
      <c r="C182" s="6">
        <v>16</v>
      </c>
      <c r="D182" s="2" t="s">
        <v>454</v>
      </c>
      <c r="E182" s="6">
        <v>5500</v>
      </c>
      <c r="F182" s="18"/>
      <c r="G182" s="18"/>
      <c r="H182" s="18"/>
      <c r="I182" s="18"/>
      <c r="J182" s="24" t="s">
        <v>312</v>
      </c>
      <c r="K182" s="24" t="s">
        <v>312</v>
      </c>
      <c r="L182" s="24" t="s">
        <v>312</v>
      </c>
    </row>
    <row r="183" spans="1:13" s="3" customFormat="1" ht="12" customHeight="1" thickBot="1" x14ac:dyDescent="0.2">
      <c r="A183" s="1" t="s">
        <v>359</v>
      </c>
      <c r="B183" s="2" t="s">
        <v>354</v>
      </c>
      <c r="C183" s="6">
        <v>17</v>
      </c>
      <c r="D183" s="2" t="s">
        <v>454</v>
      </c>
      <c r="E183" s="6">
        <v>5600</v>
      </c>
      <c r="F183" s="18"/>
      <c r="G183" s="18"/>
      <c r="H183" s="18"/>
      <c r="I183" s="18"/>
      <c r="J183" s="24" t="s">
        <v>312</v>
      </c>
      <c r="K183" s="24" t="s">
        <v>312</v>
      </c>
      <c r="L183" s="24" t="s">
        <v>312</v>
      </c>
      <c r="M183" s="8"/>
    </row>
    <row r="184" spans="1:13" s="3" customFormat="1" ht="12" customHeight="1" thickTop="1" thickBot="1" x14ac:dyDescent="0.25">
      <c r="A184" s="38" t="s">
        <v>442</v>
      </c>
      <c r="B184" s="39" t="s">
        <v>354</v>
      </c>
      <c r="C184" s="40">
        <v>18</v>
      </c>
      <c r="D184" s="156" t="s">
        <v>454</v>
      </c>
      <c r="E184" s="51">
        <v>5000</v>
      </c>
      <c r="F184" s="41">
        <f>F169+F175+SUM(F180:F183)</f>
        <v>383.59</v>
      </c>
      <c r="G184" s="41">
        <f>G175+SUM(G180:G183)</f>
        <v>24633.42</v>
      </c>
      <c r="H184" s="41">
        <f>+H175+SUM(H180:H183)</f>
        <v>0</v>
      </c>
      <c r="I184" s="41">
        <f>I169+I175+SUM(I180:I183)</f>
        <v>0</v>
      </c>
      <c r="J184" s="41">
        <f>J175</f>
        <v>0</v>
      </c>
      <c r="K184" s="45" t="s">
        <v>312</v>
      </c>
      <c r="L184" s="45" t="s">
        <v>312</v>
      </c>
      <c r="M184" s="8"/>
    </row>
    <row r="185" spans="1:13" s="3" customFormat="1" ht="12" customHeight="1" thickTop="1" x14ac:dyDescent="0.2">
      <c r="A185" s="46" t="s">
        <v>481</v>
      </c>
      <c r="B185" s="39" t="s">
        <v>354</v>
      </c>
      <c r="C185" s="40">
        <v>19</v>
      </c>
      <c r="D185" s="157" t="s">
        <v>454</v>
      </c>
      <c r="E185" s="44"/>
      <c r="F185" s="47">
        <f>F104+F132+F161+F184</f>
        <v>1933109.8400000003</v>
      </c>
      <c r="G185" s="47">
        <f>G104+G132+G161+G184</f>
        <v>52183.26</v>
      </c>
      <c r="H185" s="47">
        <f>H104+H132+H161+H184</f>
        <v>79689.02</v>
      </c>
      <c r="I185" s="47">
        <f>I104+I132+I161+I184</f>
        <v>0</v>
      </c>
      <c r="J185" s="47">
        <f>J104+J132+J184</f>
        <v>80.790000000000006</v>
      </c>
      <c r="K185" s="45" t="s">
        <v>312</v>
      </c>
      <c r="L185" s="45" t="s">
        <v>312</v>
      </c>
      <c r="M185" s="8"/>
    </row>
    <row r="186" spans="1:13" s="3" customFormat="1" ht="12" customHeight="1" x14ac:dyDescent="0.15">
      <c r="A186" s="55" t="s">
        <v>489</v>
      </c>
      <c r="B186" s="36"/>
      <c r="C186" s="58"/>
      <c r="D186" s="58"/>
      <c r="E186" s="58"/>
      <c r="F186" s="177" t="s">
        <v>724</v>
      </c>
      <c r="G186" s="177" t="s">
        <v>725</v>
      </c>
      <c r="H186" s="177" t="s">
        <v>726</v>
      </c>
      <c r="I186" s="177" t="s">
        <v>727</v>
      </c>
      <c r="J186" s="177" t="s">
        <v>728</v>
      </c>
      <c r="K186" s="177" t="s">
        <v>729</v>
      </c>
      <c r="L186" s="56"/>
      <c r="M186" s="8"/>
    </row>
    <row r="187" spans="1:13" s="3" customFormat="1" ht="12" customHeight="1" x14ac:dyDescent="0.15">
      <c r="A187" s="29" t="s">
        <v>475</v>
      </c>
      <c r="F187" s="103" t="s">
        <v>54</v>
      </c>
      <c r="G187" s="103" t="s">
        <v>55</v>
      </c>
      <c r="H187" s="103" t="s">
        <v>56</v>
      </c>
      <c r="I187" s="103" t="s">
        <v>57</v>
      </c>
      <c r="J187" s="103" t="s">
        <v>58</v>
      </c>
      <c r="K187" s="103" t="s">
        <v>59</v>
      </c>
      <c r="L187" s="103" t="s">
        <v>5</v>
      </c>
      <c r="M187" s="8"/>
    </row>
    <row r="188" spans="1:13" s="3" customFormat="1" ht="12" customHeight="1" x14ac:dyDescent="0.15">
      <c r="A188" s="30" t="s">
        <v>557</v>
      </c>
      <c r="F188" s="24" t="s">
        <v>312</v>
      </c>
      <c r="G188" s="24" t="s">
        <v>312</v>
      </c>
      <c r="H188" s="24" t="s">
        <v>312</v>
      </c>
      <c r="I188" s="24" t="s">
        <v>312</v>
      </c>
      <c r="J188" s="24" t="s">
        <v>312</v>
      </c>
      <c r="K188" s="24" t="s">
        <v>312</v>
      </c>
      <c r="L188" s="24" t="s">
        <v>312</v>
      </c>
      <c r="M188" s="8"/>
    </row>
    <row r="189" spans="1:13" s="3" customFormat="1" ht="12" customHeight="1" x14ac:dyDescent="0.15">
      <c r="A189" s="1" t="s">
        <v>462</v>
      </c>
      <c r="B189" s="2" t="s">
        <v>365</v>
      </c>
      <c r="C189" s="2" t="s">
        <v>314</v>
      </c>
      <c r="D189" s="2" t="s">
        <v>455</v>
      </c>
      <c r="E189" s="6">
        <v>1100</v>
      </c>
      <c r="F189" s="18">
        <v>262516.71999999997</v>
      </c>
      <c r="G189" s="18">
        <v>78615.47</v>
      </c>
      <c r="H189" s="18">
        <f>45071.49+2465.4</f>
        <v>47536.89</v>
      </c>
      <c r="I189" s="18">
        <v>17096.97</v>
      </c>
      <c r="J189" s="18">
        <v>0</v>
      </c>
      <c r="K189" s="18">
        <v>688</v>
      </c>
      <c r="L189" s="19">
        <f>SUM(F189:K189)</f>
        <v>406454.04999999993</v>
      </c>
      <c r="M189" s="8"/>
    </row>
    <row r="190" spans="1:13" s="3" customFormat="1" ht="12" customHeight="1" x14ac:dyDescent="0.15">
      <c r="A190" s="1" t="s">
        <v>463</v>
      </c>
      <c r="B190" s="2" t="s">
        <v>365</v>
      </c>
      <c r="C190" s="2" t="s">
        <v>315</v>
      </c>
      <c r="D190" s="2" t="s">
        <v>455</v>
      </c>
      <c r="E190" s="6">
        <v>1200</v>
      </c>
      <c r="F190" s="18">
        <v>37413.19</v>
      </c>
      <c r="G190" s="18">
        <v>11660.6</v>
      </c>
      <c r="H190" s="18">
        <f>4217.5+86061.54</f>
        <v>90279.039999999994</v>
      </c>
      <c r="I190" s="18">
        <v>1587.1</v>
      </c>
      <c r="J190" s="18">
        <v>0</v>
      </c>
      <c r="K190" s="18">
        <v>0</v>
      </c>
      <c r="L190" s="19">
        <f>SUM(F190:K190)</f>
        <v>140939.93</v>
      </c>
      <c r="M190" s="8"/>
    </row>
    <row r="191" spans="1:13" s="3" customFormat="1" ht="12" customHeight="1" x14ac:dyDescent="0.15">
      <c r="A191" s="1" t="s">
        <v>464</v>
      </c>
      <c r="B191" s="2" t="s">
        <v>365</v>
      </c>
      <c r="C191" s="2" t="s">
        <v>316</v>
      </c>
      <c r="D191" s="2" t="s">
        <v>455</v>
      </c>
      <c r="E191" s="6">
        <v>1300</v>
      </c>
      <c r="F191" s="18">
        <v>0</v>
      </c>
      <c r="G191" s="18">
        <v>0</v>
      </c>
      <c r="H191" s="18">
        <v>0</v>
      </c>
      <c r="I191" s="18">
        <v>0</v>
      </c>
      <c r="J191" s="18">
        <v>0</v>
      </c>
      <c r="K191" s="18">
        <v>0</v>
      </c>
      <c r="L191" s="19">
        <f>SUM(F191:K191)</f>
        <v>0</v>
      </c>
      <c r="M191" s="8"/>
    </row>
    <row r="192" spans="1:13" s="3" customFormat="1" ht="12" customHeight="1" x14ac:dyDescent="0.15">
      <c r="A192" s="1" t="s">
        <v>465</v>
      </c>
      <c r="B192" s="2" t="s">
        <v>365</v>
      </c>
      <c r="C192" s="2" t="s">
        <v>317</v>
      </c>
      <c r="D192" s="2" t="s">
        <v>455</v>
      </c>
      <c r="E192" s="6">
        <v>1400</v>
      </c>
      <c r="F192" s="18">
        <v>3925</v>
      </c>
      <c r="G192" s="18">
        <v>548.88</v>
      </c>
      <c r="H192" s="18">
        <v>195</v>
      </c>
      <c r="I192" s="18">
        <v>56.55</v>
      </c>
      <c r="J192" s="18">
        <v>0</v>
      </c>
      <c r="K192" s="18">
        <v>176.75</v>
      </c>
      <c r="L192" s="19">
        <f>SUM(F192:K192)</f>
        <v>4902.18</v>
      </c>
      <c r="M192" s="8"/>
    </row>
    <row r="193" spans="1:13" s="3" customFormat="1" ht="12" customHeight="1" x14ac:dyDescent="0.15">
      <c r="A193" s="30" t="s">
        <v>366</v>
      </c>
      <c r="E193" s="6"/>
      <c r="F193" s="24" t="s">
        <v>312</v>
      </c>
      <c r="G193" s="24" t="s">
        <v>312</v>
      </c>
      <c r="H193" s="24" t="s">
        <v>312</v>
      </c>
      <c r="I193" s="24" t="s">
        <v>312</v>
      </c>
      <c r="J193" s="24" t="s">
        <v>312</v>
      </c>
      <c r="K193" s="24" t="s">
        <v>312</v>
      </c>
      <c r="L193" s="24" t="s">
        <v>312</v>
      </c>
      <c r="M193" s="8"/>
    </row>
    <row r="194" spans="1:13" s="3" customFormat="1" ht="12" customHeight="1" x14ac:dyDescent="0.15">
      <c r="A194" s="1" t="s">
        <v>466</v>
      </c>
      <c r="B194" s="2" t="s">
        <v>365</v>
      </c>
      <c r="C194" s="2" t="s">
        <v>318</v>
      </c>
      <c r="D194" s="2" t="s">
        <v>455</v>
      </c>
      <c r="E194" s="6">
        <v>2100</v>
      </c>
      <c r="F194" s="18">
        <v>9074.25</v>
      </c>
      <c r="G194" s="18">
        <v>1219.18</v>
      </c>
      <c r="H194" s="18">
        <f>27355.28+337.5</f>
        <v>27692.78</v>
      </c>
      <c r="I194" s="18">
        <v>865.27</v>
      </c>
      <c r="J194" s="18">
        <v>0</v>
      </c>
      <c r="K194" s="18">
        <v>276</v>
      </c>
      <c r="L194" s="19">
        <f t="shared" ref="L194:L200" si="0">SUM(F194:K194)</f>
        <v>39127.479999999996</v>
      </c>
      <c r="M194" s="8"/>
    </row>
    <row r="195" spans="1:13" s="3" customFormat="1" ht="12" customHeight="1" x14ac:dyDescent="0.15">
      <c r="A195" s="1" t="s">
        <v>467</v>
      </c>
      <c r="B195" s="2" t="s">
        <v>365</v>
      </c>
      <c r="C195" s="2" t="s">
        <v>319</v>
      </c>
      <c r="D195" s="2" t="s">
        <v>455</v>
      </c>
      <c r="E195" s="6">
        <v>2200</v>
      </c>
      <c r="F195" s="18">
        <v>1675</v>
      </c>
      <c r="G195" s="18">
        <v>296.45999999999998</v>
      </c>
      <c r="H195" s="18">
        <v>18114.57</v>
      </c>
      <c r="I195" s="18">
        <v>44.36</v>
      </c>
      <c r="J195" s="18">
        <v>0</v>
      </c>
      <c r="K195" s="18">
        <v>0</v>
      </c>
      <c r="L195" s="19">
        <f t="shared" si="0"/>
        <v>20130.39</v>
      </c>
      <c r="M195" s="8"/>
    </row>
    <row r="196" spans="1:13" s="3" customFormat="1" ht="12" customHeight="1" x14ac:dyDescent="0.15">
      <c r="A196" s="1" t="s">
        <v>468</v>
      </c>
      <c r="B196" s="2" t="s">
        <v>365</v>
      </c>
      <c r="C196" s="2" t="s">
        <v>320</v>
      </c>
      <c r="D196" s="2" t="s">
        <v>455</v>
      </c>
      <c r="E196" s="6">
        <v>2300</v>
      </c>
      <c r="F196" s="18">
        <v>1379.7</v>
      </c>
      <c r="G196" s="18">
        <v>113.6</v>
      </c>
      <c r="H196" s="18">
        <f>48424.79+1896.87</f>
        <v>50321.66</v>
      </c>
      <c r="I196" s="18">
        <v>250.2</v>
      </c>
      <c r="J196" s="18">
        <v>0</v>
      </c>
      <c r="K196" s="18">
        <v>1273.45</v>
      </c>
      <c r="L196" s="19">
        <f t="shared" si="0"/>
        <v>53338.61</v>
      </c>
      <c r="M196" s="8"/>
    </row>
    <row r="197" spans="1:13" s="3" customFormat="1" ht="12" customHeight="1" x14ac:dyDescent="0.15">
      <c r="A197" s="1" t="s">
        <v>469</v>
      </c>
      <c r="B197" s="2" t="s">
        <v>365</v>
      </c>
      <c r="C197" s="2" t="s">
        <v>321</v>
      </c>
      <c r="D197" s="2" t="s">
        <v>455</v>
      </c>
      <c r="E197" s="6">
        <v>2400</v>
      </c>
      <c r="F197" s="18">
        <v>75127.960000000006</v>
      </c>
      <c r="G197" s="18">
        <v>20312.07</v>
      </c>
      <c r="H197" s="18">
        <v>5489.4</v>
      </c>
      <c r="I197" s="18">
        <v>3770.42</v>
      </c>
      <c r="J197" s="18">
        <v>129.94999999999999</v>
      </c>
      <c r="K197" s="18">
        <v>990</v>
      </c>
      <c r="L197" s="19">
        <f t="shared" si="0"/>
        <v>105819.79999999999</v>
      </c>
      <c r="M197" s="8"/>
    </row>
    <row r="198" spans="1:13" s="3" customFormat="1" ht="12" customHeight="1" x14ac:dyDescent="0.15">
      <c r="A198" s="1" t="s">
        <v>470</v>
      </c>
      <c r="B198" s="2" t="s">
        <v>365</v>
      </c>
      <c r="C198" s="2" t="s">
        <v>322</v>
      </c>
      <c r="D198" s="2" t="s">
        <v>455</v>
      </c>
      <c r="E198" s="6">
        <v>2500</v>
      </c>
      <c r="F198" s="18">
        <v>0</v>
      </c>
      <c r="G198" s="18">
        <v>0</v>
      </c>
      <c r="H198" s="18">
        <v>0</v>
      </c>
      <c r="I198" s="18">
        <v>0</v>
      </c>
      <c r="J198" s="18">
        <v>0</v>
      </c>
      <c r="K198" s="18">
        <v>0</v>
      </c>
      <c r="L198" s="19">
        <f t="shared" si="0"/>
        <v>0</v>
      </c>
      <c r="M198" s="8"/>
    </row>
    <row r="199" spans="1:13" s="3" customFormat="1" ht="12" customHeight="1" x14ac:dyDescent="0.15">
      <c r="A199" s="1" t="s">
        <v>471</v>
      </c>
      <c r="B199" s="2" t="s">
        <v>365</v>
      </c>
      <c r="C199" s="2" t="s">
        <v>323</v>
      </c>
      <c r="D199" s="2" t="s">
        <v>455</v>
      </c>
      <c r="E199" s="6">
        <v>2600</v>
      </c>
      <c r="F199" s="18">
        <v>24835.85</v>
      </c>
      <c r="G199" s="18">
        <v>11061.96</v>
      </c>
      <c r="H199" s="18">
        <f>23553.29+788</f>
        <v>24341.29</v>
      </c>
      <c r="I199" s="18">
        <v>41798.25</v>
      </c>
      <c r="J199" s="18">
        <v>3232.85</v>
      </c>
      <c r="K199" s="18">
        <v>0</v>
      </c>
      <c r="L199" s="19">
        <f t="shared" si="0"/>
        <v>105270.20000000001</v>
      </c>
      <c r="M199" s="8"/>
    </row>
    <row r="200" spans="1:13" s="3" customFormat="1" ht="12" customHeight="1" x14ac:dyDescent="0.15">
      <c r="A200" s="1" t="s">
        <v>472</v>
      </c>
      <c r="B200" s="2" t="s">
        <v>365</v>
      </c>
      <c r="C200" s="2" t="s">
        <v>324</v>
      </c>
      <c r="D200" s="2" t="s">
        <v>455</v>
      </c>
      <c r="E200" s="6">
        <v>2700</v>
      </c>
      <c r="F200" s="18">
        <v>0</v>
      </c>
      <c r="G200" s="18">
        <v>0</v>
      </c>
      <c r="H200" s="18">
        <v>53945.88</v>
      </c>
      <c r="I200" s="18">
        <v>107.5</v>
      </c>
      <c r="J200" s="18">
        <v>0</v>
      </c>
      <c r="K200" s="18">
        <v>0</v>
      </c>
      <c r="L200" s="19">
        <f t="shared" si="0"/>
        <v>54053.38</v>
      </c>
      <c r="M200" s="8"/>
    </row>
    <row r="201" spans="1:13" s="3" customFormat="1" ht="12" customHeight="1" x14ac:dyDescent="0.15">
      <c r="A201" s="1" t="s">
        <v>473</v>
      </c>
      <c r="B201" s="2" t="s">
        <v>365</v>
      </c>
      <c r="C201" s="2" t="s">
        <v>367</v>
      </c>
      <c r="D201" s="2" t="s">
        <v>455</v>
      </c>
      <c r="E201" s="6">
        <v>2800</v>
      </c>
      <c r="F201" s="18">
        <v>0</v>
      </c>
      <c r="G201" s="18">
        <v>0</v>
      </c>
      <c r="H201" s="18">
        <f>4200+366.24</f>
        <v>4566.24</v>
      </c>
      <c r="I201" s="18">
        <v>0</v>
      </c>
      <c r="J201" s="18">
        <v>0</v>
      </c>
      <c r="K201" s="18">
        <v>0</v>
      </c>
      <c r="L201" s="19">
        <f>SUM(F201:K201)</f>
        <v>4566.24</v>
      </c>
      <c r="M201" s="8"/>
    </row>
    <row r="202" spans="1:13" s="3" customFormat="1" ht="12" customHeight="1" thickBot="1" x14ac:dyDescent="0.2">
      <c r="A202" s="1" t="s">
        <v>474</v>
      </c>
      <c r="B202" s="2" t="s">
        <v>365</v>
      </c>
      <c r="C202" s="2" t="s">
        <v>368</v>
      </c>
      <c r="D202" s="2" t="s">
        <v>455</v>
      </c>
      <c r="E202" s="6">
        <v>2900</v>
      </c>
      <c r="F202" s="24" t="s">
        <v>312</v>
      </c>
      <c r="G202" s="24" t="s">
        <v>312</v>
      </c>
      <c r="H202" s="24" t="s">
        <v>312</v>
      </c>
      <c r="I202" s="24" t="s">
        <v>312</v>
      </c>
      <c r="J202" s="24" t="s">
        <v>312</v>
      </c>
      <c r="K202" s="24" t="s">
        <v>312</v>
      </c>
      <c r="L202" s="24" t="s">
        <v>312</v>
      </c>
      <c r="M202" s="8"/>
    </row>
    <row r="203" spans="1:13" s="3" customFormat="1" ht="12" customHeight="1" thickTop="1" x14ac:dyDescent="0.15">
      <c r="A203" s="38" t="s">
        <v>443</v>
      </c>
      <c r="B203" s="39" t="s">
        <v>365</v>
      </c>
      <c r="C203" s="39" t="s">
        <v>369</v>
      </c>
      <c r="D203" s="39" t="s">
        <v>455</v>
      </c>
      <c r="E203" s="39"/>
      <c r="F203" s="41">
        <f t="shared" ref="F203:L203" si="1">SUM(F189:F202)</f>
        <v>415947.67</v>
      </c>
      <c r="G203" s="41">
        <f t="shared" si="1"/>
        <v>123828.22</v>
      </c>
      <c r="H203" s="41">
        <f t="shared" si="1"/>
        <v>322482.75</v>
      </c>
      <c r="I203" s="41">
        <f t="shared" si="1"/>
        <v>65576.62</v>
      </c>
      <c r="J203" s="41">
        <f t="shared" si="1"/>
        <v>3362.7999999999997</v>
      </c>
      <c r="K203" s="41">
        <f t="shared" si="1"/>
        <v>3404.2</v>
      </c>
      <c r="L203" s="41">
        <f t="shared" si="1"/>
        <v>934602.25999999989</v>
      </c>
      <c r="M203" s="8"/>
    </row>
    <row r="204" spans="1:13" s="3" customFormat="1" ht="12" customHeight="1" x14ac:dyDescent="0.15">
      <c r="A204" s="55" t="s">
        <v>489</v>
      </c>
      <c r="B204" s="36"/>
      <c r="C204" s="36"/>
      <c r="D204" s="36"/>
      <c r="E204" s="36"/>
      <c r="F204" s="177" t="s">
        <v>724</v>
      </c>
      <c r="G204" s="177" t="s">
        <v>725</v>
      </c>
      <c r="H204" s="177" t="s">
        <v>726</v>
      </c>
      <c r="I204" s="177" t="s">
        <v>727</v>
      </c>
      <c r="J204" s="177" t="s">
        <v>728</v>
      </c>
      <c r="K204" s="177" t="s">
        <v>729</v>
      </c>
      <c r="L204" s="67"/>
      <c r="M204" s="8"/>
    </row>
    <row r="205" spans="1:13" s="3" customFormat="1" ht="12" customHeight="1" x14ac:dyDescent="0.15">
      <c r="A205" s="29" t="s">
        <v>476</v>
      </c>
      <c r="B205" s="7"/>
      <c r="C205" s="7"/>
      <c r="D205" s="7"/>
      <c r="E205" s="7"/>
      <c r="F205" s="103" t="s">
        <v>54</v>
      </c>
      <c r="G205" s="103" t="s">
        <v>55</v>
      </c>
      <c r="H205" s="103" t="s">
        <v>56</v>
      </c>
      <c r="I205" s="103" t="s">
        <v>57</v>
      </c>
      <c r="J205" s="103" t="s">
        <v>58</v>
      </c>
      <c r="K205" s="103" t="s">
        <v>59</v>
      </c>
      <c r="L205" s="103" t="s">
        <v>5</v>
      </c>
      <c r="M205" s="8"/>
    </row>
    <row r="206" spans="1:13" s="3" customFormat="1" ht="12" customHeight="1" x14ac:dyDescent="0.15">
      <c r="A206" s="30" t="s">
        <v>557</v>
      </c>
      <c r="F206" s="24" t="s">
        <v>312</v>
      </c>
      <c r="G206" s="24" t="s">
        <v>312</v>
      </c>
      <c r="H206" s="24" t="s">
        <v>312</v>
      </c>
      <c r="I206" s="24" t="s">
        <v>312</v>
      </c>
      <c r="J206" s="24" t="s">
        <v>312</v>
      </c>
      <c r="K206" s="24" t="s">
        <v>312</v>
      </c>
      <c r="L206" s="24" t="s">
        <v>312</v>
      </c>
      <c r="M206" s="8"/>
    </row>
    <row r="207" spans="1:13" s="3" customFormat="1" ht="12" customHeight="1" x14ac:dyDescent="0.15">
      <c r="A207" s="1" t="s">
        <v>462</v>
      </c>
      <c r="B207" s="2" t="s">
        <v>370</v>
      </c>
      <c r="C207" s="2" t="s">
        <v>314</v>
      </c>
      <c r="D207" s="2" t="s">
        <v>455</v>
      </c>
      <c r="E207" s="6">
        <v>1100</v>
      </c>
      <c r="F207" s="18"/>
      <c r="G207" s="18"/>
      <c r="H207" s="18">
        <v>247903.7</v>
      </c>
      <c r="I207" s="18"/>
      <c r="J207" s="18"/>
      <c r="K207" s="18"/>
      <c r="L207" s="19">
        <f>SUM(F207:K207)</f>
        <v>247903.7</v>
      </c>
      <c r="M207" s="8"/>
    </row>
    <row r="208" spans="1:13" s="3" customFormat="1" ht="12" customHeight="1" x14ac:dyDescent="0.15">
      <c r="A208" s="1" t="s">
        <v>463</v>
      </c>
      <c r="B208" s="2" t="s">
        <v>370</v>
      </c>
      <c r="C208" s="2" t="s">
        <v>315</v>
      </c>
      <c r="D208" s="2" t="s">
        <v>455</v>
      </c>
      <c r="E208" s="6">
        <v>1200</v>
      </c>
      <c r="F208" s="18"/>
      <c r="G208" s="18"/>
      <c r="H208" s="18">
        <v>5572.42</v>
      </c>
      <c r="I208" s="18"/>
      <c r="J208" s="18"/>
      <c r="K208" s="18"/>
      <c r="L208" s="19">
        <f>SUM(F208:K208)</f>
        <v>5572.42</v>
      </c>
      <c r="M208" s="8"/>
    </row>
    <row r="209" spans="1:13" s="3" customFormat="1" ht="12" customHeight="1" x14ac:dyDescent="0.15">
      <c r="A209" s="1" t="s">
        <v>464</v>
      </c>
      <c r="B209" s="2" t="s">
        <v>370</v>
      </c>
      <c r="C209" s="2" t="s">
        <v>316</v>
      </c>
      <c r="D209" s="2" t="s">
        <v>455</v>
      </c>
      <c r="E209" s="6">
        <v>1300</v>
      </c>
      <c r="F209" s="18"/>
      <c r="G209" s="18"/>
      <c r="H209" s="18">
        <v>0</v>
      </c>
      <c r="I209" s="18"/>
      <c r="J209" s="18"/>
      <c r="K209" s="18"/>
      <c r="L209" s="19">
        <f>SUM(F209:K209)</f>
        <v>0</v>
      </c>
      <c r="M209" s="8"/>
    </row>
    <row r="210" spans="1:13" s="3" customFormat="1" ht="12" customHeight="1" x14ac:dyDescent="0.15">
      <c r="A210" s="1" t="s">
        <v>465</v>
      </c>
      <c r="B210" s="2" t="s">
        <v>370</v>
      </c>
      <c r="C210" s="2" t="s">
        <v>317</v>
      </c>
      <c r="D210" s="2" t="s">
        <v>455</v>
      </c>
      <c r="E210" s="6">
        <v>1400</v>
      </c>
      <c r="F210" s="18"/>
      <c r="G210" s="18"/>
      <c r="H210" s="18">
        <v>1061.8</v>
      </c>
      <c r="I210" s="18"/>
      <c r="J210" s="18"/>
      <c r="K210" s="18"/>
      <c r="L210" s="19">
        <f>SUM(F210:K210)</f>
        <v>1061.8</v>
      </c>
      <c r="M210" s="8"/>
    </row>
    <row r="211" spans="1:13" s="3" customFormat="1" ht="12" customHeight="1" x14ac:dyDescent="0.15">
      <c r="A211" s="30" t="s">
        <v>366</v>
      </c>
      <c r="B211" s="1" t="s">
        <v>325</v>
      </c>
      <c r="E211" s="6"/>
      <c r="F211" s="24" t="s">
        <v>312</v>
      </c>
      <c r="G211" s="24" t="s">
        <v>312</v>
      </c>
      <c r="H211" s="24" t="s">
        <v>312</v>
      </c>
      <c r="I211" s="24" t="s">
        <v>312</v>
      </c>
      <c r="J211" s="24" t="s">
        <v>312</v>
      </c>
      <c r="K211" s="24" t="s">
        <v>312</v>
      </c>
      <c r="L211" s="24" t="s">
        <v>312</v>
      </c>
      <c r="M211" s="8"/>
    </row>
    <row r="212" spans="1:13" s="3" customFormat="1" ht="12" customHeight="1" x14ac:dyDescent="0.15">
      <c r="A212" s="1" t="s">
        <v>466</v>
      </c>
      <c r="B212" s="2" t="s">
        <v>370</v>
      </c>
      <c r="C212" s="2" t="s">
        <v>318</v>
      </c>
      <c r="D212" s="2" t="s">
        <v>455</v>
      </c>
      <c r="E212" s="6">
        <v>2100</v>
      </c>
      <c r="F212" s="18">
        <v>0</v>
      </c>
      <c r="G212" s="18">
        <v>0</v>
      </c>
      <c r="H212" s="18">
        <v>0</v>
      </c>
      <c r="I212" s="18">
        <v>0</v>
      </c>
      <c r="J212" s="18">
        <v>0</v>
      </c>
      <c r="K212" s="18">
        <v>0</v>
      </c>
      <c r="L212" s="19">
        <f t="shared" ref="L212:L218" si="2">SUM(F212:K212)</f>
        <v>0</v>
      </c>
      <c r="M212" s="8"/>
    </row>
    <row r="213" spans="1:13" s="3" customFormat="1" ht="12" customHeight="1" x14ac:dyDescent="0.15">
      <c r="A213" s="1" t="s">
        <v>467</v>
      </c>
      <c r="B213" s="2" t="s">
        <v>370</v>
      </c>
      <c r="C213" s="2" t="s">
        <v>319</v>
      </c>
      <c r="D213" s="2" t="s">
        <v>455</v>
      </c>
      <c r="E213" s="6">
        <v>2200</v>
      </c>
      <c r="F213" s="18">
        <v>0</v>
      </c>
      <c r="G213" s="18">
        <v>0</v>
      </c>
      <c r="H213" s="18">
        <v>0</v>
      </c>
      <c r="I213" s="18">
        <v>0</v>
      </c>
      <c r="J213" s="18">
        <v>0</v>
      </c>
      <c r="K213" s="18">
        <v>0</v>
      </c>
      <c r="L213" s="19">
        <f t="shared" si="2"/>
        <v>0</v>
      </c>
      <c r="M213" s="8"/>
    </row>
    <row r="214" spans="1:13" s="3" customFormat="1" ht="12" customHeight="1" x14ac:dyDescent="0.15">
      <c r="A214" s="1" t="s">
        <v>468</v>
      </c>
      <c r="B214" s="2" t="s">
        <v>370</v>
      </c>
      <c r="C214" s="2" t="s">
        <v>320</v>
      </c>
      <c r="D214" s="2" t="s">
        <v>455</v>
      </c>
      <c r="E214" s="6">
        <v>2300</v>
      </c>
      <c r="F214" s="18">
        <v>468.08</v>
      </c>
      <c r="G214" s="18">
        <v>38.81</v>
      </c>
      <c r="H214" s="18">
        <f>16609.46+658.46</f>
        <v>17267.919999999998</v>
      </c>
      <c r="I214" s="18">
        <v>8.5500000000000007</v>
      </c>
      <c r="J214" s="18">
        <v>0</v>
      </c>
      <c r="K214" s="18">
        <v>432.07</v>
      </c>
      <c r="L214" s="19">
        <f t="shared" si="2"/>
        <v>18215.429999999997</v>
      </c>
      <c r="M214" s="8"/>
    </row>
    <row r="215" spans="1:13" s="3" customFormat="1" ht="12" customHeight="1" x14ac:dyDescent="0.15">
      <c r="A215" s="1" t="s">
        <v>469</v>
      </c>
      <c r="B215" s="2" t="s">
        <v>370</v>
      </c>
      <c r="C215" s="2" t="s">
        <v>321</v>
      </c>
      <c r="D215" s="2" t="s">
        <v>455</v>
      </c>
      <c r="E215" s="6">
        <v>2400</v>
      </c>
      <c r="F215" s="18">
        <v>0</v>
      </c>
      <c r="G215" s="18">
        <v>0</v>
      </c>
      <c r="H215" s="18">
        <v>0</v>
      </c>
      <c r="I215" s="18">
        <v>0</v>
      </c>
      <c r="J215" s="18">
        <v>0</v>
      </c>
      <c r="K215" s="18">
        <v>0</v>
      </c>
      <c r="L215" s="19">
        <f t="shared" si="2"/>
        <v>0</v>
      </c>
      <c r="M215" s="8"/>
    </row>
    <row r="216" spans="1:13" s="3" customFormat="1" ht="12" customHeight="1" x14ac:dyDescent="0.15">
      <c r="A216" s="1" t="s">
        <v>470</v>
      </c>
      <c r="B216" s="2" t="s">
        <v>370</v>
      </c>
      <c r="C216" s="2" t="s">
        <v>322</v>
      </c>
      <c r="D216" s="2" t="s">
        <v>455</v>
      </c>
      <c r="E216" s="6">
        <v>2500</v>
      </c>
      <c r="F216" s="18">
        <v>0</v>
      </c>
      <c r="G216" s="18">
        <v>0</v>
      </c>
      <c r="H216" s="18">
        <v>0</v>
      </c>
      <c r="I216" s="18">
        <v>0</v>
      </c>
      <c r="J216" s="18">
        <v>0</v>
      </c>
      <c r="K216" s="18">
        <v>0</v>
      </c>
      <c r="L216" s="19">
        <f t="shared" si="2"/>
        <v>0</v>
      </c>
      <c r="M216" s="8"/>
    </row>
    <row r="217" spans="1:13" s="3" customFormat="1" ht="12" customHeight="1" x14ac:dyDescent="0.15">
      <c r="A217" s="1" t="s">
        <v>471</v>
      </c>
      <c r="B217" s="2" t="s">
        <v>370</v>
      </c>
      <c r="C217" s="2" t="s">
        <v>323</v>
      </c>
      <c r="D217" s="2" t="s">
        <v>455</v>
      </c>
      <c r="E217" s="6">
        <v>2600</v>
      </c>
      <c r="F217" s="18">
        <v>0</v>
      </c>
      <c r="G217" s="18">
        <v>0</v>
      </c>
      <c r="H217" s="18">
        <v>0</v>
      </c>
      <c r="I217" s="18">
        <v>0</v>
      </c>
      <c r="J217" s="18">
        <v>0</v>
      </c>
      <c r="K217" s="18">
        <v>0</v>
      </c>
      <c r="L217" s="19">
        <f t="shared" si="2"/>
        <v>0</v>
      </c>
      <c r="M217" s="8"/>
    </row>
    <row r="218" spans="1:13" s="3" customFormat="1" ht="12" customHeight="1" x14ac:dyDescent="0.15">
      <c r="A218" s="1" t="s">
        <v>472</v>
      </c>
      <c r="B218" s="2" t="s">
        <v>370</v>
      </c>
      <c r="C218" s="2" t="s">
        <v>324</v>
      </c>
      <c r="D218" s="2" t="s">
        <v>455</v>
      </c>
      <c r="E218" s="6">
        <v>2700</v>
      </c>
      <c r="F218" s="18">
        <v>0</v>
      </c>
      <c r="G218" s="18">
        <v>0</v>
      </c>
      <c r="H218" s="18">
        <v>17880.57</v>
      </c>
      <c r="I218" s="18">
        <v>0</v>
      </c>
      <c r="J218" s="18">
        <v>0</v>
      </c>
      <c r="K218" s="18">
        <v>0</v>
      </c>
      <c r="L218" s="19">
        <f t="shared" si="2"/>
        <v>17880.57</v>
      </c>
      <c r="M218" s="8"/>
    </row>
    <row r="219" spans="1:13" s="3" customFormat="1" ht="12" customHeight="1" x14ac:dyDescent="0.15">
      <c r="A219" s="1" t="s">
        <v>473</v>
      </c>
      <c r="B219" s="2" t="s">
        <v>370</v>
      </c>
      <c r="C219" s="2" t="s">
        <v>367</v>
      </c>
      <c r="D219" s="2" t="s">
        <v>455</v>
      </c>
      <c r="E219" s="6">
        <v>2800</v>
      </c>
      <c r="F219" s="18">
        <v>0</v>
      </c>
      <c r="G219" s="18">
        <v>0</v>
      </c>
      <c r="H219" s="18">
        <v>0</v>
      </c>
      <c r="I219" s="18">
        <v>0</v>
      </c>
      <c r="J219" s="18">
        <v>0</v>
      </c>
      <c r="K219" s="18">
        <v>0</v>
      </c>
      <c r="L219" s="19">
        <f>SUM(F219:K219)</f>
        <v>0</v>
      </c>
      <c r="M219" s="8"/>
    </row>
    <row r="220" spans="1:13" s="3" customFormat="1" ht="12" customHeight="1" thickBot="1" x14ac:dyDescent="0.2">
      <c r="A220" s="1" t="s">
        <v>474</v>
      </c>
      <c r="B220" s="2" t="s">
        <v>370</v>
      </c>
      <c r="C220" s="2" t="s">
        <v>368</v>
      </c>
      <c r="D220" s="2" t="s">
        <v>455</v>
      </c>
      <c r="E220" s="6">
        <v>2900</v>
      </c>
      <c r="F220" s="24" t="s">
        <v>312</v>
      </c>
      <c r="G220" s="24" t="s">
        <v>312</v>
      </c>
      <c r="H220" s="24" t="s">
        <v>312</v>
      </c>
      <c r="I220" s="24" t="s">
        <v>312</v>
      </c>
      <c r="J220" s="24" t="s">
        <v>312</v>
      </c>
      <c r="K220" s="24" t="s">
        <v>312</v>
      </c>
      <c r="L220" s="24" t="s">
        <v>312</v>
      </c>
      <c r="M220" s="8"/>
    </row>
    <row r="221" spans="1:13" s="3" customFormat="1" ht="12" customHeight="1" thickTop="1" x14ac:dyDescent="0.15">
      <c r="A221" s="38" t="s">
        <v>483</v>
      </c>
      <c r="B221" s="39" t="s">
        <v>370</v>
      </c>
      <c r="C221" s="39" t="s">
        <v>369</v>
      </c>
      <c r="D221" s="39" t="s">
        <v>455</v>
      </c>
      <c r="E221" s="44"/>
      <c r="F221" s="41">
        <f t="shared" ref="F221:L221" si="3">SUM(F207:F220)</f>
        <v>468.08</v>
      </c>
      <c r="G221" s="41">
        <f>SUM(G207:G220)</f>
        <v>38.81</v>
      </c>
      <c r="H221" s="41">
        <f>SUM(H207:H220)</f>
        <v>289686.41000000003</v>
      </c>
      <c r="I221" s="41">
        <f>SUM(I207:I220)</f>
        <v>8.5500000000000007</v>
      </c>
      <c r="J221" s="41">
        <f>SUM(J207:J220)</f>
        <v>0</v>
      </c>
      <c r="K221" s="41">
        <f t="shared" si="3"/>
        <v>432.07</v>
      </c>
      <c r="L221" s="41">
        <f t="shared" si="3"/>
        <v>290633.92000000004</v>
      </c>
      <c r="M221" s="8"/>
    </row>
    <row r="222" spans="1:13" s="3" customFormat="1" ht="12" customHeight="1" x14ac:dyDescent="0.15">
      <c r="A222" s="55" t="s">
        <v>489</v>
      </c>
      <c r="B222" s="36"/>
      <c r="C222" s="75"/>
      <c r="D222" s="75"/>
      <c r="E222" s="75"/>
      <c r="F222" s="177" t="s">
        <v>724</v>
      </c>
      <c r="G222" s="177" t="s">
        <v>725</v>
      </c>
      <c r="H222" s="177" t="s">
        <v>726</v>
      </c>
      <c r="I222" s="177" t="s">
        <v>727</v>
      </c>
      <c r="J222" s="177" t="s">
        <v>728</v>
      </c>
      <c r="K222" s="177" t="s">
        <v>729</v>
      </c>
      <c r="L222" s="67"/>
      <c r="M222" s="8"/>
    </row>
    <row r="223" spans="1:13" s="3" customFormat="1" ht="12" customHeight="1" x14ac:dyDescent="0.15">
      <c r="A223" s="29" t="s">
        <v>477</v>
      </c>
      <c r="F223" s="103" t="s">
        <v>54</v>
      </c>
      <c r="G223" s="103" t="s">
        <v>55</v>
      </c>
      <c r="H223" s="103" t="s">
        <v>56</v>
      </c>
      <c r="I223" s="103" t="s">
        <v>57</v>
      </c>
      <c r="J223" s="103" t="s">
        <v>58</v>
      </c>
      <c r="K223" s="103" t="s">
        <v>59</v>
      </c>
      <c r="L223" s="103" t="s">
        <v>5</v>
      </c>
      <c r="M223" s="8"/>
    </row>
    <row r="224" spans="1:13" s="3" customFormat="1" ht="12" customHeight="1" x14ac:dyDescent="0.15">
      <c r="A224" s="30" t="s">
        <v>218</v>
      </c>
      <c r="F224" s="24" t="s">
        <v>312</v>
      </c>
      <c r="G224" s="24" t="s">
        <v>312</v>
      </c>
      <c r="H224" s="24" t="s">
        <v>312</v>
      </c>
      <c r="I224" s="24" t="s">
        <v>312</v>
      </c>
      <c r="J224" s="24" t="s">
        <v>312</v>
      </c>
      <c r="K224" s="24" t="s">
        <v>312</v>
      </c>
      <c r="L224" s="24" t="s">
        <v>312</v>
      </c>
      <c r="M224" s="8"/>
    </row>
    <row r="225" spans="1:13" s="3" customFormat="1" ht="12" customHeight="1" x14ac:dyDescent="0.15">
      <c r="A225" s="1" t="s">
        <v>462</v>
      </c>
      <c r="B225" s="2" t="s">
        <v>374</v>
      </c>
      <c r="C225" s="2" t="s">
        <v>314</v>
      </c>
      <c r="D225" s="2" t="s">
        <v>455</v>
      </c>
      <c r="E225" s="6">
        <v>1100</v>
      </c>
      <c r="F225" s="18">
        <v>0</v>
      </c>
      <c r="G225" s="18">
        <v>0</v>
      </c>
      <c r="H225" s="18">
        <f>2345.86+463112.47</f>
        <v>465458.32999999996</v>
      </c>
      <c r="I225" s="18">
        <v>0</v>
      </c>
      <c r="J225" s="18">
        <v>0</v>
      </c>
      <c r="K225" s="18">
        <v>0</v>
      </c>
      <c r="L225" s="19">
        <f>SUM(F225:K225)</f>
        <v>465458.32999999996</v>
      </c>
      <c r="M225" s="8"/>
    </row>
    <row r="226" spans="1:13" s="3" customFormat="1" ht="12" customHeight="1" x14ac:dyDescent="0.15">
      <c r="A226" s="1" t="s">
        <v>463</v>
      </c>
      <c r="B226" s="2" t="s">
        <v>374</v>
      </c>
      <c r="C226" s="2" t="s">
        <v>315</v>
      </c>
      <c r="D226" s="2" t="s">
        <v>455</v>
      </c>
      <c r="E226" s="6">
        <v>1200</v>
      </c>
      <c r="F226" s="18">
        <v>0</v>
      </c>
      <c r="G226" s="18">
        <v>0</v>
      </c>
      <c r="H226" s="18">
        <f>631.82+79753.91</f>
        <v>80385.73000000001</v>
      </c>
      <c r="I226" s="18">
        <v>0</v>
      </c>
      <c r="J226" s="18">
        <v>0</v>
      </c>
      <c r="K226" s="18">
        <v>0</v>
      </c>
      <c r="L226" s="19">
        <f>SUM(F226:K226)</f>
        <v>80385.73000000001</v>
      </c>
      <c r="M226" s="8"/>
    </row>
    <row r="227" spans="1:13" s="3" customFormat="1" ht="12" customHeight="1" x14ac:dyDescent="0.15">
      <c r="A227" s="1" t="s">
        <v>464</v>
      </c>
      <c r="B227" s="2" t="s">
        <v>374</v>
      </c>
      <c r="C227" s="2" t="s">
        <v>316</v>
      </c>
      <c r="D227" s="2" t="s">
        <v>455</v>
      </c>
      <c r="E227" s="6">
        <v>1300</v>
      </c>
      <c r="F227" s="18">
        <v>0</v>
      </c>
      <c r="G227" s="18">
        <v>0</v>
      </c>
      <c r="H227" s="18">
        <v>37344.400000000001</v>
      </c>
      <c r="I227" s="18">
        <v>0</v>
      </c>
      <c r="J227" s="18">
        <v>0</v>
      </c>
      <c r="K227" s="18">
        <v>0</v>
      </c>
      <c r="L227" s="19">
        <f>SUM(F227:K227)</f>
        <v>37344.400000000001</v>
      </c>
      <c r="M227" s="8"/>
    </row>
    <row r="228" spans="1:13" s="3" customFormat="1" ht="12" customHeight="1" x14ac:dyDescent="0.15">
      <c r="A228" s="1" t="s">
        <v>465</v>
      </c>
      <c r="B228" s="2" t="s">
        <v>374</v>
      </c>
      <c r="C228" s="2" t="s">
        <v>317</v>
      </c>
      <c r="D228" s="2" t="s">
        <v>455</v>
      </c>
      <c r="E228" s="6">
        <v>1400</v>
      </c>
      <c r="F228" s="18">
        <v>0</v>
      </c>
      <c r="G228" s="18">
        <v>0</v>
      </c>
      <c r="H228" s="18">
        <v>640.86</v>
      </c>
      <c r="I228" s="18">
        <v>0</v>
      </c>
      <c r="J228" s="18">
        <v>0</v>
      </c>
      <c r="K228" s="18">
        <v>0</v>
      </c>
      <c r="L228" s="19">
        <f>SUM(F228:K228)</f>
        <v>640.86</v>
      </c>
      <c r="M228" s="8"/>
    </row>
    <row r="229" spans="1:13" s="3" customFormat="1" ht="12" customHeight="1" x14ac:dyDescent="0.15">
      <c r="A229" s="30" t="s">
        <v>366</v>
      </c>
      <c r="C229" s="23"/>
      <c r="E229" s="6"/>
      <c r="F229" s="24" t="s">
        <v>312</v>
      </c>
      <c r="G229" s="24" t="s">
        <v>312</v>
      </c>
      <c r="H229" s="24" t="s">
        <v>312</v>
      </c>
      <c r="I229" s="24" t="s">
        <v>312</v>
      </c>
      <c r="J229" s="24" t="s">
        <v>312</v>
      </c>
      <c r="K229" s="24" t="s">
        <v>312</v>
      </c>
      <c r="L229" s="24" t="s">
        <v>312</v>
      </c>
      <c r="M229" s="8"/>
    </row>
    <row r="230" spans="1:13" s="3" customFormat="1" ht="12" customHeight="1" x14ac:dyDescent="0.15">
      <c r="A230" s="1" t="s">
        <v>466</v>
      </c>
      <c r="B230" s="2" t="s">
        <v>374</v>
      </c>
      <c r="C230" s="2" t="s">
        <v>318</v>
      </c>
      <c r="D230" s="2" t="s">
        <v>455</v>
      </c>
      <c r="E230" s="6">
        <v>2100</v>
      </c>
      <c r="F230" s="18">
        <v>0</v>
      </c>
      <c r="G230" s="18">
        <v>0</v>
      </c>
      <c r="H230" s="18">
        <v>5929.8</v>
      </c>
      <c r="I230" s="18">
        <v>0</v>
      </c>
      <c r="J230" s="18">
        <v>0</v>
      </c>
      <c r="K230" s="18">
        <v>0</v>
      </c>
      <c r="L230" s="19">
        <f t="shared" ref="L230:L236" si="4">SUM(F230:K230)</f>
        <v>5929.8</v>
      </c>
      <c r="M230" s="8"/>
    </row>
    <row r="231" spans="1:13" s="3" customFormat="1" ht="12" customHeight="1" x14ac:dyDescent="0.15">
      <c r="A231" s="1" t="s">
        <v>467</v>
      </c>
      <c r="B231" s="2" t="s">
        <v>374</v>
      </c>
      <c r="C231" s="2" t="s">
        <v>319</v>
      </c>
      <c r="D231" s="2" t="s">
        <v>455</v>
      </c>
      <c r="E231" s="6">
        <v>2200</v>
      </c>
      <c r="F231" s="18">
        <v>0</v>
      </c>
      <c r="G231" s="18">
        <v>0</v>
      </c>
      <c r="H231" s="18">
        <v>0</v>
      </c>
      <c r="I231" s="18">
        <v>0</v>
      </c>
      <c r="J231" s="18">
        <v>0</v>
      </c>
      <c r="K231" s="18">
        <v>0</v>
      </c>
      <c r="L231" s="19">
        <f t="shared" si="4"/>
        <v>0</v>
      </c>
      <c r="M231" s="8"/>
    </row>
    <row r="232" spans="1:13" s="3" customFormat="1" ht="12" customHeight="1" x14ac:dyDescent="0.15">
      <c r="A232" s="1" t="s">
        <v>468</v>
      </c>
      <c r="B232" s="2" t="s">
        <v>374</v>
      </c>
      <c r="C232" s="2" t="s">
        <v>320</v>
      </c>
      <c r="D232" s="2" t="s">
        <v>455</v>
      </c>
      <c r="E232" s="6">
        <v>2300</v>
      </c>
      <c r="F232" s="18">
        <v>627.22</v>
      </c>
      <c r="G232" s="18">
        <v>51.95</v>
      </c>
      <c r="H232" s="18">
        <f>21618.75+713.78</f>
        <v>22332.53</v>
      </c>
      <c r="I232" s="18">
        <v>11.25</v>
      </c>
      <c r="J232" s="18">
        <v>0</v>
      </c>
      <c r="K232" s="18">
        <v>571.30999999999995</v>
      </c>
      <c r="L232" s="19">
        <f t="shared" si="4"/>
        <v>23594.26</v>
      </c>
      <c r="M232" s="8"/>
    </row>
    <row r="233" spans="1:13" s="3" customFormat="1" ht="12" customHeight="1" x14ac:dyDescent="0.15">
      <c r="A233" s="1" t="s">
        <v>469</v>
      </c>
      <c r="B233" s="2" t="s">
        <v>374</v>
      </c>
      <c r="C233" s="2" t="s">
        <v>321</v>
      </c>
      <c r="D233" s="2" t="s">
        <v>455</v>
      </c>
      <c r="E233" s="6">
        <v>2400</v>
      </c>
      <c r="F233" s="18">
        <v>0</v>
      </c>
      <c r="G233" s="18">
        <v>0</v>
      </c>
      <c r="H233" s="18">
        <v>0</v>
      </c>
      <c r="I233" s="18">
        <v>0</v>
      </c>
      <c r="J233" s="18">
        <v>0</v>
      </c>
      <c r="K233" s="18">
        <v>0</v>
      </c>
      <c r="L233" s="19">
        <f t="shared" si="4"/>
        <v>0</v>
      </c>
      <c r="M233" s="8"/>
    </row>
    <row r="234" spans="1:13" s="3" customFormat="1" ht="12" customHeight="1" x14ac:dyDescent="0.15">
      <c r="A234" s="1" t="s">
        <v>470</v>
      </c>
      <c r="B234" s="2" t="s">
        <v>374</v>
      </c>
      <c r="C234" s="2" t="s">
        <v>322</v>
      </c>
      <c r="D234" s="2" t="s">
        <v>455</v>
      </c>
      <c r="E234" s="6">
        <v>2500</v>
      </c>
      <c r="F234" s="18">
        <v>0</v>
      </c>
      <c r="G234" s="18">
        <v>0</v>
      </c>
      <c r="H234" s="18">
        <v>0</v>
      </c>
      <c r="I234" s="18">
        <v>0</v>
      </c>
      <c r="J234" s="18">
        <v>0</v>
      </c>
      <c r="K234" s="18">
        <v>0</v>
      </c>
      <c r="L234" s="19">
        <f t="shared" si="4"/>
        <v>0</v>
      </c>
      <c r="M234" s="8"/>
    </row>
    <row r="235" spans="1:13" s="3" customFormat="1" ht="12" customHeight="1" x14ac:dyDescent="0.15">
      <c r="A235" s="1" t="s">
        <v>471</v>
      </c>
      <c r="B235" s="2" t="s">
        <v>374</v>
      </c>
      <c r="C235" s="2" t="s">
        <v>323</v>
      </c>
      <c r="D235" s="2" t="s">
        <v>455</v>
      </c>
      <c r="E235" s="6">
        <v>2600</v>
      </c>
      <c r="F235" s="18">
        <v>0</v>
      </c>
      <c r="G235" s="18">
        <v>0</v>
      </c>
      <c r="H235" s="18">
        <v>0</v>
      </c>
      <c r="I235" s="18">
        <v>0</v>
      </c>
      <c r="J235" s="18">
        <v>0</v>
      </c>
      <c r="K235" s="18">
        <v>0</v>
      </c>
      <c r="L235" s="19">
        <f t="shared" si="4"/>
        <v>0</v>
      </c>
      <c r="M235" s="8"/>
    </row>
    <row r="236" spans="1:13" s="3" customFormat="1" ht="12" customHeight="1" x14ac:dyDescent="0.15">
      <c r="A236" s="1" t="s">
        <v>472</v>
      </c>
      <c r="B236" s="2" t="s">
        <v>374</v>
      </c>
      <c r="C236" s="2" t="s">
        <v>324</v>
      </c>
      <c r="D236" s="2" t="s">
        <v>455</v>
      </c>
      <c r="E236" s="6">
        <v>2700</v>
      </c>
      <c r="F236" s="18">
        <v>0</v>
      </c>
      <c r="G236" s="18">
        <v>0</v>
      </c>
      <c r="H236" s="18">
        <v>24383.759999999998</v>
      </c>
      <c r="I236" s="18">
        <v>0</v>
      </c>
      <c r="J236" s="18">
        <v>0</v>
      </c>
      <c r="K236" s="18">
        <v>0</v>
      </c>
      <c r="L236" s="19">
        <f t="shared" si="4"/>
        <v>24383.759999999998</v>
      </c>
      <c r="M236" s="8"/>
    </row>
    <row r="237" spans="1:13" s="3" customFormat="1" ht="12" customHeight="1" x14ac:dyDescent="0.15">
      <c r="A237" s="1" t="s">
        <v>473</v>
      </c>
      <c r="B237" s="2" t="s">
        <v>374</v>
      </c>
      <c r="C237" s="2" t="s">
        <v>367</v>
      </c>
      <c r="D237" s="2" t="s">
        <v>455</v>
      </c>
      <c r="E237" s="6">
        <v>2800</v>
      </c>
      <c r="F237" s="18"/>
      <c r="G237" s="18"/>
      <c r="H237" s="18"/>
      <c r="I237" s="18"/>
      <c r="J237" s="18"/>
      <c r="K237" s="18"/>
      <c r="L237" s="19">
        <f>SUM(F237:K237)</f>
        <v>0</v>
      </c>
      <c r="M237" s="8"/>
    </row>
    <row r="238" spans="1:13" s="3" customFormat="1" ht="12" customHeight="1" thickBot="1" x14ac:dyDescent="0.2">
      <c r="A238" s="1" t="s">
        <v>474</v>
      </c>
      <c r="B238" s="2" t="s">
        <v>374</v>
      </c>
      <c r="C238" s="2" t="s">
        <v>368</v>
      </c>
      <c r="D238" s="2" t="s">
        <v>455</v>
      </c>
      <c r="E238" s="6">
        <v>2900</v>
      </c>
      <c r="F238" s="24" t="s">
        <v>312</v>
      </c>
      <c r="G238" s="24" t="s">
        <v>312</v>
      </c>
      <c r="H238" s="24" t="s">
        <v>312</v>
      </c>
      <c r="I238" s="24" t="s">
        <v>312</v>
      </c>
      <c r="J238" s="24" t="s">
        <v>312</v>
      </c>
      <c r="K238" s="24" t="s">
        <v>312</v>
      </c>
      <c r="L238" s="24" t="s">
        <v>312</v>
      </c>
      <c r="M238" s="8"/>
    </row>
    <row r="239" spans="1:13" s="3" customFormat="1" ht="12" customHeight="1" thickTop="1" x14ac:dyDescent="0.15">
      <c r="A239" s="38" t="s">
        <v>715</v>
      </c>
      <c r="B239" s="39" t="s">
        <v>374</v>
      </c>
      <c r="C239" s="40">
        <v>14</v>
      </c>
      <c r="D239" s="39" t="s">
        <v>455</v>
      </c>
      <c r="E239" s="40"/>
      <c r="F239" s="41">
        <f t="shared" ref="F239:L239" si="5">SUM(F225:F238)</f>
        <v>627.22</v>
      </c>
      <c r="G239" s="41">
        <f t="shared" si="5"/>
        <v>51.95</v>
      </c>
      <c r="H239" s="41">
        <f t="shared" si="5"/>
        <v>636475.41</v>
      </c>
      <c r="I239" s="41">
        <f t="shared" si="5"/>
        <v>11.25</v>
      </c>
      <c r="J239" s="41">
        <f t="shared" si="5"/>
        <v>0</v>
      </c>
      <c r="K239" s="41">
        <f t="shared" si="5"/>
        <v>571.30999999999995</v>
      </c>
      <c r="L239" s="41">
        <f t="shared" si="5"/>
        <v>637737.14</v>
      </c>
      <c r="M239" s="8"/>
    </row>
    <row r="240" spans="1:13" s="3" customFormat="1" ht="12" customHeight="1" x14ac:dyDescent="0.15">
      <c r="A240" s="70"/>
      <c r="B240" s="36"/>
      <c r="C240" s="37"/>
      <c r="D240" s="37"/>
      <c r="E240" s="37"/>
      <c r="F240" s="177" t="s">
        <v>724</v>
      </c>
      <c r="G240" s="177" t="s">
        <v>725</v>
      </c>
      <c r="H240" s="177" t="s">
        <v>726</v>
      </c>
      <c r="I240" s="177" t="s">
        <v>727</v>
      </c>
      <c r="J240" s="177" t="s">
        <v>728</v>
      </c>
      <c r="K240" s="177" t="s">
        <v>729</v>
      </c>
      <c r="L240" s="67"/>
      <c r="M240" s="8"/>
    </row>
    <row r="241" spans="1:13" s="3" customFormat="1" ht="12" customHeight="1" x14ac:dyDescent="0.15">
      <c r="A241" s="29" t="s">
        <v>375</v>
      </c>
      <c r="B241" s="7"/>
      <c r="C241" s="7"/>
      <c r="D241" s="7"/>
      <c r="E241" s="7"/>
      <c r="F241" s="103" t="s">
        <v>54</v>
      </c>
      <c r="G241" s="103" t="s">
        <v>55</v>
      </c>
      <c r="H241" s="103" t="s">
        <v>56</v>
      </c>
      <c r="I241" s="103" t="s">
        <v>57</v>
      </c>
      <c r="J241" s="103" t="s">
        <v>58</v>
      </c>
      <c r="K241" s="103" t="s">
        <v>59</v>
      </c>
      <c r="L241" s="103" t="s">
        <v>5</v>
      </c>
      <c r="M241" s="8"/>
    </row>
    <row r="242" spans="1:13" s="3" customFormat="1" ht="12" customHeight="1" x14ac:dyDescent="0.15">
      <c r="A242" s="1" t="s">
        <v>690</v>
      </c>
      <c r="B242" s="2" t="s">
        <v>376</v>
      </c>
      <c r="C242" s="2" t="s">
        <v>313</v>
      </c>
      <c r="D242" s="2" t="s">
        <v>455</v>
      </c>
      <c r="E242" s="6">
        <v>1500</v>
      </c>
      <c r="F242" s="18"/>
      <c r="G242" s="18"/>
      <c r="H242" s="18"/>
      <c r="I242" s="18"/>
      <c r="J242" s="18"/>
      <c r="K242" s="18"/>
      <c r="L242" s="19">
        <f t="shared" ref="L242:L247" si="6">SUM(F242:K242)</f>
        <v>0</v>
      </c>
      <c r="M242" s="8"/>
    </row>
    <row r="243" spans="1:13" s="3" customFormat="1" ht="12" customHeight="1" x14ac:dyDescent="0.15">
      <c r="A243" s="1" t="s">
        <v>377</v>
      </c>
      <c r="B243" s="2" t="s">
        <v>376</v>
      </c>
      <c r="C243" s="2" t="s">
        <v>333</v>
      </c>
      <c r="D243" s="2" t="s">
        <v>455</v>
      </c>
      <c r="E243" s="6">
        <v>1600</v>
      </c>
      <c r="F243" s="18"/>
      <c r="G243" s="18"/>
      <c r="H243" s="18"/>
      <c r="I243" s="18"/>
      <c r="J243" s="18"/>
      <c r="K243" s="18"/>
      <c r="L243" s="19">
        <f t="shared" si="6"/>
        <v>0</v>
      </c>
      <c r="M243" s="8"/>
    </row>
    <row r="244" spans="1:13" s="3" customFormat="1" ht="12" customHeight="1" x14ac:dyDescent="0.15">
      <c r="A244" s="1" t="s">
        <v>612</v>
      </c>
      <c r="B244" s="2" t="s">
        <v>376</v>
      </c>
      <c r="C244" s="2" t="s">
        <v>339</v>
      </c>
      <c r="D244" s="2" t="s">
        <v>455</v>
      </c>
      <c r="E244" s="6">
        <v>1700</v>
      </c>
      <c r="F244" s="18"/>
      <c r="G244" s="18"/>
      <c r="H244" s="18"/>
      <c r="I244" s="18"/>
      <c r="J244" s="18"/>
      <c r="K244" s="18"/>
      <c r="L244" s="19">
        <f t="shared" si="6"/>
        <v>0</v>
      </c>
      <c r="M244" s="8"/>
    </row>
    <row r="245" spans="1:13" s="3" customFormat="1" ht="12" customHeight="1" x14ac:dyDescent="0.15">
      <c r="A245" s="1" t="s">
        <v>613</v>
      </c>
      <c r="B245" s="2" t="s">
        <v>376</v>
      </c>
      <c r="C245" s="2" t="s">
        <v>345</v>
      </c>
      <c r="D245" s="2" t="s">
        <v>455</v>
      </c>
      <c r="E245" s="6">
        <v>1800</v>
      </c>
      <c r="F245" s="18"/>
      <c r="G245" s="18"/>
      <c r="H245" s="18"/>
      <c r="I245" s="18"/>
      <c r="J245" s="18"/>
      <c r="K245" s="18"/>
      <c r="L245" s="19">
        <f t="shared" si="6"/>
        <v>0</v>
      </c>
      <c r="M245" s="8"/>
    </row>
    <row r="246" spans="1:13" s="3" customFormat="1" ht="12" customHeight="1" x14ac:dyDescent="0.15">
      <c r="A246" s="1" t="s">
        <v>415</v>
      </c>
      <c r="B246" s="2" t="s">
        <v>376</v>
      </c>
      <c r="C246" s="2" t="s">
        <v>348</v>
      </c>
      <c r="D246" s="2" t="s">
        <v>455</v>
      </c>
      <c r="E246" s="6">
        <v>2750</v>
      </c>
      <c r="F246" s="18"/>
      <c r="G246" s="18"/>
      <c r="H246" s="18"/>
      <c r="I246" s="18"/>
      <c r="J246" s="18"/>
      <c r="K246" s="18"/>
      <c r="L246" s="19">
        <f t="shared" si="6"/>
        <v>0</v>
      </c>
      <c r="M246" s="8"/>
    </row>
    <row r="247" spans="1:13" s="3" customFormat="1" ht="12" customHeight="1" thickBot="1" x14ac:dyDescent="0.2">
      <c r="A247" s="1" t="s">
        <v>614</v>
      </c>
      <c r="B247" s="2" t="s">
        <v>376</v>
      </c>
      <c r="C247" s="6">
        <v>6</v>
      </c>
      <c r="D247" s="2" t="s">
        <v>455</v>
      </c>
      <c r="E247" s="6">
        <v>4000</v>
      </c>
      <c r="F247" s="18"/>
      <c r="G247" s="18"/>
      <c r="H247" s="18"/>
      <c r="I247" s="18"/>
      <c r="J247" s="18"/>
      <c r="K247" s="18"/>
      <c r="L247" s="19">
        <f t="shared" si="6"/>
        <v>0</v>
      </c>
      <c r="M247" s="8"/>
    </row>
    <row r="248" spans="1:13" s="3" customFormat="1" ht="12" customHeight="1" thickTop="1" thickBot="1" x14ac:dyDescent="0.2">
      <c r="A248" s="38" t="s">
        <v>485</v>
      </c>
      <c r="B248" s="40">
        <v>10</v>
      </c>
      <c r="C248" s="40">
        <v>7</v>
      </c>
      <c r="D248" s="39" t="s">
        <v>455</v>
      </c>
      <c r="E248" s="40"/>
      <c r="F248" s="41">
        <f t="shared" ref="F248:K248" si="7">SUM(F242:F247)</f>
        <v>0</v>
      </c>
      <c r="G248" s="41">
        <f t="shared" si="7"/>
        <v>0</v>
      </c>
      <c r="H248" s="41">
        <f t="shared" si="7"/>
        <v>0</v>
      </c>
      <c r="I248" s="41">
        <f t="shared" si="7"/>
        <v>0</v>
      </c>
      <c r="J248" s="41">
        <f t="shared" si="7"/>
        <v>0</v>
      </c>
      <c r="K248" s="41">
        <f t="shared" si="7"/>
        <v>0</v>
      </c>
      <c r="L248" s="41">
        <f>SUM(F248:K248)</f>
        <v>0</v>
      </c>
      <c r="M248" s="8"/>
    </row>
    <row r="249" spans="1:13" s="3" customFormat="1" ht="12" customHeight="1" thickTop="1" x14ac:dyDescent="0.15">
      <c r="A249" s="38" t="s">
        <v>486</v>
      </c>
      <c r="B249" s="40">
        <v>10</v>
      </c>
      <c r="C249" s="40">
        <v>8</v>
      </c>
      <c r="D249" s="39" t="s">
        <v>455</v>
      </c>
      <c r="E249" s="40"/>
      <c r="F249" s="41">
        <f t="shared" ref="F249:L249" si="8">F203+F221+F239+F248</f>
        <v>417042.97</v>
      </c>
      <c r="G249" s="41">
        <f t="shared" si="8"/>
        <v>123918.98</v>
      </c>
      <c r="H249" s="41">
        <f t="shared" si="8"/>
        <v>1248644.57</v>
      </c>
      <c r="I249" s="41">
        <f t="shared" si="8"/>
        <v>65596.42</v>
      </c>
      <c r="J249" s="41">
        <f t="shared" si="8"/>
        <v>3362.7999999999997</v>
      </c>
      <c r="K249" s="41">
        <f t="shared" si="8"/>
        <v>4407.58</v>
      </c>
      <c r="L249" s="41">
        <f t="shared" si="8"/>
        <v>1862973.3199999998</v>
      </c>
      <c r="M249" s="8"/>
    </row>
    <row r="250" spans="1:13" s="3" customFormat="1" ht="12" customHeight="1" x14ac:dyDescent="0.15">
      <c r="A250" s="34" t="s">
        <v>378</v>
      </c>
      <c r="F250" s="13"/>
      <c r="G250" s="13"/>
      <c r="H250" s="13"/>
      <c r="I250" s="13"/>
      <c r="J250" s="13"/>
      <c r="K250" s="14" t="s">
        <v>310</v>
      </c>
      <c r="L250" s="14" t="s">
        <v>379</v>
      </c>
      <c r="M250" s="8"/>
    </row>
    <row r="251" spans="1:13" s="3" customFormat="1" ht="12" customHeight="1" x14ac:dyDescent="0.15">
      <c r="A251" s="30" t="s">
        <v>487</v>
      </c>
      <c r="E251" s="6">
        <v>5100</v>
      </c>
      <c r="F251" s="24" t="s">
        <v>312</v>
      </c>
      <c r="G251" s="24" t="s">
        <v>312</v>
      </c>
      <c r="H251" s="24" t="s">
        <v>312</v>
      </c>
      <c r="I251" s="24" t="s">
        <v>312</v>
      </c>
      <c r="J251" s="24" t="s">
        <v>312</v>
      </c>
      <c r="K251" s="24" t="s">
        <v>312</v>
      </c>
      <c r="L251" s="24" t="s">
        <v>312</v>
      </c>
      <c r="M251" s="8"/>
    </row>
    <row r="252" spans="1:13" s="3" customFormat="1" ht="12" customHeight="1" x14ac:dyDescent="0.15">
      <c r="A252" s="1" t="s">
        <v>546</v>
      </c>
      <c r="B252" s="2" t="s">
        <v>376</v>
      </c>
      <c r="C252" s="6">
        <v>9</v>
      </c>
      <c r="D252" s="2" t="s">
        <v>455</v>
      </c>
      <c r="E252" s="6">
        <v>5110</v>
      </c>
      <c r="F252" s="24" t="s">
        <v>312</v>
      </c>
      <c r="G252" s="24" t="s">
        <v>312</v>
      </c>
      <c r="H252" s="24" t="s">
        <v>312</v>
      </c>
      <c r="I252" s="24" t="s">
        <v>312</v>
      </c>
      <c r="J252" s="24" t="s">
        <v>312</v>
      </c>
      <c r="K252" s="18">
        <v>23602.54</v>
      </c>
      <c r="L252" s="19">
        <f>SUM(F252:K252)</f>
        <v>23602.54</v>
      </c>
      <c r="M252" s="8"/>
    </row>
    <row r="253" spans="1:13" s="3" customFormat="1" ht="12" customHeight="1" x14ac:dyDescent="0.15">
      <c r="A253" s="1" t="s">
        <v>558</v>
      </c>
      <c r="B253" s="2" t="s">
        <v>376</v>
      </c>
      <c r="C253" s="6">
        <v>10</v>
      </c>
      <c r="D253" s="2" t="s">
        <v>455</v>
      </c>
      <c r="E253" s="6">
        <v>5120</v>
      </c>
      <c r="F253" s="24" t="s">
        <v>312</v>
      </c>
      <c r="G253" s="24" t="s">
        <v>312</v>
      </c>
      <c r="H253" s="24" t="s">
        <v>312</v>
      </c>
      <c r="I253" s="24" t="s">
        <v>312</v>
      </c>
      <c r="J253" s="24" t="s">
        <v>312</v>
      </c>
      <c r="K253" s="18">
        <v>3610.18</v>
      </c>
      <c r="L253" s="19">
        <f>SUM(F253:K253)</f>
        <v>3610.18</v>
      </c>
      <c r="M253" s="8"/>
    </row>
    <row r="254" spans="1:13" s="3" customFormat="1" ht="12" customHeight="1" x14ac:dyDescent="0.15">
      <c r="A254" s="30" t="s">
        <v>380</v>
      </c>
      <c r="E254" s="6">
        <v>5200</v>
      </c>
      <c r="F254" s="24" t="s">
        <v>312</v>
      </c>
      <c r="G254" s="24" t="s">
        <v>312</v>
      </c>
      <c r="H254" s="24" t="s">
        <v>312</v>
      </c>
      <c r="I254" s="24" t="s">
        <v>312</v>
      </c>
      <c r="J254" s="24" t="s">
        <v>312</v>
      </c>
      <c r="K254" s="24" t="s">
        <v>312</v>
      </c>
      <c r="L254" s="24" t="s">
        <v>312</v>
      </c>
      <c r="M254" s="8"/>
    </row>
    <row r="255" spans="1:13" ht="12" customHeight="1" x14ac:dyDescent="0.2">
      <c r="A255" s="3" t="s">
        <v>559</v>
      </c>
      <c r="B255" s="6">
        <v>10</v>
      </c>
      <c r="C255" s="6">
        <v>11</v>
      </c>
      <c r="D255" s="2" t="s">
        <v>455</v>
      </c>
      <c r="E255" s="6">
        <v>5221</v>
      </c>
      <c r="F255" s="24" t="s">
        <v>312</v>
      </c>
      <c r="G255" s="24" t="s">
        <v>312</v>
      </c>
      <c r="H255" s="24" t="s">
        <v>312</v>
      </c>
      <c r="I255" s="24" t="s">
        <v>312</v>
      </c>
      <c r="J255" s="24" t="s">
        <v>312</v>
      </c>
      <c r="K255" s="18">
        <v>24633.42</v>
      </c>
      <c r="L255" s="19">
        <f>SUM(F255:K255)</f>
        <v>24633.42</v>
      </c>
    </row>
    <row r="256" spans="1:13" ht="12" customHeight="1" x14ac:dyDescent="0.2">
      <c r="A256" s="3" t="s">
        <v>633</v>
      </c>
      <c r="B256" s="6">
        <v>10</v>
      </c>
      <c r="C256" s="6">
        <v>12</v>
      </c>
      <c r="D256" s="2" t="s">
        <v>455</v>
      </c>
      <c r="E256" s="6">
        <v>5222</v>
      </c>
      <c r="F256" s="24" t="s">
        <v>312</v>
      </c>
      <c r="G256" s="24" t="s">
        <v>312</v>
      </c>
      <c r="H256" s="24" t="s">
        <v>312</v>
      </c>
      <c r="I256" s="24" t="s">
        <v>312</v>
      </c>
      <c r="J256" s="24" t="s">
        <v>312</v>
      </c>
      <c r="K256" s="18"/>
      <c r="L256" s="19">
        <f t="shared" ref="L256:L262" si="9">SUM(F256:K256)</f>
        <v>0</v>
      </c>
    </row>
    <row r="257" spans="1:13" ht="12" customHeight="1" x14ac:dyDescent="0.2">
      <c r="A257" s="3" t="s">
        <v>560</v>
      </c>
      <c r="B257" s="6">
        <v>10</v>
      </c>
      <c r="C257" s="6">
        <v>13</v>
      </c>
      <c r="D257" s="2" t="s">
        <v>455</v>
      </c>
      <c r="E257" s="6">
        <v>5230</v>
      </c>
      <c r="F257" s="24" t="s">
        <v>312</v>
      </c>
      <c r="G257" s="24" t="s">
        <v>312</v>
      </c>
      <c r="H257" s="24" t="s">
        <v>312</v>
      </c>
      <c r="I257" s="24" t="s">
        <v>312</v>
      </c>
      <c r="J257" s="24" t="s">
        <v>312</v>
      </c>
      <c r="K257" s="18"/>
      <c r="L257" s="19">
        <f t="shared" si="9"/>
        <v>0</v>
      </c>
    </row>
    <row r="258" spans="1:13" ht="12" customHeight="1" x14ac:dyDescent="0.2">
      <c r="A258" s="3" t="s">
        <v>561</v>
      </c>
      <c r="B258" s="6">
        <v>10</v>
      </c>
      <c r="C258" s="6">
        <v>14</v>
      </c>
      <c r="D258" s="2" t="s">
        <v>455</v>
      </c>
      <c r="E258" s="6">
        <v>5250</v>
      </c>
      <c r="F258" s="24" t="s">
        <v>312</v>
      </c>
      <c r="G258" s="24" t="s">
        <v>312</v>
      </c>
      <c r="H258" s="24" t="s">
        <v>312</v>
      </c>
      <c r="I258" s="24" t="s">
        <v>312</v>
      </c>
      <c r="J258" s="24" t="s">
        <v>312</v>
      </c>
      <c r="K258" s="18"/>
      <c r="L258" s="19">
        <f t="shared" si="9"/>
        <v>0</v>
      </c>
    </row>
    <row r="259" spans="1:13" ht="12" customHeight="1" x14ac:dyDescent="0.2">
      <c r="A259" s="27" t="s">
        <v>586</v>
      </c>
      <c r="B259" s="6"/>
      <c r="C259" s="6"/>
      <c r="D259" s="6"/>
      <c r="E259" s="6">
        <v>5300</v>
      </c>
      <c r="F259" s="24" t="s">
        <v>312</v>
      </c>
      <c r="G259" s="24" t="s">
        <v>312</v>
      </c>
      <c r="H259" s="24" t="s">
        <v>312</v>
      </c>
      <c r="I259" s="24" t="s">
        <v>312</v>
      </c>
      <c r="J259" s="24" t="s">
        <v>312</v>
      </c>
      <c r="K259" s="24" t="s">
        <v>312</v>
      </c>
      <c r="L259" s="24" t="s">
        <v>312</v>
      </c>
    </row>
    <row r="260" spans="1:13" ht="12" customHeight="1" x14ac:dyDescent="0.2">
      <c r="A260" s="3" t="s">
        <v>562</v>
      </c>
      <c r="B260" s="6">
        <v>10</v>
      </c>
      <c r="C260" s="6">
        <v>15</v>
      </c>
      <c r="D260" s="2" t="s">
        <v>455</v>
      </c>
      <c r="E260" s="6">
        <v>5310</v>
      </c>
      <c r="F260" s="24" t="s">
        <v>312</v>
      </c>
      <c r="G260" s="24" t="s">
        <v>312</v>
      </c>
      <c r="H260" s="24" t="s">
        <v>312</v>
      </c>
      <c r="I260" s="24" t="s">
        <v>312</v>
      </c>
      <c r="J260" s="24" t="s">
        <v>312</v>
      </c>
      <c r="K260" s="18"/>
      <c r="L260" s="19">
        <f t="shared" si="9"/>
        <v>0</v>
      </c>
    </row>
    <row r="261" spans="1:13" ht="12" customHeight="1" thickBot="1" x14ac:dyDescent="0.25">
      <c r="A261" s="3" t="s">
        <v>563</v>
      </c>
      <c r="B261" s="6">
        <v>10</v>
      </c>
      <c r="C261" s="6">
        <v>16</v>
      </c>
      <c r="D261" s="2" t="s">
        <v>455</v>
      </c>
      <c r="E261" s="6">
        <v>5390</v>
      </c>
      <c r="F261" s="24" t="s">
        <v>312</v>
      </c>
      <c r="G261" s="24" t="s">
        <v>312</v>
      </c>
      <c r="H261" s="24" t="s">
        <v>312</v>
      </c>
      <c r="I261" s="24" t="s">
        <v>312</v>
      </c>
      <c r="J261" s="24" t="s">
        <v>312</v>
      </c>
      <c r="K261" s="18"/>
      <c r="L261" s="19">
        <f t="shared" si="9"/>
        <v>0</v>
      </c>
    </row>
    <row r="262" spans="1:13" ht="12" customHeight="1" thickTop="1" thickBot="1" x14ac:dyDescent="0.25">
      <c r="A262" s="43" t="s">
        <v>444</v>
      </c>
      <c r="B262" s="40">
        <v>10</v>
      </c>
      <c r="C262" s="40">
        <v>17</v>
      </c>
      <c r="D262" s="39" t="s">
        <v>455</v>
      </c>
      <c r="E262" s="40"/>
      <c r="F262" s="42">
        <f t="shared" ref="F262:K262" si="10">SUM(F252:F261)</f>
        <v>0</v>
      </c>
      <c r="G262" s="42">
        <f t="shared" si="10"/>
        <v>0</v>
      </c>
      <c r="H262" s="42">
        <f t="shared" si="10"/>
        <v>0</v>
      </c>
      <c r="I262" s="42">
        <f t="shared" si="10"/>
        <v>0</v>
      </c>
      <c r="J262" s="42">
        <f t="shared" si="10"/>
        <v>0</v>
      </c>
      <c r="K262" s="42">
        <f t="shared" si="10"/>
        <v>51846.14</v>
      </c>
      <c r="L262" s="41">
        <f t="shared" si="9"/>
        <v>51846.14</v>
      </c>
    </row>
    <row r="263" spans="1:13" ht="12" customHeight="1" thickTop="1" x14ac:dyDescent="0.2">
      <c r="A263" s="43" t="s">
        <v>488</v>
      </c>
      <c r="B263" s="40">
        <v>10</v>
      </c>
      <c r="C263" s="40">
        <v>18</v>
      </c>
      <c r="D263" s="39" t="s">
        <v>455</v>
      </c>
      <c r="E263" s="40"/>
      <c r="F263" s="42">
        <f t="shared" ref="F263:L263" si="11">F249+F262</f>
        <v>417042.97</v>
      </c>
      <c r="G263" s="42">
        <f t="shared" si="11"/>
        <v>123918.98</v>
      </c>
      <c r="H263" s="42">
        <f t="shared" si="11"/>
        <v>1248644.57</v>
      </c>
      <c r="I263" s="42">
        <f t="shared" si="11"/>
        <v>65596.42</v>
      </c>
      <c r="J263" s="42">
        <f t="shared" si="11"/>
        <v>3362.7999999999997</v>
      </c>
      <c r="K263" s="42">
        <f t="shared" si="11"/>
        <v>56253.72</v>
      </c>
      <c r="L263" s="42">
        <f t="shared" si="11"/>
        <v>1914819.4599999997</v>
      </c>
    </row>
    <row r="264" spans="1:13" ht="12" customHeight="1" x14ac:dyDescent="0.2">
      <c r="A264" s="33"/>
      <c r="B264" s="6"/>
      <c r="C264" s="6"/>
      <c r="D264" s="6"/>
      <c r="E264" s="6"/>
    </row>
    <row r="265" spans="1:13" s="3" customFormat="1" ht="12" customHeight="1" x14ac:dyDescent="0.15">
      <c r="A265" s="29" t="s">
        <v>490</v>
      </c>
      <c r="F265" s="177" t="s">
        <v>724</v>
      </c>
      <c r="G265" s="177" t="s">
        <v>725</v>
      </c>
      <c r="H265" s="177" t="s">
        <v>726</v>
      </c>
      <c r="I265" s="177" t="s">
        <v>727</v>
      </c>
      <c r="J265" s="177" t="s">
        <v>728</v>
      </c>
      <c r="K265" s="177" t="s">
        <v>729</v>
      </c>
      <c r="M265" s="8"/>
    </row>
    <row r="266" spans="1:13" s="34" customFormat="1" ht="12" customHeight="1" x14ac:dyDescent="0.15">
      <c r="A266" s="29" t="s">
        <v>475</v>
      </c>
      <c r="F266" s="103" t="s">
        <v>54</v>
      </c>
      <c r="G266" s="103" t="s">
        <v>55</v>
      </c>
      <c r="H266" s="103" t="s">
        <v>56</v>
      </c>
      <c r="I266" s="103" t="s">
        <v>57</v>
      </c>
      <c r="J266" s="103" t="s">
        <v>58</v>
      </c>
      <c r="K266" s="103" t="s">
        <v>59</v>
      </c>
      <c r="L266" s="103" t="s">
        <v>5</v>
      </c>
      <c r="M266" s="35"/>
    </row>
    <row r="267" spans="1:13" s="3" customFormat="1" ht="12" customHeight="1" x14ac:dyDescent="0.15">
      <c r="A267" s="30" t="s">
        <v>218</v>
      </c>
      <c r="F267" s="24" t="s">
        <v>312</v>
      </c>
      <c r="G267" s="24" t="s">
        <v>312</v>
      </c>
      <c r="H267" s="24" t="s">
        <v>312</v>
      </c>
      <c r="I267" s="24" t="s">
        <v>312</v>
      </c>
      <c r="J267" s="24" t="s">
        <v>312</v>
      </c>
      <c r="K267" s="24" t="s">
        <v>312</v>
      </c>
      <c r="L267" s="24" t="s">
        <v>312</v>
      </c>
      <c r="M267" s="8"/>
    </row>
    <row r="268" spans="1:13" s="3" customFormat="1" ht="12" customHeight="1" x14ac:dyDescent="0.15">
      <c r="A268" s="1" t="s">
        <v>462</v>
      </c>
      <c r="B268" s="2" t="s">
        <v>381</v>
      </c>
      <c r="C268" s="2" t="s">
        <v>314</v>
      </c>
      <c r="D268" s="2" t="s">
        <v>455</v>
      </c>
      <c r="E268" s="6">
        <v>1100</v>
      </c>
      <c r="F268" s="18">
        <v>0</v>
      </c>
      <c r="G268" s="18">
        <v>0</v>
      </c>
      <c r="H268" s="18">
        <v>0</v>
      </c>
      <c r="I268" s="18">
        <v>2312</v>
      </c>
      <c r="J268" s="18">
        <v>40477.25</v>
      </c>
      <c r="K268" s="18">
        <v>0</v>
      </c>
      <c r="L268" s="19">
        <f>SUM(F268:K268)</f>
        <v>42789.25</v>
      </c>
      <c r="M268" s="8"/>
    </row>
    <row r="269" spans="1:13" s="3" customFormat="1" ht="12" customHeight="1" x14ac:dyDescent="0.15">
      <c r="A269" s="1" t="s">
        <v>463</v>
      </c>
      <c r="B269" s="2" t="s">
        <v>381</v>
      </c>
      <c r="C269" s="2" t="s">
        <v>315</v>
      </c>
      <c r="D269" s="2" t="s">
        <v>455</v>
      </c>
      <c r="E269" s="6">
        <v>1200</v>
      </c>
      <c r="F269" s="18">
        <v>19695.900000000001</v>
      </c>
      <c r="G269" s="18">
        <f>932+8.28+35.87+1578+1579.53</f>
        <v>4133.68</v>
      </c>
      <c r="H269" s="18">
        <v>0</v>
      </c>
      <c r="I269" s="18">
        <v>0</v>
      </c>
      <c r="J269" s="18">
        <v>0</v>
      </c>
      <c r="K269" s="18">
        <v>0</v>
      </c>
      <c r="L269" s="19">
        <f>SUM(F269:K269)</f>
        <v>23829.58</v>
      </c>
      <c r="M269" s="8"/>
    </row>
    <row r="270" spans="1:13" s="3" customFormat="1" ht="12" customHeight="1" x14ac:dyDescent="0.15">
      <c r="A270" s="1" t="s">
        <v>464</v>
      </c>
      <c r="B270" s="2" t="s">
        <v>381</v>
      </c>
      <c r="C270" s="2" t="s">
        <v>316</v>
      </c>
      <c r="D270" s="2" t="s">
        <v>455</v>
      </c>
      <c r="E270" s="6">
        <v>1300</v>
      </c>
      <c r="F270" s="18">
        <v>0</v>
      </c>
      <c r="G270" s="18">
        <v>0</v>
      </c>
      <c r="H270" s="18">
        <v>0</v>
      </c>
      <c r="I270" s="18">
        <v>0</v>
      </c>
      <c r="J270" s="18">
        <v>0</v>
      </c>
      <c r="K270" s="18">
        <v>0</v>
      </c>
      <c r="L270" s="19">
        <f>SUM(F270:K270)</f>
        <v>0</v>
      </c>
      <c r="M270" s="8"/>
    </row>
    <row r="271" spans="1:13" s="3" customFormat="1" ht="12" customHeight="1" x14ac:dyDescent="0.15">
      <c r="A271" s="1" t="s">
        <v>465</v>
      </c>
      <c r="B271" s="2" t="s">
        <v>381</v>
      </c>
      <c r="C271" s="2" t="s">
        <v>317</v>
      </c>
      <c r="D271" s="2" t="s">
        <v>455</v>
      </c>
      <c r="E271" s="6">
        <v>1400</v>
      </c>
      <c r="F271" s="18">
        <v>0</v>
      </c>
      <c r="G271" s="18">
        <v>0</v>
      </c>
      <c r="H271" s="18">
        <v>0</v>
      </c>
      <c r="I271" s="18">
        <v>0</v>
      </c>
      <c r="J271" s="18">
        <v>0</v>
      </c>
      <c r="K271" s="18">
        <v>0</v>
      </c>
      <c r="L271" s="19">
        <f>SUM(F271:K271)</f>
        <v>0</v>
      </c>
      <c r="M271" s="8"/>
    </row>
    <row r="272" spans="1:13" s="3" customFormat="1" ht="12" customHeight="1" x14ac:dyDescent="0.15">
      <c r="A272" s="30" t="s">
        <v>366</v>
      </c>
      <c r="E272" s="6"/>
      <c r="F272" s="24" t="s">
        <v>312</v>
      </c>
      <c r="G272" s="24" t="s">
        <v>312</v>
      </c>
      <c r="H272" s="24" t="s">
        <v>312</v>
      </c>
      <c r="I272" s="24" t="s">
        <v>312</v>
      </c>
      <c r="J272" s="24" t="s">
        <v>312</v>
      </c>
      <c r="K272" s="24" t="s">
        <v>312</v>
      </c>
      <c r="L272" s="24" t="s">
        <v>312</v>
      </c>
      <c r="M272" s="8"/>
    </row>
    <row r="273" spans="1:13" s="3" customFormat="1" ht="12" customHeight="1" x14ac:dyDescent="0.15">
      <c r="A273" s="1" t="s">
        <v>466</v>
      </c>
      <c r="B273" s="2" t="s">
        <v>381</v>
      </c>
      <c r="C273" s="2" t="s">
        <v>318</v>
      </c>
      <c r="D273" s="2" t="s">
        <v>455</v>
      </c>
      <c r="E273" s="6">
        <v>2100</v>
      </c>
      <c r="F273" s="18"/>
      <c r="G273" s="18"/>
      <c r="H273" s="18"/>
      <c r="I273" s="18"/>
      <c r="J273" s="18"/>
      <c r="K273" s="18"/>
      <c r="L273" s="19">
        <f t="shared" ref="L273:L279" si="12">SUM(F273:K273)</f>
        <v>0</v>
      </c>
      <c r="M273" s="8"/>
    </row>
    <row r="274" spans="1:13" s="3" customFormat="1" ht="12" customHeight="1" x14ac:dyDescent="0.15">
      <c r="A274" s="1" t="s">
        <v>467</v>
      </c>
      <c r="B274" s="2" t="s">
        <v>381</v>
      </c>
      <c r="C274" s="2" t="s">
        <v>319</v>
      </c>
      <c r="D274" s="2" t="s">
        <v>455</v>
      </c>
      <c r="E274" s="6">
        <v>2200</v>
      </c>
      <c r="F274" s="18">
        <v>2858.39</v>
      </c>
      <c r="G274" s="18">
        <f>218.68+229.25+0</f>
        <v>447.93</v>
      </c>
      <c r="H274" s="18">
        <f>8717.97+30.4</f>
        <v>8748.369999999999</v>
      </c>
      <c r="I274" s="18">
        <v>30.46</v>
      </c>
      <c r="J274" s="18"/>
      <c r="K274" s="18"/>
      <c r="L274" s="19">
        <f t="shared" si="12"/>
        <v>12085.149999999998</v>
      </c>
      <c r="M274" s="8"/>
    </row>
    <row r="275" spans="1:13" s="3" customFormat="1" ht="12" customHeight="1" x14ac:dyDescent="0.15">
      <c r="A275" s="1" t="s">
        <v>468</v>
      </c>
      <c r="B275" s="2" t="s">
        <v>381</v>
      </c>
      <c r="C275" s="2" t="s">
        <v>320</v>
      </c>
      <c r="D275" s="2" t="s">
        <v>455</v>
      </c>
      <c r="E275" s="6">
        <v>2300</v>
      </c>
      <c r="F275" s="18"/>
      <c r="G275" s="18"/>
      <c r="H275" s="18"/>
      <c r="I275" s="18"/>
      <c r="J275" s="18"/>
      <c r="K275" s="18">
        <v>601.45000000000005</v>
      </c>
      <c r="L275" s="19">
        <f t="shared" si="12"/>
        <v>601.45000000000005</v>
      </c>
      <c r="M275" s="8"/>
    </row>
    <row r="276" spans="1:13" s="3" customFormat="1" ht="12" customHeight="1" x14ac:dyDescent="0.15">
      <c r="A276" s="1" t="s">
        <v>469</v>
      </c>
      <c r="B276" s="2" t="s">
        <v>381</v>
      </c>
      <c r="C276" s="2" t="s">
        <v>321</v>
      </c>
      <c r="D276" s="2" t="s">
        <v>455</v>
      </c>
      <c r="E276" s="6">
        <v>2400</v>
      </c>
      <c r="F276" s="18"/>
      <c r="G276" s="18"/>
      <c r="H276" s="18"/>
      <c r="I276" s="18"/>
      <c r="J276" s="18"/>
      <c r="K276" s="18"/>
      <c r="L276" s="19">
        <f t="shared" si="12"/>
        <v>0</v>
      </c>
      <c r="M276" s="8"/>
    </row>
    <row r="277" spans="1:13" s="3" customFormat="1" ht="12" customHeight="1" x14ac:dyDescent="0.15">
      <c r="A277" s="1" t="s">
        <v>470</v>
      </c>
      <c r="B277" s="2" t="s">
        <v>381</v>
      </c>
      <c r="C277" s="2" t="s">
        <v>322</v>
      </c>
      <c r="D277" s="2" t="s">
        <v>455</v>
      </c>
      <c r="E277" s="6">
        <v>2500</v>
      </c>
      <c r="F277" s="18"/>
      <c r="G277" s="18"/>
      <c r="H277" s="18"/>
      <c r="I277" s="18"/>
      <c r="J277" s="18"/>
      <c r="K277" s="18"/>
      <c r="L277" s="19">
        <f t="shared" si="12"/>
        <v>0</v>
      </c>
      <c r="M277" s="8"/>
    </row>
    <row r="278" spans="1:13" s="3" customFormat="1" ht="12" customHeight="1" x14ac:dyDescent="0.15">
      <c r="A278" s="1" t="s">
        <v>471</v>
      </c>
      <c r="B278" s="2" t="s">
        <v>381</v>
      </c>
      <c r="C278" s="2" t="s">
        <v>323</v>
      </c>
      <c r="D278" s="2" t="s">
        <v>455</v>
      </c>
      <c r="E278" s="6">
        <v>2600</v>
      </c>
      <c r="F278" s="18"/>
      <c r="G278" s="18"/>
      <c r="H278" s="18"/>
      <c r="I278" s="18"/>
      <c r="J278" s="18"/>
      <c r="K278" s="18"/>
      <c r="L278" s="19">
        <f t="shared" si="12"/>
        <v>0</v>
      </c>
      <c r="M278" s="8"/>
    </row>
    <row r="279" spans="1:13" s="3" customFormat="1" ht="12" customHeight="1" x14ac:dyDescent="0.15">
      <c r="A279" s="1" t="s">
        <v>472</v>
      </c>
      <c r="B279" s="2" t="s">
        <v>381</v>
      </c>
      <c r="C279" s="2" t="s">
        <v>324</v>
      </c>
      <c r="D279" s="2" t="s">
        <v>455</v>
      </c>
      <c r="E279" s="6">
        <v>2700</v>
      </c>
      <c r="F279" s="18"/>
      <c r="G279" s="18"/>
      <c r="H279" s="18"/>
      <c r="I279" s="18"/>
      <c r="J279" s="18"/>
      <c r="K279" s="18"/>
      <c r="L279" s="19">
        <f t="shared" si="12"/>
        <v>0</v>
      </c>
      <c r="M279" s="8"/>
    </row>
    <row r="280" spans="1:13" s="3" customFormat="1" ht="12" customHeight="1" x14ac:dyDescent="0.15">
      <c r="A280" s="1" t="s">
        <v>473</v>
      </c>
      <c r="B280" s="2" t="s">
        <v>381</v>
      </c>
      <c r="C280" s="2" t="s">
        <v>367</v>
      </c>
      <c r="D280" s="2" t="s">
        <v>455</v>
      </c>
      <c r="E280" s="6">
        <v>2800</v>
      </c>
      <c r="F280" s="18"/>
      <c r="G280" s="18"/>
      <c r="H280" s="18"/>
      <c r="I280" s="18"/>
      <c r="J280" s="18"/>
      <c r="K280" s="18"/>
      <c r="L280" s="19">
        <f>SUM(F280:K280)</f>
        <v>0</v>
      </c>
      <c r="M280" s="8"/>
    </row>
    <row r="281" spans="1:13" s="3" customFormat="1" ht="12" customHeight="1" thickBot="1" x14ac:dyDescent="0.2">
      <c r="A281" s="1" t="s">
        <v>474</v>
      </c>
      <c r="B281" s="2" t="s">
        <v>381</v>
      </c>
      <c r="C281" s="2" t="s">
        <v>368</v>
      </c>
      <c r="D281" s="2" t="s">
        <v>455</v>
      </c>
      <c r="E281" s="6">
        <v>2900</v>
      </c>
      <c r="F281" s="24" t="s">
        <v>312</v>
      </c>
      <c r="G281" s="24" t="s">
        <v>312</v>
      </c>
      <c r="H281" s="24" t="s">
        <v>312</v>
      </c>
      <c r="I281" s="24" t="s">
        <v>312</v>
      </c>
      <c r="J281" s="24" t="s">
        <v>312</v>
      </c>
      <c r="K281" s="24" t="s">
        <v>312</v>
      </c>
      <c r="L281" s="24" t="s">
        <v>312</v>
      </c>
      <c r="M281" s="8"/>
    </row>
    <row r="282" spans="1:13" s="3" customFormat="1" ht="12" customHeight="1" thickTop="1" x14ac:dyDescent="0.2">
      <c r="A282" s="38" t="s">
        <v>443</v>
      </c>
      <c r="B282" s="39" t="s">
        <v>381</v>
      </c>
      <c r="C282" s="39" t="s">
        <v>369</v>
      </c>
      <c r="D282" s="39" t="s">
        <v>455</v>
      </c>
      <c r="E282" s="39"/>
      <c r="F282" s="42">
        <f t="shared" ref="F282:L282" si="13">SUM(F268:F281)</f>
        <v>22554.29</v>
      </c>
      <c r="G282" s="42">
        <f t="shared" si="13"/>
        <v>4581.6100000000006</v>
      </c>
      <c r="H282" s="42">
        <f t="shared" si="13"/>
        <v>8748.369999999999</v>
      </c>
      <c r="I282" s="42">
        <f t="shared" si="13"/>
        <v>2342.46</v>
      </c>
      <c r="J282" s="42">
        <f t="shared" si="13"/>
        <v>40477.25</v>
      </c>
      <c r="K282" s="42">
        <f t="shared" si="13"/>
        <v>601.45000000000005</v>
      </c>
      <c r="L282" s="41">
        <f t="shared" si="13"/>
        <v>79305.429999999993</v>
      </c>
      <c r="M282" s="8"/>
    </row>
    <row r="283" spans="1:13" s="3" customFormat="1" ht="12" customHeight="1" x14ac:dyDescent="0.2">
      <c r="A283" s="70"/>
      <c r="B283" s="36"/>
      <c r="C283" s="36"/>
      <c r="D283" s="36"/>
      <c r="E283" s="36"/>
      <c r="F283" s="53"/>
      <c r="G283" s="53"/>
      <c r="H283" s="53"/>
      <c r="I283" s="53"/>
      <c r="J283" s="53"/>
      <c r="K283" s="53"/>
      <c r="L283" s="67"/>
      <c r="M283" s="8"/>
    </row>
    <row r="284" spans="1:13" s="3" customFormat="1" ht="12" customHeight="1" x14ac:dyDescent="0.15">
      <c r="A284" s="29" t="s">
        <v>490</v>
      </c>
      <c r="B284" s="2" t="s">
        <v>350</v>
      </c>
      <c r="C284" s="2" t="s">
        <v>350</v>
      </c>
      <c r="D284" s="2"/>
      <c r="E284" s="2"/>
      <c r="F284" s="177" t="s">
        <v>724</v>
      </c>
      <c r="G284" s="177" t="s">
        <v>725</v>
      </c>
      <c r="H284" s="177" t="s">
        <v>726</v>
      </c>
      <c r="I284" s="177" t="s">
        <v>727</v>
      </c>
      <c r="J284" s="177" t="s">
        <v>728</v>
      </c>
      <c r="K284" s="177" t="s">
        <v>729</v>
      </c>
      <c r="L284" s="17"/>
      <c r="M284" s="8"/>
    </row>
    <row r="285" spans="1:13" s="3" customFormat="1" ht="12" customHeight="1" x14ac:dyDescent="0.15">
      <c r="A285" s="29" t="s">
        <v>476</v>
      </c>
      <c r="B285" s="7"/>
      <c r="C285" s="7"/>
      <c r="D285" s="7"/>
      <c r="E285" s="7"/>
      <c r="F285" s="103" t="s">
        <v>54</v>
      </c>
      <c r="G285" s="103" t="s">
        <v>55</v>
      </c>
      <c r="H285" s="103" t="s">
        <v>56</v>
      </c>
      <c r="I285" s="103" t="s">
        <v>57</v>
      </c>
      <c r="J285" s="103" t="s">
        <v>58</v>
      </c>
      <c r="K285" s="103" t="s">
        <v>59</v>
      </c>
      <c r="L285" s="103" t="s">
        <v>5</v>
      </c>
      <c r="M285" s="8"/>
    </row>
    <row r="286" spans="1:13" s="3" customFormat="1" ht="12" customHeight="1" x14ac:dyDescent="0.15">
      <c r="A286" s="30" t="s">
        <v>218</v>
      </c>
      <c r="F286" s="24" t="s">
        <v>312</v>
      </c>
      <c r="G286" s="24" t="s">
        <v>312</v>
      </c>
      <c r="H286" s="24" t="s">
        <v>312</v>
      </c>
      <c r="I286" s="24" t="s">
        <v>312</v>
      </c>
      <c r="J286" s="24" t="s">
        <v>312</v>
      </c>
      <c r="K286" s="24" t="s">
        <v>312</v>
      </c>
      <c r="L286" s="24" t="s">
        <v>312</v>
      </c>
      <c r="M286" s="8"/>
    </row>
    <row r="287" spans="1:13" s="3" customFormat="1" ht="12" customHeight="1" x14ac:dyDescent="0.15">
      <c r="A287" s="1" t="s">
        <v>462</v>
      </c>
      <c r="B287" s="2" t="s">
        <v>382</v>
      </c>
      <c r="C287" s="2" t="s">
        <v>314</v>
      </c>
      <c r="D287" s="2" t="s">
        <v>455</v>
      </c>
      <c r="E287" s="6">
        <v>1100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</row>
    <row r="288" spans="1:13" s="3" customFormat="1" ht="12" customHeight="1" x14ac:dyDescent="0.15">
      <c r="A288" s="1" t="s">
        <v>463</v>
      </c>
      <c r="B288" s="2" t="s">
        <v>382</v>
      </c>
      <c r="C288" s="2" t="s">
        <v>315</v>
      </c>
      <c r="D288" s="2" t="s">
        <v>455</v>
      </c>
      <c r="E288" s="6">
        <v>1200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</row>
    <row r="289" spans="1:13" s="3" customFormat="1" ht="12" customHeight="1" x14ac:dyDescent="0.15">
      <c r="A289" s="1" t="s">
        <v>464</v>
      </c>
      <c r="B289" s="2" t="s">
        <v>382</v>
      </c>
      <c r="C289" s="2" t="s">
        <v>316</v>
      </c>
      <c r="D289" s="2" t="s">
        <v>455</v>
      </c>
      <c r="E289" s="6">
        <v>1300</v>
      </c>
      <c r="F289" s="18"/>
      <c r="G289" s="18"/>
      <c r="H289" s="18"/>
      <c r="I289" s="18"/>
      <c r="J289" s="18"/>
      <c r="K289" s="18"/>
      <c r="L289" s="19">
        <f>SUM(F289:K289)</f>
        <v>0</v>
      </c>
      <c r="M289" s="8"/>
    </row>
    <row r="290" spans="1:13" s="3" customFormat="1" ht="12" customHeight="1" x14ac:dyDescent="0.15">
      <c r="A290" s="1" t="s">
        <v>465</v>
      </c>
      <c r="B290" s="2" t="s">
        <v>382</v>
      </c>
      <c r="C290" s="2" t="s">
        <v>317</v>
      </c>
      <c r="D290" s="2" t="s">
        <v>455</v>
      </c>
      <c r="E290" s="6">
        <v>1400</v>
      </c>
      <c r="F290" s="18"/>
      <c r="G290" s="18"/>
      <c r="H290" s="18"/>
      <c r="I290" s="18"/>
      <c r="J290" s="18"/>
      <c r="K290" s="18"/>
      <c r="L290" s="19">
        <f>SUM(F290:K290)</f>
        <v>0</v>
      </c>
      <c r="M290" s="8"/>
    </row>
    <row r="291" spans="1:13" s="3" customFormat="1" ht="12" customHeight="1" x14ac:dyDescent="0.15">
      <c r="A291" s="30" t="s">
        <v>366</v>
      </c>
      <c r="E291" s="6"/>
      <c r="F291" s="24" t="s">
        <v>312</v>
      </c>
      <c r="G291" s="24" t="s">
        <v>312</v>
      </c>
      <c r="H291" s="24" t="s">
        <v>312</v>
      </c>
      <c r="I291" s="24" t="s">
        <v>312</v>
      </c>
      <c r="J291" s="24" t="s">
        <v>312</v>
      </c>
      <c r="K291" s="24" t="s">
        <v>312</v>
      </c>
      <c r="L291" s="24" t="s">
        <v>312</v>
      </c>
      <c r="M291" s="8"/>
    </row>
    <row r="292" spans="1:13" s="3" customFormat="1" ht="12" customHeight="1" x14ac:dyDescent="0.15">
      <c r="A292" s="1" t="s">
        <v>466</v>
      </c>
      <c r="B292" s="2" t="s">
        <v>382</v>
      </c>
      <c r="C292" s="2" t="s">
        <v>318</v>
      </c>
      <c r="D292" s="2" t="s">
        <v>455</v>
      </c>
      <c r="E292" s="6">
        <v>2100</v>
      </c>
      <c r="F292" s="18"/>
      <c r="G292" s="18"/>
      <c r="H292" s="18"/>
      <c r="I292" s="18"/>
      <c r="J292" s="18"/>
      <c r="K292" s="18"/>
      <c r="L292" s="19">
        <f t="shared" ref="L292:L298" si="14">SUM(F292:K292)</f>
        <v>0</v>
      </c>
      <c r="M292" s="8"/>
    </row>
    <row r="293" spans="1:13" s="3" customFormat="1" ht="12" customHeight="1" x14ac:dyDescent="0.15">
      <c r="A293" s="1" t="s">
        <v>467</v>
      </c>
      <c r="B293" s="2" t="s">
        <v>382</v>
      </c>
      <c r="C293" s="2" t="s">
        <v>319</v>
      </c>
      <c r="D293" s="2" t="s">
        <v>455</v>
      </c>
      <c r="E293" s="6">
        <v>2200</v>
      </c>
      <c r="F293" s="18"/>
      <c r="G293" s="18"/>
      <c r="H293" s="18"/>
      <c r="I293" s="18"/>
      <c r="J293" s="18"/>
      <c r="K293" s="18"/>
      <c r="L293" s="19">
        <f t="shared" si="14"/>
        <v>0</v>
      </c>
      <c r="M293" s="8"/>
    </row>
    <row r="294" spans="1:13" s="3" customFormat="1" ht="12" customHeight="1" x14ac:dyDescent="0.15">
      <c r="A294" s="1" t="s">
        <v>468</v>
      </c>
      <c r="B294" s="2" t="s">
        <v>382</v>
      </c>
      <c r="C294" s="2" t="s">
        <v>320</v>
      </c>
      <c r="D294" s="2" t="s">
        <v>455</v>
      </c>
      <c r="E294" s="6">
        <v>2300</v>
      </c>
      <c r="F294" s="18"/>
      <c r="G294" s="18"/>
      <c r="H294" s="18"/>
      <c r="I294" s="18"/>
      <c r="J294" s="18"/>
      <c r="K294" s="18"/>
      <c r="L294" s="19">
        <f t="shared" si="14"/>
        <v>0</v>
      </c>
      <c r="M294" s="8"/>
    </row>
    <row r="295" spans="1:13" s="3" customFormat="1" ht="12" customHeight="1" x14ac:dyDescent="0.15">
      <c r="A295" s="1" t="s">
        <v>469</v>
      </c>
      <c r="B295" s="2" t="s">
        <v>382</v>
      </c>
      <c r="C295" s="2" t="s">
        <v>321</v>
      </c>
      <c r="D295" s="2" t="s">
        <v>455</v>
      </c>
      <c r="E295" s="6">
        <v>2400</v>
      </c>
      <c r="F295" s="18"/>
      <c r="G295" s="18"/>
      <c r="H295" s="18"/>
      <c r="I295" s="18"/>
      <c r="J295" s="18"/>
      <c r="K295" s="18"/>
      <c r="L295" s="19">
        <f t="shared" si="14"/>
        <v>0</v>
      </c>
      <c r="M295" s="8"/>
    </row>
    <row r="296" spans="1:13" s="3" customFormat="1" ht="12" customHeight="1" x14ac:dyDescent="0.15">
      <c r="A296" s="1" t="s">
        <v>470</v>
      </c>
      <c r="B296" s="2" t="s">
        <v>382</v>
      </c>
      <c r="C296" s="2" t="s">
        <v>322</v>
      </c>
      <c r="D296" s="2" t="s">
        <v>455</v>
      </c>
      <c r="E296" s="6">
        <v>2500</v>
      </c>
      <c r="F296" s="18"/>
      <c r="G296" s="18"/>
      <c r="H296" s="18"/>
      <c r="I296" s="18"/>
      <c r="J296" s="18"/>
      <c r="K296" s="18"/>
      <c r="L296" s="19">
        <f t="shared" si="14"/>
        <v>0</v>
      </c>
      <c r="M296" s="8"/>
    </row>
    <row r="297" spans="1:13" s="3" customFormat="1" ht="12" customHeight="1" x14ac:dyDescent="0.15">
      <c r="A297" s="1" t="s">
        <v>471</v>
      </c>
      <c r="B297" s="2" t="s">
        <v>382</v>
      </c>
      <c r="C297" s="2" t="s">
        <v>323</v>
      </c>
      <c r="D297" s="2" t="s">
        <v>455</v>
      </c>
      <c r="E297" s="6">
        <v>2600</v>
      </c>
      <c r="F297" s="18"/>
      <c r="G297" s="18"/>
      <c r="H297" s="18"/>
      <c r="I297" s="18"/>
      <c r="J297" s="18"/>
      <c r="K297" s="18"/>
      <c r="L297" s="19">
        <f t="shared" si="14"/>
        <v>0</v>
      </c>
      <c r="M297" s="8"/>
    </row>
    <row r="298" spans="1:13" s="3" customFormat="1" ht="12" customHeight="1" x14ac:dyDescent="0.15">
      <c r="A298" s="1" t="s">
        <v>472</v>
      </c>
      <c r="B298" s="2" t="s">
        <v>382</v>
      </c>
      <c r="C298" s="2" t="s">
        <v>324</v>
      </c>
      <c r="D298" s="2" t="s">
        <v>455</v>
      </c>
      <c r="E298" s="6">
        <v>2700</v>
      </c>
      <c r="F298" s="18"/>
      <c r="G298" s="18"/>
      <c r="H298" s="18"/>
      <c r="I298" s="18"/>
      <c r="J298" s="18"/>
      <c r="K298" s="18"/>
      <c r="L298" s="19">
        <f t="shared" si="14"/>
        <v>0</v>
      </c>
      <c r="M298" s="8"/>
    </row>
    <row r="299" spans="1:13" s="3" customFormat="1" ht="12" customHeight="1" x14ac:dyDescent="0.15">
      <c r="A299" s="1" t="s">
        <v>473</v>
      </c>
      <c r="B299" s="2" t="s">
        <v>382</v>
      </c>
      <c r="C299" s="2" t="s">
        <v>367</v>
      </c>
      <c r="D299" s="2" t="s">
        <v>455</v>
      </c>
      <c r="E299" s="6">
        <v>2800</v>
      </c>
      <c r="F299" s="18"/>
      <c r="G299" s="18"/>
      <c r="H299" s="18"/>
      <c r="I299" s="18"/>
      <c r="J299" s="18"/>
      <c r="K299" s="18"/>
      <c r="L299" s="19">
        <f>SUM(F299:K299)</f>
        <v>0</v>
      </c>
      <c r="M299" s="8"/>
    </row>
    <row r="300" spans="1:13" s="3" customFormat="1" ht="12" customHeight="1" thickBot="1" x14ac:dyDescent="0.2">
      <c r="A300" s="1" t="s">
        <v>474</v>
      </c>
      <c r="B300" s="2" t="s">
        <v>382</v>
      </c>
      <c r="C300" s="2" t="s">
        <v>368</v>
      </c>
      <c r="D300" s="2" t="s">
        <v>455</v>
      </c>
      <c r="E300" s="6">
        <v>2900</v>
      </c>
      <c r="F300" s="24" t="s">
        <v>312</v>
      </c>
      <c r="G300" s="24" t="s">
        <v>312</v>
      </c>
      <c r="H300" s="24" t="s">
        <v>312</v>
      </c>
      <c r="I300" s="24" t="s">
        <v>312</v>
      </c>
      <c r="J300" s="24" t="s">
        <v>312</v>
      </c>
      <c r="K300" s="24" t="s">
        <v>312</v>
      </c>
      <c r="L300" s="24" t="s">
        <v>312</v>
      </c>
      <c r="M300" s="8"/>
    </row>
    <row r="301" spans="1:13" s="3" customFormat="1" ht="12" customHeight="1" thickTop="1" x14ac:dyDescent="0.2">
      <c r="A301" s="38" t="s">
        <v>483</v>
      </c>
      <c r="B301" s="39" t="s">
        <v>382</v>
      </c>
      <c r="C301" s="40">
        <v>14</v>
      </c>
      <c r="D301" s="39" t="s">
        <v>455</v>
      </c>
      <c r="E301" s="40"/>
      <c r="F301" s="42">
        <f t="shared" ref="F301:L301" si="15">SUM(F287:F300)</f>
        <v>0</v>
      </c>
      <c r="G301" s="42">
        <f t="shared" si="15"/>
        <v>0</v>
      </c>
      <c r="H301" s="42">
        <f t="shared" si="15"/>
        <v>0</v>
      </c>
      <c r="I301" s="42">
        <f t="shared" si="15"/>
        <v>0</v>
      </c>
      <c r="J301" s="42">
        <f t="shared" si="15"/>
        <v>0</v>
      </c>
      <c r="K301" s="42">
        <f t="shared" si="15"/>
        <v>0</v>
      </c>
      <c r="L301" s="41">
        <f t="shared" si="15"/>
        <v>0</v>
      </c>
      <c r="M301" s="8"/>
    </row>
    <row r="302" spans="1:13" s="3" customFormat="1" ht="12" customHeight="1" x14ac:dyDescent="0.2">
      <c r="A302" s="70"/>
      <c r="B302" s="36"/>
      <c r="C302" s="37"/>
      <c r="D302" s="37"/>
      <c r="E302" s="37"/>
      <c r="F302" s="53"/>
      <c r="G302" s="53"/>
      <c r="H302" s="53"/>
      <c r="I302" s="53"/>
      <c r="J302" s="53"/>
      <c r="K302" s="53"/>
      <c r="L302" s="67"/>
      <c r="M302" s="8"/>
    </row>
    <row r="303" spans="1:13" ht="12" customHeight="1" x14ac:dyDescent="0.2">
      <c r="A303" s="29" t="s">
        <v>490</v>
      </c>
      <c r="F303" s="177" t="s">
        <v>724</v>
      </c>
      <c r="G303" s="177" t="s">
        <v>725</v>
      </c>
      <c r="H303" s="177" t="s">
        <v>726</v>
      </c>
      <c r="I303" s="177" t="s">
        <v>727</v>
      </c>
      <c r="J303" s="177" t="s">
        <v>728</v>
      </c>
      <c r="K303" s="177" t="s">
        <v>729</v>
      </c>
    </row>
    <row r="304" spans="1:13" s="3" customFormat="1" ht="12" customHeight="1" x14ac:dyDescent="0.15">
      <c r="A304" s="29" t="s">
        <v>477</v>
      </c>
      <c r="F304" s="103" t="s">
        <v>54</v>
      </c>
      <c r="G304" s="103" t="s">
        <v>55</v>
      </c>
      <c r="H304" s="103" t="s">
        <v>56</v>
      </c>
      <c r="I304" s="103" t="s">
        <v>57</v>
      </c>
      <c r="J304" s="103" t="s">
        <v>58</v>
      </c>
      <c r="K304" s="103" t="s">
        <v>59</v>
      </c>
      <c r="L304" s="103" t="s">
        <v>5</v>
      </c>
      <c r="M304" s="8"/>
    </row>
    <row r="305" spans="1:13" s="3" customFormat="1" ht="12" customHeight="1" x14ac:dyDescent="0.15">
      <c r="A305" s="30" t="s">
        <v>218</v>
      </c>
      <c r="F305" s="24" t="s">
        <v>312</v>
      </c>
      <c r="G305" s="24" t="s">
        <v>312</v>
      </c>
      <c r="H305" s="24" t="s">
        <v>312</v>
      </c>
      <c r="I305" s="24" t="s">
        <v>312</v>
      </c>
      <c r="J305" s="24" t="s">
        <v>312</v>
      </c>
      <c r="K305" s="24" t="s">
        <v>312</v>
      </c>
      <c r="L305" s="24" t="s">
        <v>312</v>
      </c>
      <c r="M305" s="8"/>
    </row>
    <row r="306" spans="1:13" s="3" customFormat="1" ht="12" customHeight="1" x14ac:dyDescent="0.15">
      <c r="A306" s="1" t="s">
        <v>462</v>
      </c>
      <c r="B306" s="2" t="s">
        <v>383</v>
      </c>
      <c r="C306" s="2" t="s">
        <v>314</v>
      </c>
      <c r="D306" s="2" t="s">
        <v>455</v>
      </c>
      <c r="E306" s="6">
        <v>1100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</row>
    <row r="307" spans="1:13" s="3" customFormat="1" ht="12" customHeight="1" x14ac:dyDescent="0.15">
      <c r="A307" s="1" t="s">
        <v>463</v>
      </c>
      <c r="B307" s="2" t="s">
        <v>383</v>
      </c>
      <c r="C307" s="2" t="s">
        <v>315</v>
      </c>
      <c r="D307" s="2" t="s">
        <v>455</v>
      </c>
      <c r="E307" s="6">
        <v>1200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</row>
    <row r="308" spans="1:13" s="3" customFormat="1" ht="12" customHeight="1" x14ac:dyDescent="0.15">
      <c r="A308" s="1" t="s">
        <v>464</v>
      </c>
      <c r="B308" s="2" t="s">
        <v>383</v>
      </c>
      <c r="C308" s="2" t="s">
        <v>316</v>
      </c>
      <c r="D308" s="2" t="s">
        <v>455</v>
      </c>
      <c r="E308" s="6">
        <v>1300</v>
      </c>
      <c r="F308" s="18"/>
      <c r="G308" s="18"/>
      <c r="H308" s="18"/>
      <c r="I308" s="18"/>
      <c r="J308" s="18"/>
      <c r="K308" s="18"/>
      <c r="L308" s="19">
        <f>SUM(F308:K308)</f>
        <v>0</v>
      </c>
      <c r="M308" s="8"/>
    </row>
    <row r="309" spans="1:13" s="3" customFormat="1" ht="12" customHeight="1" x14ac:dyDescent="0.15">
      <c r="A309" s="1" t="s">
        <v>465</v>
      </c>
      <c r="B309" s="2" t="s">
        <v>383</v>
      </c>
      <c r="C309" s="2" t="s">
        <v>317</v>
      </c>
      <c r="D309" s="2" t="s">
        <v>455</v>
      </c>
      <c r="E309" s="6">
        <v>1400</v>
      </c>
      <c r="F309" s="18"/>
      <c r="G309" s="18"/>
      <c r="H309" s="18"/>
      <c r="I309" s="18"/>
      <c r="J309" s="18"/>
      <c r="K309" s="18"/>
      <c r="L309" s="19">
        <f>SUM(F309:K309)</f>
        <v>0</v>
      </c>
      <c r="M309" s="8"/>
    </row>
    <row r="310" spans="1:13" s="3" customFormat="1" ht="12" customHeight="1" x14ac:dyDescent="0.15">
      <c r="A310" s="30" t="s">
        <v>366</v>
      </c>
      <c r="C310" s="23"/>
      <c r="E310" s="6"/>
      <c r="F310" s="24" t="s">
        <v>312</v>
      </c>
      <c r="G310" s="24" t="s">
        <v>312</v>
      </c>
      <c r="H310" s="24" t="s">
        <v>312</v>
      </c>
      <c r="I310" s="24" t="s">
        <v>312</v>
      </c>
      <c r="J310" s="24" t="s">
        <v>312</v>
      </c>
      <c r="K310" s="24" t="s">
        <v>312</v>
      </c>
      <c r="L310" s="24" t="s">
        <v>312</v>
      </c>
      <c r="M310" s="8"/>
    </row>
    <row r="311" spans="1:13" s="3" customFormat="1" ht="12" customHeight="1" x14ac:dyDescent="0.15">
      <c r="A311" s="1" t="s">
        <v>466</v>
      </c>
      <c r="B311" s="2" t="s">
        <v>383</v>
      </c>
      <c r="C311" s="2" t="s">
        <v>318</v>
      </c>
      <c r="D311" s="2" t="s">
        <v>455</v>
      </c>
      <c r="E311" s="6">
        <v>2100</v>
      </c>
      <c r="F311" s="18"/>
      <c r="G311" s="18"/>
      <c r="H311" s="18"/>
      <c r="I311" s="18"/>
      <c r="J311" s="18"/>
      <c r="K311" s="18"/>
      <c r="L311" s="19">
        <f t="shared" ref="L311:L317" si="16">SUM(F311:K311)</f>
        <v>0</v>
      </c>
      <c r="M311" s="8"/>
    </row>
    <row r="312" spans="1:13" s="3" customFormat="1" ht="12" customHeight="1" x14ac:dyDescent="0.15">
      <c r="A312" s="1" t="s">
        <v>467</v>
      </c>
      <c r="B312" s="2" t="s">
        <v>383</v>
      </c>
      <c r="C312" s="2" t="s">
        <v>319</v>
      </c>
      <c r="D312" s="2" t="s">
        <v>455</v>
      </c>
      <c r="E312" s="6">
        <v>2200</v>
      </c>
      <c r="F312" s="18"/>
      <c r="G312" s="18"/>
      <c r="H312" s="18"/>
      <c r="I312" s="18"/>
      <c r="J312" s="18"/>
      <c r="K312" s="18"/>
      <c r="L312" s="19">
        <f t="shared" si="16"/>
        <v>0</v>
      </c>
      <c r="M312" s="8"/>
    </row>
    <row r="313" spans="1:13" s="3" customFormat="1" ht="12" customHeight="1" x14ac:dyDescent="0.15">
      <c r="A313" s="1" t="s">
        <v>468</v>
      </c>
      <c r="B313" s="2" t="s">
        <v>383</v>
      </c>
      <c r="C313" s="2" t="s">
        <v>320</v>
      </c>
      <c r="D313" s="2" t="s">
        <v>455</v>
      </c>
      <c r="E313" s="6">
        <v>2300</v>
      </c>
      <c r="F313" s="18"/>
      <c r="G313" s="18"/>
      <c r="H313" s="18"/>
      <c r="I313" s="18"/>
      <c r="J313" s="18"/>
      <c r="K313" s="18"/>
      <c r="L313" s="19">
        <f t="shared" si="16"/>
        <v>0</v>
      </c>
      <c r="M313" s="8"/>
    </row>
    <row r="314" spans="1:13" s="3" customFormat="1" ht="12" customHeight="1" x14ac:dyDescent="0.15">
      <c r="A314" s="1" t="s">
        <v>469</v>
      </c>
      <c r="B314" s="2" t="s">
        <v>383</v>
      </c>
      <c r="C314" s="2" t="s">
        <v>321</v>
      </c>
      <c r="D314" s="2" t="s">
        <v>455</v>
      </c>
      <c r="E314" s="6">
        <v>2400</v>
      </c>
      <c r="F314" s="18"/>
      <c r="G314" s="18"/>
      <c r="H314" s="18"/>
      <c r="I314" s="18"/>
      <c r="J314" s="18"/>
      <c r="K314" s="18"/>
      <c r="L314" s="19">
        <f t="shared" si="16"/>
        <v>0</v>
      </c>
      <c r="M314" s="8"/>
    </row>
    <row r="315" spans="1:13" s="3" customFormat="1" ht="12" customHeight="1" x14ac:dyDescent="0.15">
      <c r="A315" s="1" t="s">
        <v>470</v>
      </c>
      <c r="B315" s="2" t="s">
        <v>383</v>
      </c>
      <c r="C315" s="2" t="s">
        <v>322</v>
      </c>
      <c r="D315" s="2" t="s">
        <v>455</v>
      </c>
      <c r="E315" s="6">
        <v>2500</v>
      </c>
      <c r="F315" s="18"/>
      <c r="G315" s="18"/>
      <c r="H315" s="18"/>
      <c r="I315" s="18"/>
      <c r="J315" s="18"/>
      <c r="K315" s="18"/>
      <c r="L315" s="19">
        <f t="shared" si="16"/>
        <v>0</v>
      </c>
      <c r="M315" s="8"/>
    </row>
    <row r="316" spans="1:13" s="3" customFormat="1" ht="12" customHeight="1" x14ac:dyDescent="0.15">
      <c r="A316" s="1" t="s">
        <v>471</v>
      </c>
      <c r="B316" s="2" t="s">
        <v>383</v>
      </c>
      <c r="C316" s="2" t="s">
        <v>323</v>
      </c>
      <c r="D316" s="2" t="s">
        <v>455</v>
      </c>
      <c r="E316" s="6">
        <v>2600</v>
      </c>
      <c r="F316" s="18"/>
      <c r="G316" s="18"/>
      <c r="H316" s="18"/>
      <c r="I316" s="18"/>
      <c r="J316" s="18"/>
      <c r="K316" s="18"/>
      <c r="L316" s="19">
        <f t="shared" si="16"/>
        <v>0</v>
      </c>
      <c r="M316" s="8"/>
    </row>
    <row r="317" spans="1:13" s="3" customFormat="1" ht="12" customHeight="1" x14ac:dyDescent="0.15">
      <c r="A317" s="1" t="s">
        <v>472</v>
      </c>
      <c r="B317" s="2" t="s">
        <v>383</v>
      </c>
      <c r="C317" s="2" t="s">
        <v>324</v>
      </c>
      <c r="D317" s="2" t="s">
        <v>455</v>
      </c>
      <c r="E317" s="6">
        <v>2700</v>
      </c>
      <c r="F317" s="18"/>
      <c r="G317" s="18"/>
      <c r="H317" s="18"/>
      <c r="I317" s="18"/>
      <c r="J317" s="18"/>
      <c r="K317" s="18"/>
      <c r="L317" s="19">
        <f t="shared" si="16"/>
        <v>0</v>
      </c>
      <c r="M317" s="8"/>
    </row>
    <row r="318" spans="1:13" s="3" customFormat="1" ht="12" customHeight="1" x14ac:dyDescent="0.15">
      <c r="A318" s="1" t="s">
        <v>473</v>
      </c>
      <c r="B318" s="2" t="s">
        <v>383</v>
      </c>
      <c r="C318" s="2" t="s">
        <v>367</v>
      </c>
      <c r="D318" s="2" t="s">
        <v>455</v>
      </c>
      <c r="E318" s="6">
        <v>2800</v>
      </c>
      <c r="F318" s="18"/>
      <c r="G318" s="18"/>
      <c r="H318" s="18"/>
      <c r="I318" s="18"/>
      <c r="J318" s="18"/>
      <c r="K318" s="18"/>
      <c r="L318" s="19">
        <f>SUM(F318:K318)</f>
        <v>0</v>
      </c>
      <c r="M318" s="8"/>
    </row>
    <row r="319" spans="1:13" s="3" customFormat="1" ht="12" customHeight="1" thickBot="1" x14ac:dyDescent="0.2">
      <c r="A319" s="1" t="s">
        <v>474</v>
      </c>
      <c r="B319" s="2" t="s">
        <v>383</v>
      </c>
      <c r="C319" s="2" t="s">
        <v>368</v>
      </c>
      <c r="D319" s="2" t="s">
        <v>455</v>
      </c>
      <c r="E319" s="6">
        <v>2900</v>
      </c>
      <c r="F319" s="24" t="s">
        <v>312</v>
      </c>
      <c r="G319" s="24" t="s">
        <v>312</v>
      </c>
      <c r="H319" s="24" t="s">
        <v>312</v>
      </c>
      <c r="I319" s="24" t="s">
        <v>312</v>
      </c>
      <c r="J319" s="24" t="s">
        <v>312</v>
      </c>
      <c r="K319" s="24" t="s">
        <v>312</v>
      </c>
      <c r="L319" s="24" t="s">
        <v>312</v>
      </c>
      <c r="M319" s="8"/>
    </row>
    <row r="320" spans="1:13" s="3" customFormat="1" ht="12" customHeight="1" thickTop="1" x14ac:dyDescent="0.2">
      <c r="A320" s="38" t="s">
        <v>715</v>
      </c>
      <c r="B320" s="39" t="s">
        <v>383</v>
      </c>
      <c r="C320" s="40">
        <v>14</v>
      </c>
      <c r="D320" s="39" t="s">
        <v>455</v>
      </c>
      <c r="E320" s="40"/>
      <c r="F320" s="42">
        <f t="shared" ref="F320:L320" si="17">SUM(F306:F319)</f>
        <v>0</v>
      </c>
      <c r="G320" s="42">
        <f t="shared" si="17"/>
        <v>0</v>
      </c>
      <c r="H320" s="42">
        <f t="shared" si="17"/>
        <v>0</v>
      </c>
      <c r="I320" s="42">
        <f t="shared" si="17"/>
        <v>0</v>
      </c>
      <c r="J320" s="42">
        <f t="shared" si="17"/>
        <v>0</v>
      </c>
      <c r="K320" s="42">
        <f t="shared" si="17"/>
        <v>0</v>
      </c>
      <c r="L320" s="41">
        <f t="shared" si="17"/>
        <v>0</v>
      </c>
      <c r="M320" s="8"/>
    </row>
    <row r="321" spans="1:13" s="3" customFormat="1" ht="12" customHeight="1" x14ac:dyDescent="0.2">
      <c r="A321" s="70"/>
      <c r="B321" s="36"/>
      <c r="C321" s="37"/>
      <c r="D321" s="37"/>
      <c r="E321" s="37"/>
      <c r="F321" s="53"/>
      <c r="G321" s="53"/>
      <c r="H321" s="53"/>
      <c r="I321" s="53"/>
      <c r="J321" s="53"/>
      <c r="K321" s="53"/>
      <c r="L321" s="67"/>
      <c r="M321" s="8"/>
    </row>
    <row r="322" spans="1:13" s="3" customFormat="1" ht="12" customHeight="1" x14ac:dyDescent="0.15">
      <c r="A322" s="29" t="s">
        <v>384</v>
      </c>
      <c r="B322" s="2"/>
      <c r="C322" s="6"/>
      <c r="D322" s="6"/>
      <c r="E322" s="6"/>
      <c r="F322" s="177" t="s">
        <v>724</v>
      </c>
      <c r="G322" s="177" t="s">
        <v>725</v>
      </c>
      <c r="H322" s="177" t="s">
        <v>726</v>
      </c>
      <c r="I322" s="177" t="s">
        <v>727</v>
      </c>
      <c r="J322" s="177" t="s">
        <v>728</v>
      </c>
      <c r="K322" s="177" t="s">
        <v>729</v>
      </c>
      <c r="L322" s="19"/>
      <c r="M322" s="8"/>
    </row>
    <row r="323" spans="1:13" s="3" customFormat="1" ht="12" customHeight="1" x14ac:dyDescent="0.15">
      <c r="A323" s="29" t="s">
        <v>385</v>
      </c>
      <c r="F323" s="103" t="s">
        <v>54</v>
      </c>
      <c r="G323" s="103" t="s">
        <v>55</v>
      </c>
      <c r="H323" s="103" t="s">
        <v>56</v>
      </c>
      <c r="I323" s="103" t="s">
        <v>57</v>
      </c>
      <c r="J323" s="103" t="s">
        <v>58</v>
      </c>
      <c r="K323" s="103" t="s">
        <v>59</v>
      </c>
      <c r="L323" s="103" t="s">
        <v>5</v>
      </c>
      <c r="M323" s="8"/>
    </row>
    <row r="324" spans="1:13" s="3" customFormat="1" ht="12" customHeight="1" x14ac:dyDescent="0.15">
      <c r="A324" s="1" t="s">
        <v>690</v>
      </c>
      <c r="B324" s="6">
        <v>14</v>
      </c>
      <c r="C324" s="2" t="s">
        <v>313</v>
      </c>
      <c r="D324" s="2" t="s">
        <v>455</v>
      </c>
      <c r="E324" s="6">
        <v>1500</v>
      </c>
      <c r="F324" s="18"/>
      <c r="G324" s="18"/>
      <c r="H324" s="18"/>
      <c r="I324" s="18"/>
      <c r="J324" s="18"/>
      <c r="K324" s="18"/>
      <c r="L324" s="19">
        <f t="shared" ref="L324:L329" si="18">SUM(F324:K324)</f>
        <v>0</v>
      </c>
      <c r="M324" s="8"/>
    </row>
    <row r="325" spans="1:13" s="3" customFormat="1" ht="12" customHeight="1" x14ac:dyDescent="0.15">
      <c r="A325" s="1" t="s">
        <v>377</v>
      </c>
      <c r="B325" s="6">
        <v>14</v>
      </c>
      <c r="C325" s="2" t="s">
        <v>333</v>
      </c>
      <c r="D325" s="2" t="s">
        <v>455</v>
      </c>
      <c r="E325" s="6">
        <v>1600</v>
      </c>
      <c r="F325" s="18"/>
      <c r="G325" s="18"/>
      <c r="H325" s="18"/>
      <c r="I325" s="18"/>
      <c r="J325" s="18"/>
      <c r="K325" s="18"/>
      <c r="L325" s="19">
        <f t="shared" si="18"/>
        <v>0</v>
      </c>
      <c r="M325" s="8"/>
    </row>
    <row r="326" spans="1:13" s="3" customFormat="1" ht="12" customHeight="1" x14ac:dyDescent="0.15">
      <c r="A326" s="1" t="s">
        <v>612</v>
      </c>
      <c r="B326" s="6">
        <v>14</v>
      </c>
      <c r="C326" s="2" t="s">
        <v>339</v>
      </c>
      <c r="D326" s="2" t="s">
        <v>455</v>
      </c>
      <c r="E326" s="6">
        <v>1700</v>
      </c>
      <c r="F326" s="18"/>
      <c r="G326" s="18"/>
      <c r="H326" s="18"/>
      <c r="I326" s="18"/>
      <c r="J326" s="18"/>
      <c r="K326" s="18"/>
      <c r="L326" s="19">
        <f t="shared" si="18"/>
        <v>0</v>
      </c>
      <c r="M326" s="8"/>
    </row>
    <row r="327" spans="1:13" s="3" customFormat="1" ht="12" customHeight="1" x14ac:dyDescent="0.15">
      <c r="A327" s="1" t="s">
        <v>613</v>
      </c>
      <c r="B327" s="6">
        <v>14</v>
      </c>
      <c r="C327" s="2" t="s">
        <v>345</v>
      </c>
      <c r="D327" s="2" t="s">
        <v>455</v>
      </c>
      <c r="E327" s="6">
        <v>1800</v>
      </c>
      <c r="F327" s="18"/>
      <c r="G327" s="18"/>
      <c r="H327" s="18"/>
      <c r="I327" s="18"/>
      <c r="J327" s="18"/>
      <c r="K327" s="18"/>
      <c r="L327" s="19">
        <f t="shared" si="18"/>
        <v>0</v>
      </c>
      <c r="M327" s="8"/>
    </row>
    <row r="328" spans="1:13" s="3" customFormat="1" ht="12" customHeight="1" thickBot="1" x14ac:dyDescent="0.2">
      <c r="A328" s="1" t="s">
        <v>614</v>
      </c>
      <c r="B328" s="6">
        <v>14</v>
      </c>
      <c r="C328" s="37">
        <v>5</v>
      </c>
      <c r="D328" s="2" t="s">
        <v>455</v>
      </c>
      <c r="E328" s="6">
        <v>4000</v>
      </c>
      <c r="F328" s="18"/>
      <c r="G328" s="18"/>
      <c r="H328" s="18"/>
      <c r="I328" s="18"/>
      <c r="J328" s="18"/>
      <c r="K328" s="18"/>
      <c r="L328" s="19">
        <f t="shared" si="18"/>
        <v>0</v>
      </c>
      <c r="M328" s="8"/>
    </row>
    <row r="329" spans="1:13" s="3" customFormat="1" ht="12" customHeight="1" thickTop="1" thickBot="1" x14ac:dyDescent="0.2">
      <c r="A329" s="50" t="s">
        <v>491</v>
      </c>
      <c r="B329" s="40">
        <v>14</v>
      </c>
      <c r="C329" s="51">
        <v>6</v>
      </c>
      <c r="D329" s="48" t="s">
        <v>455</v>
      </c>
      <c r="E329" s="51"/>
      <c r="F329" s="41">
        <f t="shared" ref="F329:K329" si="19">SUM(F324:F328)</f>
        <v>0</v>
      </c>
      <c r="G329" s="41">
        <f t="shared" si="19"/>
        <v>0</v>
      </c>
      <c r="H329" s="41">
        <f t="shared" si="19"/>
        <v>0</v>
      </c>
      <c r="I329" s="41">
        <f t="shared" si="19"/>
        <v>0</v>
      </c>
      <c r="J329" s="41">
        <f t="shared" si="19"/>
        <v>0</v>
      </c>
      <c r="K329" s="41">
        <f t="shared" si="19"/>
        <v>0</v>
      </c>
      <c r="L329" s="41">
        <f t="shared" si="18"/>
        <v>0</v>
      </c>
      <c r="M329" s="8"/>
    </row>
    <row r="330" spans="1:13" s="3" customFormat="1" ht="12" customHeight="1" thickTop="1" x14ac:dyDescent="0.15">
      <c r="A330" s="38" t="s">
        <v>492</v>
      </c>
      <c r="B330" s="40">
        <v>14</v>
      </c>
      <c r="C330" s="40">
        <v>7</v>
      </c>
      <c r="D330" s="39" t="s">
        <v>455</v>
      </c>
      <c r="E330" s="40"/>
      <c r="F330" s="41">
        <f t="shared" ref="F330:L330" si="20">F282+F301+F320+F329</f>
        <v>22554.29</v>
      </c>
      <c r="G330" s="41">
        <f t="shared" si="20"/>
        <v>4581.6100000000006</v>
      </c>
      <c r="H330" s="41">
        <f t="shared" si="20"/>
        <v>8748.369999999999</v>
      </c>
      <c r="I330" s="41">
        <f t="shared" si="20"/>
        <v>2342.46</v>
      </c>
      <c r="J330" s="41">
        <f t="shared" si="20"/>
        <v>40477.25</v>
      </c>
      <c r="K330" s="41">
        <f t="shared" si="20"/>
        <v>601.45000000000005</v>
      </c>
      <c r="L330" s="41">
        <f t="shared" si="20"/>
        <v>79305.429999999993</v>
      </c>
      <c r="M330" s="8"/>
    </row>
    <row r="331" spans="1:13" s="3" customFormat="1" ht="12" customHeight="1" x14ac:dyDescent="0.15">
      <c r="A331" s="29" t="s">
        <v>378</v>
      </c>
      <c r="F331" s="18"/>
      <c r="G331" s="18"/>
      <c r="H331" s="18"/>
      <c r="I331" s="18"/>
      <c r="J331" s="18"/>
      <c r="K331" s="18"/>
      <c r="L331" s="19"/>
      <c r="M331" s="8"/>
    </row>
    <row r="332" spans="1:13" s="3" customFormat="1" ht="12" customHeight="1" x14ac:dyDescent="0.15">
      <c r="A332" s="30" t="s">
        <v>487</v>
      </c>
      <c r="E332" s="6">
        <v>5100</v>
      </c>
      <c r="F332" s="24" t="s">
        <v>312</v>
      </c>
      <c r="G332" s="24" t="s">
        <v>312</v>
      </c>
      <c r="H332" s="24" t="s">
        <v>312</v>
      </c>
      <c r="I332" s="24" t="s">
        <v>312</v>
      </c>
      <c r="J332" s="24" t="s">
        <v>312</v>
      </c>
      <c r="K332" s="24" t="s">
        <v>312</v>
      </c>
      <c r="L332" s="24" t="s">
        <v>312</v>
      </c>
      <c r="M332" s="8"/>
    </row>
    <row r="333" spans="1:13" s="3" customFormat="1" ht="12" customHeight="1" x14ac:dyDescent="0.15">
      <c r="A333" s="1" t="s">
        <v>546</v>
      </c>
      <c r="B333" s="6">
        <v>14</v>
      </c>
      <c r="C333" s="37">
        <v>8</v>
      </c>
      <c r="E333" s="6">
        <v>5100</v>
      </c>
      <c r="F333" s="24" t="s">
        <v>312</v>
      </c>
      <c r="G333" s="24" t="s">
        <v>312</v>
      </c>
      <c r="H333" s="24" t="s">
        <v>312</v>
      </c>
      <c r="I333" s="24" t="s">
        <v>312</v>
      </c>
      <c r="J333" s="24" t="s">
        <v>312</v>
      </c>
      <c r="K333" s="18"/>
      <c r="L333" s="19">
        <f>SUM(F333:K333)</f>
        <v>0</v>
      </c>
      <c r="M333" s="8"/>
    </row>
    <row r="334" spans="1:13" s="3" customFormat="1" ht="12" customHeight="1" x14ac:dyDescent="0.15">
      <c r="A334" s="1" t="s">
        <v>558</v>
      </c>
      <c r="B334" s="6">
        <v>14</v>
      </c>
      <c r="C334" s="37">
        <v>9</v>
      </c>
      <c r="E334" s="6">
        <v>5120</v>
      </c>
      <c r="F334" s="24" t="s">
        <v>312</v>
      </c>
      <c r="G334" s="24" t="s">
        <v>312</v>
      </c>
      <c r="H334" s="24" t="s">
        <v>312</v>
      </c>
      <c r="I334" s="24" t="s">
        <v>312</v>
      </c>
      <c r="J334" s="24" t="s">
        <v>312</v>
      </c>
      <c r="K334" s="18"/>
      <c r="L334" s="19">
        <f>SUM(F334:K334)</f>
        <v>0</v>
      </c>
      <c r="M334" s="8"/>
    </row>
    <row r="335" spans="1:13" s="3" customFormat="1" ht="12" customHeight="1" x14ac:dyDescent="0.15">
      <c r="A335" s="27" t="s">
        <v>380</v>
      </c>
      <c r="B335" s="6">
        <v>14</v>
      </c>
      <c r="E335" s="6">
        <v>5200</v>
      </c>
      <c r="F335" s="24" t="s">
        <v>312</v>
      </c>
      <c r="G335" s="24" t="s">
        <v>312</v>
      </c>
      <c r="H335" s="24" t="s">
        <v>312</v>
      </c>
      <c r="I335" s="24" t="s">
        <v>312</v>
      </c>
      <c r="J335" s="24" t="s">
        <v>312</v>
      </c>
      <c r="K335" s="24" t="s">
        <v>312</v>
      </c>
      <c r="L335" s="24" t="s">
        <v>312</v>
      </c>
      <c r="M335" s="8"/>
    </row>
    <row r="336" spans="1:13" s="3" customFormat="1" ht="12" customHeight="1" x14ac:dyDescent="0.15">
      <c r="A336" s="3" t="s">
        <v>564</v>
      </c>
      <c r="B336" s="6">
        <v>14</v>
      </c>
      <c r="C336" s="6">
        <v>10</v>
      </c>
      <c r="D336" s="2" t="s">
        <v>455</v>
      </c>
      <c r="E336" s="6">
        <v>5210</v>
      </c>
      <c r="F336" s="24" t="s">
        <v>312</v>
      </c>
      <c r="G336" s="24" t="s">
        <v>312</v>
      </c>
      <c r="H336" s="24" t="s">
        <v>312</v>
      </c>
      <c r="I336" s="24" t="s">
        <v>312</v>
      </c>
      <c r="J336" s="24" t="s">
        <v>312</v>
      </c>
      <c r="K336" s="18">
        <v>383.59</v>
      </c>
      <c r="L336" s="19">
        <f t="shared" ref="L336:L342" si="21">SUM(F336:K336)</f>
        <v>383.59</v>
      </c>
      <c r="M336" s="8"/>
    </row>
    <row r="337" spans="1:43" s="12" customFormat="1" ht="12" customHeight="1" thickBot="1" x14ac:dyDescent="0.25">
      <c r="A337" s="1" t="s">
        <v>634</v>
      </c>
      <c r="B337" s="6">
        <v>14</v>
      </c>
      <c r="C337" s="6">
        <v>11</v>
      </c>
      <c r="D337" s="2" t="s">
        <v>455</v>
      </c>
      <c r="E337" s="6">
        <v>5221</v>
      </c>
      <c r="F337" s="24" t="s">
        <v>312</v>
      </c>
      <c r="G337" s="24" t="s">
        <v>312</v>
      </c>
      <c r="H337" s="24" t="s">
        <v>312</v>
      </c>
      <c r="I337" s="24" t="s">
        <v>312</v>
      </c>
      <c r="J337" s="24" t="s">
        <v>312</v>
      </c>
      <c r="K337" s="18"/>
      <c r="L337" s="19">
        <f t="shared" si="21"/>
        <v>0</v>
      </c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  <c r="AB337" s="52"/>
      <c r="AC337" s="52"/>
      <c r="AD337" s="52"/>
      <c r="AE337" s="52"/>
      <c r="AF337" s="52"/>
      <c r="AG337" s="52"/>
      <c r="AH337" s="52"/>
      <c r="AI337" s="52"/>
      <c r="AJ337" s="52"/>
      <c r="AK337" s="52"/>
      <c r="AL337" s="52"/>
      <c r="AM337" s="52"/>
      <c r="AN337" s="52"/>
      <c r="AO337" s="52"/>
      <c r="AP337" s="52"/>
      <c r="AQ337" s="52"/>
    </row>
    <row r="338" spans="1:43" s="3" customFormat="1" ht="12" customHeight="1" x14ac:dyDescent="0.15">
      <c r="A338" s="1" t="s">
        <v>565</v>
      </c>
      <c r="B338" s="6">
        <v>14</v>
      </c>
      <c r="C338" s="6">
        <v>12</v>
      </c>
      <c r="D338" s="2" t="s">
        <v>455</v>
      </c>
      <c r="E338" s="6">
        <v>5230</v>
      </c>
      <c r="F338" s="24" t="s">
        <v>312</v>
      </c>
      <c r="G338" s="24" t="s">
        <v>312</v>
      </c>
      <c r="H338" s="24" t="s">
        <v>312</v>
      </c>
      <c r="I338" s="24" t="s">
        <v>312</v>
      </c>
      <c r="J338" s="24" t="s">
        <v>312</v>
      </c>
      <c r="K338" s="18"/>
      <c r="L338" s="19">
        <f t="shared" si="21"/>
        <v>0</v>
      </c>
      <c r="M338" s="8"/>
    </row>
    <row r="339" spans="1:43" s="3" customFormat="1" ht="12" customHeight="1" x14ac:dyDescent="0.15">
      <c r="A339" s="3" t="s">
        <v>566</v>
      </c>
      <c r="B339" s="6">
        <v>14</v>
      </c>
      <c r="C339" s="6">
        <v>13</v>
      </c>
      <c r="D339" s="2" t="s">
        <v>455</v>
      </c>
      <c r="E339" s="6">
        <v>5250</v>
      </c>
      <c r="F339" s="24" t="s">
        <v>312</v>
      </c>
      <c r="G339" s="24" t="s">
        <v>312</v>
      </c>
      <c r="H339" s="24" t="s">
        <v>312</v>
      </c>
      <c r="I339" s="24" t="s">
        <v>312</v>
      </c>
      <c r="J339" s="24" t="s">
        <v>312</v>
      </c>
      <c r="K339" s="18"/>
      <c r="L339" s="19">
        <f t="shared" si="21"/>
        <v>0</v>
      </c>
      <c r="M339" s="8"/>
    </row>
    <row r="340" spans="1:43" s="3" customFormat="1" ht="12" customHeight="1" x14ac:dyDescent="0.15">
      <c r="A340" s="27" t="s">
        <v>586</v>
      </c>
      <c r="B340" s="2"/>
      <c r="C340" s="6"/>
      <c r="D340" s="6"/>
      <c r="E340" s="6">
        <v>5300</v>
      </c>
      <c r="F340" s="24" t="s">
        <v>312</v>
      </c>
      <c r="G340" s="24" t="s">
        <v>312</v>
      </c>
      <c r="H340" s="24" t="s">
        <v>312</v>
      </c>
      <c r="I340" s="24" t="s">
        <v>312</v>
      </c>
      <c r="J340" s="24" t="s">
        <v>312</v>
      </c>
      <c r="K340" s="24" t="s">
        <v>312</v>
      </c>
      <c r="L340" s="24" t="s">
        <v>312</v>
      </c>
      <c r="M340" s="8"/>
    </row>
    <row r="341" spans="1:43" s="3" customFormat="1" ht="12" customHeight="1" x14ac:dyDescent="0.15">
      <c r="A341" s="1" t="s">
        <v>562</v>
      </c>
      <c r="B341" s="6">
        <v>14</v>
      </c>
      <c r="C341" s="6">
        <v>14</v>
      </c>
      <c r="D341" s="2" t="s">
        <v>455</v>
      </c>
      <c r="E341" s="6">
        <v>5310</v>
      </c>
      <c r="F341" s="24" t="s">
        <v>312</v>
      </c>
      <c r="G341" s="24" t="s">
        <v>312</v>
      </c>
      <c r="H341" s="24" t="s">
        <v>312</v>
      </c>
      <c r="I341" s="24" t="s">
        <v>312</v>
      </c>
      <c r="J341" s="24" t="s">
        <v>312</v>
      </c>
      <c r="K341" s="18"/>
      <c r="L341" s="19">
        <f t="shared" si="21"/>
        <v>0</v>
      </c>
      <c r="M341" s="8"/>
    </row>
    <row r="342" spans="1:43" s="3" customFormat="1" ht="12" customHeight="1" thickBot="1" x14ac:dyDescent="0.2">
      <c r="A342" s="1" t="s">
        <v>563</v>
      </c>
      <c r="B342" s="6">
        <v>14</v>
      </c>
      <c r="C342" s="37">
        <v>15</v>
      </c>
      <c r="D342" s="2" t="s">
        <v>455</v>
      </c>
      <c r="E342" s="6">
        <v>5390</v>
      </c>
      <c r="F342" s="24" t="s">
        <v>312</v>
      </c>
      <c r="G342" s="24" t="s">
        <v>312</v>
      </c>
      <c r="H342" s="24" t="s">
        <v>312</v>
      </c>
      <c r="I342" s="24" t="s">
        <v>312</v>
      </c>
      <c r="J342" s="24" t="s">
        <v>312</v>
      </c>
      <c r="K342" s="18"/>
      <c r="L342" s="19">
        <f t="shared" si="21"/>
        <v>0</v>
      </c>
      <c r="M342" s="8"/>
    </row>
    <row r="343" spans="1:43" s="3" customFormat="1" ht="12" customHeight="1" thickTop="1" thickBot="1" x14ac:dyDescent="0.2">
      <c r="A343" s="46" t="s">
        <v>444</v>
      </c>
      <c r="B343" s="40">
        <v>14</v>
      </c>
      <c r="C343" s="51">
        <v>16</v>
      </c>
      <c r="D343" s="39" t="s">
        <v>455</v>
      </c>
      <c r="E343" s="40"/>
      <c r="F343" s="45" t="s">
        <v>312</v>
      </c>
      <c r="G343" s="45" t="s">
        <v>312</v>
      </c>
      <c r="H343" s="45" t="s">
        <v>312</v>
      </c>
      <c r="I343" s="45" t="s">
        <v>312</v>
      </c>
      <c r="J343" s="45" t="s">
        <v>312</v>
      </c>
      <c r="K343" s="41">
        <f>SUM(K333:K342)</f>
        <v>383.59</v>
      </c>
      <c r="L343" s="41">
        <f>SUM(L333:L342)</f>
        <v>383.59</v>
      </c>
      <c r="M343" s="8"/>
    </row>
    <row r="344" spans="1:43" s="3" customFormat="1" ht="12" customHeight="1" thickTop="1" x14ac:dyDescent="0.15">
      <c r="A344" s="38" t="s">
        <v>493</v>
      </c>
      <c r="B344" s="40">
        <v>14</v>
      </c>
      <c r="C344" s="40">
        <v>17</v>
      </c>
      <c r="D344" s="39" t="s">
        <v>455</v>
      </c>
      <c r="E344" s="40"/>
      <c r="F344" s="41">
        <f>F330</f>
        <v>22554.29</v>
      </c>
      <c r="G344" s="41">
        <f>G330</f>
        <v>4581.6100000000006</v>
      </c>
      <c r="H344" s="41">
        <f>H330</f>
        <v>8748.369999999999</v>
      </c>
      <c r="I344" s="41">
        <f>I330</f>
        <v>2342.46</v>
      </c>
      <c r="J344" s="41">
        <f>J330</f>
        <v>40477.25</v>
      </c>
      <c r="K344" s="47">
        <f>K330+K343</f>
        <v>985.04</v>
      </c>
      <c r="L344" s="41">
        <f>L330+L343</f>
        <v>79689.01999999999</v>
      </c>
      <c r="M344" s="8"/>
    </row>
    <row r="345" spans="1:43" s="3" customFormat="1" ht="12" customHeight="1" x14ac:dyDescent="0.15">
      <c r="A345" s="70"/>
      <c r="B345" s="37"/>
      <c r="C345" s="23"/>
      <c r="D345" s="23"/>
      <c r="E345" s="23"/>
      <c r="F345" s="67"/>
      <c r="G345" s="67"/>
      <c r="H345" s="67"/>
      <c r="I345" s="67"/>
      <c r="J345" s="67"/>
      <c r="K345" s="56"/>
      <c r="L345" s="67"/>
      <c r="M345" s="8"/>
    </row>
    <row r="346" spans="1:43" s="12" customFormat="1" ht="12" customHeight="1" thickBot="1" x14ac:dyDescent="0.25">
      <c r="A346" s="54"/>
      <c r="B346" s="52"/>
      <c r="C346" s="52"/>
      <c r="D346" s="52"/>
      <c r="E346" s="52"/>
      <c r="F346" s="177" t="s">
        <v>724</v>
      </c>
      <c r="G346" s="177" t="s">
        <v>725</v>
      </c>
      <c r="H346" s="177" t="s">
        <v>726</v>
      </c>
      <c r="I346" s="177" t="s">
        <v>727</v>
      </c>
      <c r="J346" s="177" t="s">
        <v>728</v>
      </c>
      <c r="K346" s="177" t="s">
        <v>729</v>
      </c>
      <c r="L346" s="53"/>
      <c r="M346" s="52"/>
      <c r="N346" s="52"/>
      <c r="O346" s="52"/>
      <c r="P346" s="52"/>
      <c r="Q346" s="52"/>
      <c r="AH346" s="52"/>
      <c r="AI346" s="52"/>
      <c r="AJ346" s="52"/>
      <c r="AK346" s="52"/>
      <c r="AL346" s="52"/>
      <c r="AM346" s="52"/>
      <c r="AN346" s="52"/>
      <c r="AO346" s="52"/>
      <c r="AP346" s="52"/>
      <c r="AQ346" s="52"/>
    </row>
    <row r="347" spans="1:43" s="3" customFormat="1" ht="12" customHeight="1" x14ac:dyDescent="0.15">
      <c r="A347" s="29" t="s">
        <v>305</v>
      </c>
      <c r="F347" s="103" t="s">
        <v>54</v>
      </c>
      <c r="G347" s="103" t="s">
        <v>55</v>
      </c>
      <c r="H347" s="103" t="s">
        <v>56</v>
      </c>
      <c r="I347" s="103" t="s">
        <v>57</v>
      </c>
      <c r="J347" s="103" t="s">
        <v>58</v>
      </c>
      <c r="K347" s="103" t="s">
        <v>59</v>
      </c>
      <c r="L347" s="103" t="s">
        <v>5</v>
      </c>
      <c r="M347" s="8"/>
    </row>
    <row r="348" spans="1:43" s="3" customFormat="1" ht="12" customHeight="1" x14ac:dyDescent="0.15">
      <c r="A348" s="27" t="s">
        <v>484</v>
      </c>
      <c r="B348" s="7"/>
      <c r="C348" s="7"/>
      <c r="D348" s="7"/>
      <c r="E348" s="6">
        <v>3000</v>
      </c>
      <c r="F348" s="24" t="s">
        <v>312</v>
      </c>
      <c r="G348" s="24" t="s">
        <v>312</v>
      </c>
      <c r="H348" s="24" t="s">
        <v>312</v>
      </c>
      <c r="I348" s="24" t="s">
        <v>312</v>
      </c>
      <c r="J348" s="24" t="s">
        <v>312</v>
      </c>
      <c r="K348" s="24" t="s">
        <v>312</v>
      </c>
      <c r="L348" s="24" t="s">
        <v>312</v>
      </c>
      <c r="M348" s="8"/>
    </row>
    <row r="349" spans="1:43" s="3" customFormat="1" ht="12" customHeight="1" x14ac:dyDescent="0.15">
      <c r="A349" s="30" t="s">
        <v>388</v>
      </c>
      <c r="B349" s="2"/>
      <c r="C349" s="2"/>
      <c r="D349" s="2"/>
      <c r="E349" s="6">
        <v>3100</v>
      </c>
      <c r="F349" s="24" t="s">
        <v>312</v>
      </c>
      <c r="G349" s="24" t="s">
        <v>312</v>
      </c>
      <c r="H349" s="24" t="s">
        <v>312</v>
      </c>
      <c r="I349" s="24" t="s">
        <v>312</v>
      </c>
      <c r="J349" s="24" t="s">
        <v>312</v>
      </c>
      <c r="K349" s="24" t="s">
        <v>312</v>
      </c>
      <c r="L349" s="24" t="s">
        <v>312</v>
      </c>
      <c r="M349" s="8"/>
    </row>
    <row r="350" spans="1:43" s="3" customFormat="1" ht="12" customHeight="1" x14ac:dyDescent="0.15">
      <c r="A350" s="3" t="s">
        <v>567</v>
      </c>
      <c r="B350" s="2" t="s">
        <v>390</v>
      </c>
      <c r="C350" s="6">
        <v>1</v>
      </c>
      <c r="D350" s="2" t="s">
        <v>455</v>
      </c>
      <c r="E350" s="6"/>
      <c r="F350" s="18">
        <f>26329.06+32.94</f>
        <v>26362</v>
      </c>
      <c r="G350" s="18">
        <f>6564+17.64+36.64+2016.82+1863.79+110.52+147</f>
        <v>10756.41</v>
      </c>
      <c r="H350" s="18">
        <v>100</v>
      </c>
      <c r="I350" s="18">
        <f>440.08+205.62+11974.72+2288.97</f>
        <v>14909.39</v>
      </c>
      <c r="J350" s="18">
        <v>5.46</v>
      </c>
      <c r="K350" s="18">
        <v>50</v>
      </c>
      <c r="L350" s="13">
        <f>SUM(F350:K350)</f>
        <v>52183.26</v>
      </c>
      <c r="M350" s="8"/>
    </row>
    <row r="351" spans="1:43" s="3" customFormat="1" ht="12" customHeight="1" x14ac:dyDescent="0.15">
      <c r="A351" s="1" t="s">
        <v>568</v>
      </c>
      <c r="B351" s="2" t="s">
        <v>390</v>
      </c>
      <c r="C351" s="6">
        <v>2</v>
      </c>
      <c r="D351" s="2" t="s">
        <v>455</v>
      </c>
      <c r="E351" s="6"/>
      <c r="F351" s="18"/>
      <c r="G351" s="18"/>
      <c r="H351" s="18"/>
      <c r="I351" s="18"/>
      <c r="J351" s="18"/>
      <c r="K351" s="18"/>
      <c r="L351" s="19">
        <f>SUM(F351:K351)</f>
        <v>0</v>
      </c>
      <c r="M351" s="8"/>
    </row>
    <row r="352" spans="1:43" ht="12" customHeight="1" x14ac:dyDescent="0.2">
      <c r="A352" s="3" t="s">
        <v>569</v>
      </c>
      <c r="B352" s="2" t="s">
        <v>390</v>
      </c>
      <c r="C352" s="6">
        <v>3</v>
      </c>
      <c r="D352" s="2" t="s">
        <v>455</v>
      </c>
      <c r="E352" s="6"/>
      <c r="F352" s="18"/>
      <c r="G352" s="18"/>
      <c r="H352" s="18"/>
      <c r="I352" s="18"/>
      <c r="J352" s="18"/>
      <c r="K352" s="18"/>
      <c r="L352" s="19">
        <f>SUM(F352:K352)</f>
        <v>0</v>
      </c>
    </row>
    <row r="353" spans="1:13" s="3" customFormat="1" ht="12" customHeight="1" thickBot="1" x14ac:dyDescent="0.2">
      <c r="A353" s="1" t="s">
        <v>392</v>
      </c>
      <c r="B353" s="2" t="s">
        <v>390</v>
      </c>
      <c r="C353" s="6">
        <v>4</v>
      </c>
      <c r="D353" s="2" t="s">
        <v>455</v>
      </c>
      <c r="E353" s="6">
        <v>5200</v>
      </c>
      <c r="F353" s="24" t="s">
        <v>312</v>
      </c>
      <c r="G353" s="24" t="s">
        <v>312</v>
      </c>
      <c r="H353" s="24" t="s">
        <v>312</v>
      </c>
      <c r="I353" s="24" t="s">
        <v>312</v>
      </c>
      <c r="J353" s="24" t="s">
        <v>312</v>
      </c>
      <c r="K353" s="18"/>
      <c r="L353" s="13">
        <f>SUM(F353:K353)</f>
        <v>0</v>
      </c>
      <c r="M353" s="8"/>
    </row>
    <row r="354" spans="1:13" s="3" customFormat="1" ht="12" customHeight="1" thickTop="1" x14ac:dyDescent="0.15">
      <c r="A354" s="46" t="s">
        <v>493</v>
      </c>
      <c r="B354" s="39" t="s">
        <v>390</v>
      </c>
      <c r="C354" s="40">
        <v>5</v>
      </c>
      <c r="D354" s="39" t="s">
        <v>455</v>
      </c>
      <c r="E354" s="40"/>
      <c r="F354" s="47">
        <f t="shared" ref="F354:L354" si="22">SUM(F350:F353)</f>
        <v>26362</v>
      </c>
      <c r="G354" s="47">
        <f t="shared" si="22"/>
        <v>10756.41</v>
      </c>
      <c r="H354" s="47">
        <f t="shared" si="22"/>
        <v>100</v>
      </c>
      <c r="I354" s="47">
        <f t="shared" si="22"/>
        <v>14909.39</v>
      </c>
      <c r="J354" s="47">
        <f t="shared" si="22"/>
        <v>5.46</v>
      </c>
      <c r="K354" s="47">
        <f t="shared" si="22"/>
        <v>50</v>
      </c>
      <c r="L354" s="47">
        <f t="shared" si="22"/>
        <v>52183.26</v>
      </c>
      <c r="M354" s="8"/>
    </row>
    <row r="355" spans="1:13" s="3" customFormat="1" ht="12" customHeight="1" x14ac:dyDescent="0.15">
      <c r="A355" s="55"/>
      <c r="B355" s="36"/>
      <c r="C355" s="37"/>
      <c r="D355" s="37"/>
      <c r="E355" s="37"/>
      <c r="F355" s="56"/>
      <c r="G355" s="56"/>
      <c r="H355" s="56"/>
      <c r="I355" s="56"/>
      <c r="J355" s="56"/>
      <c r="K355" s="56"/>
      <c r="L355" s="56"/>
      <c r="M355" s="8"/>
    </row>
    <row r="356" spans="1:13" s="3" customFormat="1" ht="12" customHeight="1" x14ac:dyDescent="0.15">
      <c r="A356" s="55" t="s">
        <v>393</v>
      </c>
      <c r="B356" s="36"/>
      <c r="C356" s="37"/>
      <c r="D356" s="37"/>
      <c r="E356" s="37"/>
      <c r="F356" s="56"/>
      <c r="G356" s="56"/>
      <c r="H356" s="56"/>
      <c r="I356" s="56"/>
      <c r="J356" s="56"/>
      <c r="K356" s="56"/>
      <c r="L356" s="56"/>
      <c r="M356" s="8"/>
    </row>
    <row r="357" spans="1:13" s="3" customFormat="1" ht="12" customHeight="1" x14ac:dyDescent="0.15">
      <c r="A357" s="55"/>
      <c r="B357" s="36"/>
      <c r="C357" s="37"/>
      <c r="D357" s="37"/>
      <c r="E357" s="37"/>
      <c r="F357" s="57" t="s">
        <v>288</v>
      </c>
      <c r="G357" s="57" t="s">
        <v>289</v>
      </c>
      <c r="H357" s="57" t="s">
        <v>290</v>
      </c>
      <c r="I357" s="57" t="s">
        <v>291</v>
      </c>
      <c r="J357" s="56"/>
      <c r="K357" s="56"/>
      <c r="L357" s="56"/>
      <c r="M357" s="8"/>
    </row>
    <row r="358" spans="1:13" s="3" customFormat="1" ht="12" customHeight="1" x14ac:dyDescent="0.15">
      <c r="A358" s="55"/>
      <c r="B358" s="36"/>
      <c r="C358" s="37"/>
      <c r="D358" s="37"/>
      <c r="E358" s="37"/>
      <c r="F358" s="59" t="s">
        <v>389</v>
      </c>
      <c r="G358" s="60" t="s">
        <v>394</v>
      </c>
      <c r="H358" s="60" t="s">
        <v>391</v>
      </c>
      <c r="I358" s="60" t="s">
        <v>364</v>
      </c>
      <c r="J358" s="24" t="s">
        <v>312</v>
      </c>
      <c r="K358" s="24" t="s">
        <v>312</v>
      </c>
      <c r="L358" s="24" t="s">
        <v>312</v>
      </c>
      <c r="M358" s="8"/>
    </row>
    <row r="359" spans="1:13" s="3" customFormat="1" ht="12" customHeight="1" x14ac:dyDescent="0.15">
      <c r="A359" s="58" t="s">
        <v>395</v>
      </c>
      <c r="B359" s="2" t="s">
        <v>390</v>
      </c>
      <c r="C359" s="2" t="s">
        <v>319</v>
      </c>
      <c r="D359" s="2" t="s">
        <v>456</v>
      </c>
      <c r="E359" s="2"/>
      <c r="F359" s="18">
        <v>14263.69</v>
      </c>
      <c r="G359" s="18"/>
      <c r="H359" s="18"/>
      <c r="I359" s="56">
        <f>SUM(F359:H359)</f>
        <v>14263.69</v>
      </c>
      <c r="J359" s="24" t="s">
        <v>312</v>
      </c>
      <c r="K359" s="24" t="s">
        <v>312</v>
      </c>
      <c r="L359" s="24" t="s">
        <v>312</v>
      </c>
      <c r="M359" s="8"/>
    </row>
    <row r="360" spans="1:13" s="3" customFormat="1" ht="12" customHeight="1" thickBot="1" x14ac:dyDescent="0.2">
      <c r="A360" s="61" t="s">
        <v>396</v>
      </c>
      <c r="B360" s="62" t="s">
        <v>390</v>
      </c>
      <c r="C360" s="62" t="s">
        <v>320</v>
      </c>
      <c r="D360" s="2" t="s">
        <v>456</v>
      </c>
      <c r="E360" s="62"/>
      <c r="F360" s="63">
        <v>645.70000000000005</v>
      </c>
      <c r="G360" s="63"/>
      <c r="H360" s="63"/>
      <c r="I360" s="56">
        <f>SUM(F360:H360)</f>
        <v>645.70000000000005</v>
      </c>
      <c r="J360" s="24" t="s">
        <v>312</v>
      </c>
      <c r="K360" s="24" t="s">
        <v>312</v>
      </c>
      <c r="L360" s="24" t="s">
        <v>312</v>
      </c>
      <c r="M360" s="8"/>
    </row>
    <row r="361" spans="1:13" s="3" customFormat="1" ht="12" customHeight="1" thickTop="1" x14ac:dyDescent="0.15">
      <c r="A361" s="34" t="s">
        <v>364</v>
      </c>
      <c r="B361" s="2" t="s">
        <v>390</v>
      </c>
      <c r="C361" s="2" t="s">
        <v>321</v>
      </c>
      <c r="D361" s="39" t="s">
        <v>456</v>
      </c>
      <c r="E361" s="2"/>
      <c r="F361" s="47">
        <f>SUM(F359:F360)</f>
        <v>14909.390000000001</v>
      </c>
      <c r="G361" s="47">
        <f>SUM(G359:G360)</f>
        <v>0</v>
      </c>
      <c r="H361" s="47">
        <f>SUM(H359:H360)</f>
        <v>0</v>
      </c>
      <c r="I361" s="47">
        <f>SUM(I359:I360)</f>
        <v>14909.390000000001</v>
      </c>
      <c r="J361" s="24" t="s">
        <v>312</v>
      </c>
      <c r="K361" s="24" t="s">
        <v>312</v>
      </c>
      <c r="L361" s="24" t="s">
        <v>312</v>
      </c>
      <c r="M361" s="8"/>
    </row>
    <row r="362" spans="1:13" s="3" customFormat="1" ht="12" customHeight="1" x14ac:dyDescent="0.15">
      <c r="A362" s="34"/>
      <c r="B362" s="2"/>
      <c r="C362" s="2"/>
      <c r="D362" s="2"/>
      <c r="E362" s="2"/>
      <c r="F362" s="64"/>
      <c r="G362" s="64"/>
      <c r="H362" s="64"/>
      <c r="I362" s="56"/>
      <c r="J362" s="56"/>
      <c r="K362" s="56"/>
      <c r="L362" s="56"/>
      <c r="M362" s="8"/>
    </row>
    <row r="363" spans="1:13" s="3" customFormat="1" ht="12" customHeight="1" x14ac:dyDescent="0.15">
      <c r="A363" s="34" t="s">
        <v>307</v>
      </c>
      <c r="B363" s="2"/>
      <c r="C363" s="2"/>
      <c r="D363" s="2"/>
      <c r="E363" s="2"/>
      <c r="F363" s="177" t="s">
        <v>724</v>
      </c>
      <c r="G363" s="177" t="s">
        <v>725</v>
      </c>
      <c r="H363" s="177" t="s">
        <v>726</v>
      </c>
      <c r="I363" s="177" t="s">
        <v>727</v>
      </c>
      <c r="J363" s="177" t="s">
        <v>728</v>
      </c>
      <c r="K363" s="177" t="s">
        <v>729</v>
      </c>
      <c r="L363" s="13"/>
      <c r="M363" s="8"/>
    </row>
    <row r="364" spans="1:13" s="3" customFormat="1" ht="12" customHeight="1" x14ac:dyDescent="0.15">
      <c r="A364" s="34" t="s">
        <v>387</v>
      </c>
      <c r="B364" s="2"/>
      <c r="C364" s="2"/>
      <c r="D364" s="2"/>
      <c r="E364" s="2"/>
      <c r="F364" s="103" t="s">
        <v>54</v>
      </c>
      <c r="G364" s="103" t="s">
        <v>55</v>
      </c>
      <c r="H364" s="103" t="s">
        <v>56</v>
      </c>
      <c r="I364" s="103" t="s">
        <v>57</v>
      </c>
      <c r="J364" s="103" t="s">
        <v>58</v>
      </c>
      <c r="K364" s="103" t="s">
        <v>59</v>
      </c>
      <c r="L364" s="103" t="s">
        <v>5</v>
      </c>
      <c r="M364" s="8"/>
    </row>
    <row r="365" spans="1:13" s="3" customFormat="1" ht="12" customHeight="1" x14ac:dyDescent="0.15">
      <c r="A365" s="27" t="s">
        <v>397</v>
      </c>
      <c r="B365" s="2"/>
      <c r="C365" s="2"/>
      <c r="D365" s="2"/>
      <c r="E365" s="6">
        <v>4000</v>
      </c>
      <c r="F365" s="24" t="s">
        <v>312</v>
      </c>
      <c r="G365" s="24" t="s">
        <v>312</v>
      </c>
      <c r="H365" s="24" t="s">
        <v>312</v>
      </c>
      <c r="I365" s="24" t="s">
        <v>312</v>
      </c>
      <c r="J365" s="24" t="s">
        <v>312</v>
      </c>
      <c r="K365" s="24" t="s">
        <v>312</v>
      </c>
      <c r="L365" s="24" t="s">
        <v>312</v>
      </c>
      <c r="M365" s="8"/>
    </row>
    <row r="366" spans="1:13" s="3" customFormat="1" ht="12" customHeight="1" x14ac:dyDescent="0.15">
      <c r="A366" s="1" t="s">
        <v>570</v>
      </c>
      <c r="B366" s="2" t="s">
        <v>390</v>
      </c>
      <c r="C366" s="2" t="s">
        <v>322</v>
      </c>
      <c r="D366" s="2" t="s">
        <v>455</v>
      </c>
      <c r="E366" s="6">
        <v>4100</v>
      </c>
      <c r="F366" s="18"/>
      <c r="G366" s="18"/>
      <c r="H366" s="18"/>
      <c r="I366" s="18"/>
      <c r="J366" s="18"/>
      <c r="K366" s="18"/>
      <c r="L366" s="13">
        <f>SUM(F366:K366)</f>
        <v>0</v>
      </c>
      <c r="M366" s="8"/>
    </row>
    <row r="367" spans="1:13" s="3" customFormat="1" ht="12" customHeight="1" x14ac:dyDescent="0.15">
      <c r="A367" s="1" t="s">
        <v>571</v>
      </c>
      <c r="B367" s="2" t="s">
        <v>390</v>
      </c>
      <c r="C367" s="2" t="s">
        <v>323</v>
      </c>
      <c r="D367" s="2" t="s">
        <v>455</v>
      </c>
      <c r="E367" s="6">
        <v>4200</v>
      </c>
      <c r="F367" s="18"/>
      <c r="G367" s="18"/>
      <c r="H367" s="18"/>
      <c r="I367" s="18"/>
      <c r="J367" s="18"/>
      <c r="K367" s="18"/>
      <c r="L367" s="13">
        <f t="shared" ref="L367:L373" si="23">SUM(F367:K367)</f>
        <v>0</v>
      </c>
      <c r="M367" s="8"/>
    </row>
    <row r="368" spans="1:13" s="3" customFormat="1" ht="12" customHeight="1" x14ac:dyDescent="0.15">
      <c r="A368" s="1" t="s">
        <v>572</v>
      </c>
      <c r="B368" s="2" t="s">
        <v>390</v>
      </c>
      <c r="C368" s="2" t="s">
        <v>324</v>
      </c>
      <c r="D368" s="2" t="s">
        <v>455</v>
      </c>
      <c r="E368" s="6">
        <v>4300</v>
      </c>
      <c r="F368" s="18"/>
      <c r="G368" s="18"/>
      <c r="H368" s="18"/>
      <c r="I368" s="18"/>
      <c r="J368" s="18"/>
      <c r="K368" s="18"/>
      <c r="L368" s="13">
        <f t="shared" si="23"/>
        <v>0</v>
      </c>
      <c r="M368" s="8"/>
    </row>
    <row r="369" spans="1:13" s="3" customFormat="1" ht="12" customHeight="1" x14ac:dyDescent="0.15">
      <c r="A369" s="1" t="s">
        <v>573</v>
      </c>
      <c r="B369" s="2" t="s">
        <v>390</v>
      </c>
      <c r="C369" s="2" t="s">
        <v>367</v>
      </c>
      <c r="D369" s="2" t="s">
        <v>455</v>
      </c>
      <c r="E369" s="6">
        <v>4400</v>
      </c>
      <c r="F369" s="18"/>
      <c r="G369" s="18"/>
      <c r="H369" s="18"/>
      <c r="I369" s="18"/>
      <c r="J369" s="18"/>
      <c r="K369" s="18"/>
      <c r="L369" s="13">
        <f t="shared" si="23"/>
        <v>0</v>
      </c>
      <c r="M369" s="8"/>
    </row>
    <row r="370" spans="1:13" s="3" customFormat="1" ht="12" customHeight="1" x14ac:dyDescent="0.15">
      <c r="A370" s="1" t="s">
        <v>574</v>
      </c>
      <c r="B370" s="2" t="s">
        <v>390</v>
      </c>
      <c r="C370" s="2" t="s">
        <v>368</v>
      </c>
      <c r="D370" s="2" t="s">
        <v>455</v>
      </c>
      <c r="E370" s="6">
        <v>4500</v>
      </c>
      <c r="F370" s="18"/>
      <c r="G370" s="18"/>
      <c r="H370" s="18"/>
      <c r="I370" s="18"/>
      <c r="J370" s="18"/>
      <c r="K370" s="18"/>
      <c r="L370" s="13">
        <f t="shared" si="23"/>
        <v>0</v>
      </c>
      <c r="M370" s="8"/>
    </row>
    <row r="371" spans="1:13" s="3" customFormat="1" ht="12" customHeight="1" x14ac:dyDescent="0.15">
      <c r="A371" s="1" t="s">
        <v>575</v>
      </c>
      <c r="B371" s="2" t="s">
        <v>390</v>
      </c>
      <c r="C371" s="2" t="s">
        <v>369</v>
      </c>
      <c r="D371" s="2" t="s">
        <v>455</v>
      </c>
      <c r="E371" s="6">
        <v>4600</v>
      </c>
      <c r="F371" s="18"/>
      <c r="G371" s="18"/>
      <c r="H371" s="18"/>
      <c r="I371" s="18"/>
      <c r="J371" s="18"/>
      <c r="K371" s="18"/>
      <c r="L371" s="13">
        <f t="shared" si="23"/>
        <v>0</v>
      </c>
      <c r="M371" s="8"/>
    </row>
    <row r="372" spans="1:13" s="3" customFormat="1" ht="12" customHeight="1" x14ac:dyDescent="0.15">
      <c r="A372" s="1" t="s">
        <v>536</v>
      </c>
      <c r="B372" s="2" t="s">
        <v>390</v>
      </c>
      <c r="C372" s="2" t="s">
        <v>371</v>
      </c>
      <c r="D372" s="2" t="s">
        <v>455</v>
      </c>
      <c r="E372" s="6">
        <v>4900</v>
      </c>
      <c r="F372" s="18"/>
      <c r="G372" s="18"/>
      <c r="H372" s="18"/>
      <c r="I372" s="18"/>
      <c r="J372" s="18"/>
      <c r="K372" s="18"/>
      <c r="L372" s="13">
        <f t="shared" si="23"/>
        <v>0</v>
      </c>
      <c r="M372" s="8"/>
    </row>
    <row r="373" spans="1:13" s="3" customFormat="1" ht="12" customHeight="1" thickBot="1" x14ac:dyDescent="0.2">
      <c r="A373" s="1" t="s">
        <v>392</v>
      </c>
      <c r="B373" s="2" t="s">
        <v>390</v>
      </c>
      <c r="C373" s="2" t="s">
        <v>372</v>
      </c>
      <c r="D373" s="2" t="s">
        <v>455</v>
      </c>
      <c r="E373" s="6">
        <v>5200</v>
      </c>
      <c r="F373" s="24" t="s">
        <v>312</v>
      </c>
      <c r="G373" s="24" t="s">
        <v>312</v>
      </c>
      <c r="H373" s="24" t="s">
        <v>312</v>
      </c>
      <c r="I373" s="24" t="s">
        <v>312</v>
      </c>
      <c r="J373" s="24" t="s">
        <v>312</v>
      </c>
      <c r="K373" s="18"/>
      <c r="L373" s="13">
        <f t="shared" si="23"/>
        <v>0</v>
      </c>
      <c r="M373" s="8"/>
    </row>
    <row r="374" spans="1:13" s="3" customFormat="1" ht="12" customHeight="1" thickTop="1" x14ac:dyDescent="0.15">
      <c r="A374" s="46" t="s">
        <v>493</v>
      </c>
      <c r="B374" s="39" t="s">
        <v>390</v>
      </c>
      <c r="C374" s="39" t="s">
        <v>373</v>
      </c>
      <c r="D374" s="39" t="s">
        <v>455</v>
      </c>
      <c r="E374" s="39"/>
      <c r="F374" s="139">
        <f>SUM(F366:F373)</f>
        <v>0</v>
      </c>
      <c r="G374" s="139">
        <f t="shared" ref="G374:L374" si="24">SUM(G366:G373)</f>
        <v>0</v>
      </c>
      <c r="H374" s="139">
        <f t="shared" si="24"/>
        <v>0</v>
      </c>
      <c r="I374" s="41">
        <f t="shared" si="24"/>
        <v>0</v>
      </c>
      <c r="J374" s="47">
        <f t="shared" si="24"/>
        <v>0</v>
      </c>
      <c r="K374" s="47">
        <f t="shared" si="24"/>
        <v>0</v>
      </c>
      <c r="L374" s="47">
        <f t="shared" si="24"/>
        <v>0</v>
      </c>
      <c r="M374" s="8"/>
    </row>
    <row r="375" spans="1:13" s="3" customFormat="1" ht="12" customHeight="1" x14ac:dyDescent="0.15">
      <c r="A375" s="29"/>
      <c r="B375" s="2"/>
      <c r="C375" s="2"/>
      <c r="D375" s="2"/>
      <c r="E375" s="2"/>
      <c r="F375" s="66"/>
      <c r="G375" s="66"/>
      <c r="H375" s="66"/>
      <c r="I375" s="67"/>
      <c r="J375" s="56"/>
      <c r="K375" s="56"/>
      <c r="L375" s="56"/>
      <c r="M375" s="8"/>
    </row>
    <row r="376" spans="1:13" s="3" customFormat="1" ht="12" customHeight="1" x14ac:dyDescent="0.15">
      <c r="A376" s="26" t="s">
        <v>506</v>
      </c>
      <c r="B376" s="76"/>
      <c r="C376" s="76"/>
      <c r="D376" s="76"/>
      <c r="E376" s="76"/>
      <c r="F376" s="66"/>
      <c r="G376" s="66"/>
      <c r="H376" s="66"/>
      <c r="I376" s="67"/>
      <c r="J376" s="56"/>
      <c r="K376" s="56"/>
      <c r="L376" s="56"/>
      <c r="M376" s="8"/>
    </row>
    <row r="377" spans="1:13" s="3" customFormat="1" ht="12" customHeight="1" x14ac:dyDescent="0.15">
      <c r="A377" s="26" t="s">
        <v>507</v>
      </c>
      <c r="B377" s="2"/>
      <c r="C377" s="2"/>
      <c r="D377" s="2"/>
      <c r="E377" s="2"/>
      <c r="F377" s="16"/>
      <c r="G377" s="16" t="s">
        <v>398</v>
      </c>
      <c r="H377" s="16" t="s">
        <v>399</v>
      </c>
      <c r="I377" s="16" t="s">
        <v>334</v>
      </c>
      <c r="J377" s="56"/>
      <c r="K377" s="56"/>
      <c r="L377" s="56"/>
      <c r="M377" s="8"/>
    </row>
    <row r="378" spans="1:13" s="3" customFormat="1" ht="12" customHeight="1" x14ac:dyDescent="0.15">
      <c r="A378" s="26" t="s">
        <v>400</v>
      </c>
      <c r="B378" s="2"/>
      <c r="C378" s="2"/>
      <c r="D378" s="2"/>
      <c r="F378" s="16" t="s">
        <v>401</v>
      </c>
      <c r="G378" s="16" t="s">
        <v>402</v>
      </c>
      <c r="H378" s="16" t="s">
        <v>403</v>
      </c>
      <c r="I378" s="16" t="s">
        <v>404</v>
      </c>
      <c r="J378" s="56"/>
      <c r="K378" s="56"/>
      <c r="L378" s="77" t="s">
        <v>364</v>
      </c>
      <c r="M378" s="8"/>
    </row>
    <row r="379" spans="1:13" s="3" customFormat="1" ht="12" customHeight="1" x14ac:dyDescent="0.15">
      <c r="A379" s="79" t="s">
        <v>576</v>
      </c>
      <c r="B379" s="2" t="s">
        <v>405</v>
      </c>
      <c r="C379" s="6">
        <v>1</v>
      </c>
      <c r="D379" s="2" t="s">
        <v>456</v>
      </c>
      <c r="F379" s="18"/>
      <c r="G379" s="18"/>
      <c r="H379" s="18"/>
      <c r="I379" s="18"/>
      <c r="J379" s="24" t="s">
        <v>312</v>
      </c>
      <c r="K379" s="24" t="s">
        <v>312</v>
      </c>
      <c r="L379" s="56">
        <f t="shared" ref="L379:L384" si="25">SUM(F379:K379)</f>
        <v>0</v>
      </c>
      <c r="M379" s="8"/>
    </row>
    <row r="380" spans="1:13" s="3" customFormat="1" ht="12" customHeight="1" x14ac:dyDescent="0.15">
      <c r="A380" s="79" t="s">
        <v>577</v>
      </c>
      <c r="B380" s="2" t="s">
        <v>405</v>
      </c>
      <c r="C380" s="6">
        <v>2</v>
      </c>
      <c r="D380" s="2" t="s">
        <v>456</v>
      </c>
      <c r="E380" s="6"/>
      <c r="F380" s="18"/>
      <c r="G380" s="18"/>
      <c r="H380" s="18"/>
      <c r="I380" s="18"/>
      <c r="J380" s="24" t="s">
        <v>312</v>
      </c>
      <c r="K380" s="24" t="s">
        <v>312</v>
      </c>
      <c r="L380" s="56">
        <f t="shared" si="25"/>
        <v>0</v>
      </c>
      <c r="M380" s="8"/>
    </row>
    <row r="381" spans="1:13" s="3" customFormat="1" ht="12" customHeight="1" x14ac:dyDescent="0.15">
      <c r="A381" s="79" t="s">
        <v>578</v>
      </c>
      <c r="B381" s="2" t="s">
        <v>405</v>
      </c>
      <c r="C381" s="6">
        <v>3</v>
      </c>
      <c r="D381" s="2" t="s">
        <v>456</v>
      </c>
      <c r="E381" s="6"/>
      <c r="F381" s="18"/>
      <c r="G381" s="18"/>
      <c r="H381" s="18"/>
      <c r="I381" s="18"/>
      <c r="J381" s="24" t="s">
        <v>312</v>
      </c>
      <c r="K381" s="24" t="s">
        <v>312</v>
      </c>
      <c r="L381" s="56">
        <f t="shared" si="25"/>
        <v>0</v>
      </c>
      <c r="M381" s="8"/>
    </row>
    <row r="382" spans="1:13" s="3" customFormat="1" ht="12" customHeight="1" x14ac:dyDescent="0.15">
      <c r="A382" s="79" t="s">
        <v>579</v>
      </c>
      <c r="B382" s="2" t="s">
        <v>405</v>
      </c>
      <c r="C382" s="6">
        <v>4</v>
      </c>
      <c r="D382" s="2" t="s">
        <v>456</v>
      </c>
      <c r="E382" s="6"/>
      <c r="F382" s="18"/>
      <c r="G382" s="18"/>
      <c r="H382" s="18"/>
      <c r="I382" s="18"/>
      <c r="J382" s="24" t="s">
        <v>312</v>
      </c>
      <c r="K382" s="24" t="s">
        <v>312</v>
      </c>
      <c r="L382" s="56">
        <f t="shared" si="25"/>
        <v>0</v>
      </c>
      <c r="M382" s="8"/>
    </row>
    <row r="383" spans="1:13" s="3" customFormat="1" ht="12" customHeight="1" x14ac:dyDescent="0.15">
      <c r="A383" s="79" t="s">
        <v>580</v>
      </c>
      <c r="B383" s="2" t="s">
        <v>405</v>
      </c>
      <c r="C383" s="6">
        <v>5</v>
      </c>
      <c r="D383" s="2" t="s">
        <v>456</v>
      </c>
      <c r="E383" s="6"/>
      <c r="F383" s="18"/>
      <c r="G383" s="18"/>
      <c r="H383" s="18"/>
      <c r="I383" s="18"/>
      <c r="J383" s="24" t="s">
        <v>312</v>
      </c>
      <c r="K383" s="24" t="s">
        <v>312</v>
      </c>
      <c r="L383" s="56">
        <f t="shared" si="25"/>
        <v>0</v>
      </c>
      <c r="M383" s="8"/>
    </row>
    <row r="384" spans="1:13" s="3" customFormat="1" ht="12" customHeight="1" thickBot="1" x14ac:dyDescent="0.2">
      <c r="A384" s="79" t="s">
        <v>581</v>
      </c>
      <c r="B384" s="2" t="s">
        <v>405</v>
      </c>
      <c r="C384" s="6">
        <v>6</v>
      </c>
      <c r="D384" s="2" t="s">
        <v>456</v>
      </c>
      <c r="E384" s="6"/>
      <c r="F384" s="18"/>
      <c r="G384" s="18"/>
      <c r="H384" s="18"/>
      <c r="I384" s="18"/>
      <c r="J384" s="24" t="s">
        <v>312</v>
      </c>
      <c r="K384" s="24" t="s">
        <v>312</v>
      </c>
      <c r="L384" s="56">
        <f t="shared" si="25"/>
        <v>0</v>
      </c>
      <c r="M384" s="8"/>
    </row>
    <row r="385" spans="1:13" s="3" customFormat="1" ht="12" customHeight="1" thickTop="1" x14ac:dyDescent="0.15">
      <c r="A385" s="160" t="s">
        <v>495</v>
      </c>
      <c r="B385" s="2" t="s">
        <v>405</v>
      </c>
      <c r="C385" s="6">
        <v>7</v>
      </c>
      <c r="D385" s="2" t="s">
        <v>456</v>
      </c>
      <c r="E385" s="40">
        <v>5251</v>
      </c>
      <c r="F385" s="139">
        <f>SUM(F379:F384)</f>
        <v>0</v>
      </c>
      <c r="G385" s="139">
        <f>SUM(G379:G384)</f>
        <v>0</v>
      </c>
      <c r="H385" s="139">
        <f>SUM(H379:H384)</f>
        <v>0</v>
      </c>
      <c r="I385" s="65">
        <f>SUM(I379:I384)</f>
        <v>0</v>
      </c>
      <c r="J385" s="45" t="s">
        <v>312</v>
      </c>
      <c r="K385" s="45" t="s">
        <v>312</v>
      </c>
      <c r="L385" s="47">
        <f>SUM(L379:L384)</f>
        <v>0</v>
      </c>
      <c r="M385" s="8"/>
    </row>
    <row r="386" spans="1:13" s="3" customFormat="1" ht="12" customHeight="1" x14ac:dyDescent="0.15">
      <c r="A386" s="78" t="s">
        <v>406</v>
      </c>
      <c r="B386" s="2"/>
      <c r="C386" s="6"/>
      <c r="D386" s="6"/>
      <c r="F386" s="24" t="s">
        <v>312</v>
      </c>
      <c r="G386" s="24" t="s">
        <v>312</v>
      </c>
      <c r="H386" s="24" t="s">
        <v>312</v>
      </c>
      <c r="I386" s="24" t="s">
        <v>312</v>
      </c>
      <c r="J386" s="24" t="s">
        <v>312</v>
      </c>
      <c r="K386" s="24" t="s">
        <v>312</v>
      </c>
      <c r="L386" s="24" t="s">
        <v>312</v>
      </c>
      <c r="M386" s="8"/>
    </row>
    <row r="387" spans="1:13" s="3" customFormat="1" ht="12" customHeight="1" x14ac:dyDescent="0.15">
      <c r="A387" s="79" t="s">
        <v>582</v>
      </c>
      <c r="B387" s="2" t="s">
        <v>405</v>
      </c>
      <c r="C387" s="6">
        <v>8</v>
      </c>
      <c r="D387" s="2" t="s">
        <v>456</v>
      </c>
      <c r="E387" s="6"/>
      <c r="F387" s="18"/>
      <c r="G387" s="18"/>
      <c r="H387" s="18"/>
      <c r="I387" s="18"/>
      <c r="J387" s="24" t="s">
        <v>312</v>
      </c>
      <c r="K387" s="24" t="s">
        <v>312</v>
      </c>
      <c r="L387" s="56">
        <f t="shared" ref="L387:L392" si="26">SUM(F387:K387)</f>
        <v>0</v>
      </c>
      <c r="M387" s="8"/>
    </row>
    <row r="388" spans="1:13" s="3" customFormat="1" ht="12" customHeight="1" x14ac:dyDescent="0.15">
      <c r="A388" s="79" t="s">
        <v>583</v>
      </c>
      <c r="B388" s="2" t="s">
        <v>405</v>
      </c>
      <c r="C388" s="6">
        <v>9</v>
      </c>
      <c r="D388" s="2" t="s">
        <v>456</v>
      </c>
      <c r="E388" s="6"/>
      <c r="F388" s="18"/>
      <c r="G388" s="18"/>
      <c r="H388" s="18"/>
      <c r="I388" s="18"/>
      <c r="J388" s="24" t="s">
        <v>312</v>
      </c>
      <c r="K388" s="24" t="s">
        <v>312</v>
      </c>
      <c r="L388" s="56">
        <f t="shared" si="26"/>
        <v>0</v>
      </c>
      <c r="M388" s="8"/>
    </row>
    <row r="389" spans="1:13" s="3" customFormat="1" ht="12" customHeight="1" x14ac:dyDescent="0.15">
      <c r="A389" s="79" t="s">
        <v>541</v>
      </c>
      <c r="B389" s="2" t="s">
        <v>405</v>
      </c>
      <c r="C389" s="6">
        <v>10</v>
      </c>
      <c r="D389" s="2" t="s">
        <v>456</v>
      </c>
      <c r="E389" s="6"/>
      <c r="F389" s="18"/>
      <c r="G389" s="18"/>
      <c r="H389" s="18">
        <v>37.369999999999997</v>
      </c>
      <c r="I389" s="18"/>
      <c r="J389" s="24" t="s">
        <v>312</v>
      </c>
      <c r="K389" s="24" t="s">
        <v>312</v>
      </c>
      <c r="L389" s="56">
        <f t="shared" si="26"/>
        <v>37.369999999999997</v>
      </c>
      <c r="M389" s="8"/>
    </row>
    <row r="390" spans="1:13" s="3" customFormat="1" ht="12" customHeight="1" x14ac:dyDescent="0.15">
      <c r="A390" s="79" t="s">
        <v>584</v>
      </c>
      <c r="B390" s="2" t="s">
        <v>405</v>
      </c>
      <c r="C390" s="6">
        <v>11</v>
      </c>
      <c r="D390" s="2" t="s">
        <v>456</v>
      </c>
      <c r="E390" s="6"/>
      <c r="F390" s="18"/>
      <c r="G390" s="18"/>
      <c r="H390" s="18">
        <v>43.42</v>
      </c>
      <c r="I390" s="18"/>
      <c r="J390" s="24" t="s">
        <v>312</v>
      </c>
      <c r="K390" s="24" t="s">
        <v>312</v>
      </c>
      <c r="L390" s="56">
        <f t="shared" si="26"/>
        <v>43.42</v>
      </c>
      <c r="M390" s="8"/>
    </row>
    <row r="391" spans="1:13" s="3" customFormat="1" ht="12" customHeight="1" x14ac:dyDescent="0.15">
      <c r="A391" s="79" t="s">
        <v>585</v>
      </c>
      <c r="B391" s="2" t="s">
        <v>405</v>
      </c>
      <c r="C391" s="6">
        <v>12</v>
      </c>
      <c r="D391" s="2" t="s">
        <v>456</v>
      </c>
      <c r="E391" s="6"/>
      <c r="F391" s="18"/>
      <c r="G391" s="18"/>
      <c r="H391" s="18"/>
      <c r="I391" s="18"/>
      <c r="J391" s="24" t="s">
        <v>312</v>
      </c>
      <c r="K391" s="24" t="s">
        <v>312</v>
      </c>
      <c r="L391" s="56">
        <f t="shared" si="26"/>
        <v>0</v>
      </c>
      <c r="M391" s="8"/>
    </row>
    <row r="392" spans="1:13" s="3" customFormat="1" ht="12" customHeight="1" thickBot="1" x14ac:dyDescent="0.2">
      <c r="A392" s="79" t="s">
        <v>536</v>
      </c>
      <c r="B392" s="2" t="s">
        <v>405</v>
      </c>
      <c r="C392" s="6">
        <v>13</v>
      </c>
      <c r="D392" s="2" t="s">
        <v>456</v>
      </c>
      <c r="E392" s="6"/>
      <c r="F392" s="18"/>
      <c r="G392" s="18"/>
      <c r="H392" s="18"/>
      <c r="I392" s="18"/>
      <c r="J392" s="24" t="s">
        <v>312</v>
      </c>
      <c r="K392" s="24" t="s">
        <v>312</v>
      </c>
      <c r="L392" s="56">
        <f t="shared" si="26"/>
        <v>0</v>
      </c>
      <c r="M392" s="8"/>
    </row>
    <row r="393" spans="1:13" s="3" customFormat="1" ht="12" customHeight="1" thickTop="1" x14ac:dyDescent="0.15">
      <c r="A393" s="160" t="s">
        <v>494</v>
      </c>
      <c r="B393" s="2" t="s">
        <v>405</v>
      </c>
      <c r="C393" s="6">
        <v>14</v>
      </c>
      <c r="D393" s="2" t="s">
        <v>456</v>
      </c>
      <c r="E393" s="40">
        <v>5252</v>
      </c>
      <c r="F393" s="47">
        <f>SUM(F387:F392)</f>
        <v>0</v>
      </c>
      <c r="G393" s="47">
        <f>SUM(G387:G392)</f>
        <v>0</v>
      </c>
      <c r="H393" s="47">
        <f>SUM(H387:H392)</f>
        <v>80.789999999999992</v>
      </c>
      <c r="I393" s="47">
        <f>SUM(I387:I392)</f>
        <v>0</v>
      </c>
      <c r="J393" s="45" t="s">
        <v>312</v>
      </c>
      <c r="K393" s="45" t="s">
        <v>312</v>
      </c>
      <c r="L393" s="47">
        <f>SUM(L387:L392)</f>
        <v>80.789999999999992</v>
      </c>
      <c r="M393" s="8"/>
    </row>
    <row r="394" spans="1:13" s="3" customFormat="1" ht="12" customHeight="1" x14ac:dyDescent="0.15">
      <c r="A394" s="78" t="s">
        <v>407</v>
      </c>
      <c r="B394" s="2"/>
      <c r="C394" s="2"/>
      <c r="D394" s="2"/>
      <c r="F394" s="24" t="s">
        <v>312</v>
      </c>
      <c r="G394" s="24" t="s">
        <v>312</v>
      </c>
      <c r="H394" s="24" t="s">
        <v>312</v>
      </c>
      <c r="I394" s="24" t="s">
        <v>312</v>
      </c>
      <c r="J394" s="24" t="s">
        <v>312</v>
      </c>
      <c r="K394" s="24" t="s">
        <v>312</v>
      </c>
      <c r="L394" s="24" t="s">
        <v>312</v>
      </c>
      <c r="M394" s="8"/>
    </row>
    <row r="395" spans="1:13" s="3" customFormat="1" ht="12" customHeight="1" x14ac:dyDescent="0.15">
      <c r="A395" s="110"/>
      <c r="B395" s="2" t="s">
        <v>405</v>
      </c>
      <c r="C395" s="6">
        <v>15</v>
      </c>
      <c r="D395" s="2" t="s">
        <v>456</v>
      </c>
      <c r="E395" s="6"/>
      <c r="F395" s="18"/>
      <c r="G395" s="18"/>
      <c r="H395" s="18"/>
      <c r="I395" s="18"/>
      <c r="J395" s="24" t="s">
        <v>312</v>
      </c>
      <c r="K395" s="24" t="s">
        <v>312</v>
      </c>
      <c r="L395" s="56">
        <f>SUM(F395:K395)</f>
        <v>0</v>
      </c>
      <c r="M395" s="8"/>
    </row>
    <row r="396" spans="1:13" s="3" customFormat="1" ht="12" customHeight="1" x14ac:dyDescent="0.15">
      <c r="A396" s="110"/>
      <c r="B396" s="2" t="s">
        <v>405</v>
      </c>
      <c r="C396" s="6">
        <v>16</v>
      </c>
      <c r="D396" s="2" t="s">
        <v>456</v>
      </c>
      <c r="E396" s="6"/>
      <c r="F396" s="18"/>
      <c r="G396" s="18"/>
      <c r="H396" s="18"/>
      <c r="I396" s="18"/>
      <c r="J396" s="24" t="s">
        <v>312</v>
      </c>
      <c r="K396" s="24" t="s">
        <v>312</v>
      </c>
      <c r="L396" s="56">
        <f>SUM(F396:K396)</f>
        <v>0</v>
      </c>
      <c r="M396" s="8"/>
    </row>
    <row r="397" spans="1:13" s="3" customFormat="1" ht="12" customHeight="1" x14ac:dyDescent="0.15">
      <c r="A397" s="110"/>
      <c r="B397" s="2" t="s">
        <v>405</v>
      </c>
      <c r="C397" s="6">
        <v>17</v>
      </c>
      <c r="D397" s="2" t="s">
        <v>456</v>
      </c>
      <c r="E397" s="6"/>
      <c r="F397" s="18"/>
      <c r="G397" s="18"/>
      <c r="H397" s="18"/>
      <c r="I397" s="18"/>
      <c r="J397" s="24" t="s">
        <v>312</v>
      </c>
      <c r="K397" s="24" t="s">
        <v>312</v>
      </c>
      <c r="L397" s="56">
        <f>SUM(F397:K397)</f>
        <v>0</v>
      </c>
      <c r="M397" s="8"/>
    </row>
    <row r="398" spans="1:13" s="3" customFormat="1" ht="12" customHeight="1" thickBot="1" x14ac:dyDescent="0.2">
      <c r="A398" s="110"/>
      <c r="B398" s="2" t="s">
        <v>405</v>
      </c>
      <c r="C398" s="6">
        <v>18</v>
      </c>
      <c r="D398" s="2" t="s">
        <v>456</v>
      </c>
      <c r="E398" s="6"/>
      <c r="F398" s="18"/>
      <c r="G398" s="18"/>
      <c r="H398" s="18"/>
      <c r="I398" s="18"/>
      <c r="J398" s="24" t="s">
        <v>312</v>
      </c>
      <c r="K398" s="24" t="s">
        <v>312</v>
      </c>
      <c r="L398" s="56">
        <f>SUM(F398:K398)</f>
        <v>0</v>
      </c>
      <c r="M398" s="8"/>
    </row>
    <row r="399" spans="1:13" s="3" customFormat="1" ht="12" customHeight="1" thickTop="1" thickBot="1" x14ac:dyDescent="0.2">
      <c r="A399" s="160" t="s">
        <v>496</v>
      </c>
      <c r="B399" s="2" t="s">
        <v>405</v>
      </c>
      <c r="C399" s="6">
        <v>19</v>
      </c>
      <c r="D399" s="2" t="s">
        <v>456</v>
      </c>
      <c r="E399" s="40">
        <v>5253</v>
      </c>
      <c r="F399" s="47">
        <f>SUM(F395:F398)</f>
        <v>0</v>
      </c>
      <c r="G399" s="47">
        <f>SUM(G395:G398)</f>
        <v>0</v>
      </c>
      <c r="H399" s="47">
        <f>SUM(H395:H398)</f>
        <v>0</v>
      </c>
      <c r="I399" s="47">
        <f>SUM(I395:I398)</f>
        <v>0</v>
      </c>
      <c r="J399" s="49" t="s">
        <v>312</v>
      </c>
      <c r="K399" s="49" t="s">
        <v>312</v>
      </c>
      <c r="L399" s="47">
        <f>SUM(L395:L398)</f>
        <v>0</v>
      </c>
      <c r="M399" s="8"/>
    </row>
    <row r="400" spans="1:13" s="3" customFormat="1" ht="12" customHeight="1" thickTop="1" x14ac:dyDescent="0.15">
      <c r="A400" s="78" t="s">
        <v>445</v>
      </c>
      <c r="B400" s="2" t="s">
        <v>405</v>
      </c>
      <c r="C400" s="6">
        <v>20</v>
      </c>
      <c r="D400" s="6"/>
      <c r="E400" s="40"/>
      <c r="F400" s="47">
        <f>F385+F393+F399</f>
        <v>0</v>
      </c>
      <c r="G400" s="47">
        <f>G385+G393+G399</f>
        <v>0</v>
      </c>
      <c r="H400" s="47">
        <f>H385+H393+H399</f>
        <v>80.789999999999992</v>
      </c>
      <c r="I400" s="47">
        <f>I385+I393+I399</f>
        <v>0</v>
      </c>
      <c r="J400" s="24" t="s">
        <v>312</v>
      </c>
      <c r="K400" s="24" t="s">
        <v>312</v>
      </c>
      <c r="L400" s="47">
        <f>L385+L393+L399</f>
        <v>80.789999999999992</v>
      </c>
      <c r="M400" s="8"/>
    </row>
    <row r="401" spans="1:21" s="3" customFormat="1" ht="12" customHeight="1" x14ac:dyDescent="0.15">
      <c r="A401" s="78"/>
      <c r="B401" s="2"/>
      <c r="C401" s="6"/>
      <c r="D401" s="6"/>
      <c r="E401" s="6"/>
      <c r="F401" s="177" t="s">
        <v>724</v>
      </c>
      <c r="G401" s="177" t="s">
        <v>725</v>
      </c>
      <c r="H401" s="177" t="s">
        <v>726</v>
      </c>
      <c r="I401" s="177" t="s">
        <v>727</v>
      </c>
      <c r="J401" s="177" t="s">
        <v>728</v>
      </c>
      <c r="K401" s="177" t="s">
        <v>729</v>
      </c>
      <c r="L401" s="56"/>
      <c r="M401" s="8"/>
    </row>
    <row r="402" spans="1:21" s="3" customFormat="1" ht="12" customHeight="1" x14ac:dyDescent="0.15">
      <c r="A402" s="26" t="s">
        <v>506</v>
      </c>
      <c r="B402" s="76"/>
      <c r="C402" s="76"/>
      <c r="D402" s="76"/>
      <c r="E402" s="76"/>
      <c r="F402" s="66"/>
      <c r="G402" s="16" t="s">
        <v>408</v>
      </c>
      <c r="H402" s="16" t="s">
        <v>409</v>
      </c>
      <c r="I402" s="67"/>
      <c r="J402" s="56"/>
      <c r="K402" s="56"/>
      <c r="L402" s="56"/>
      <c r="M402" s="8"/>
    </row>
    <row r="403" spans="1:21" s="3" customFormat="1" ht="12" customHeight="1" x14ac:dyDescent="0.15">
      <c r="A403" s="26" t="s">
        <v>508</v>
      </c>
      <c r="B403" s="2"/>
      <c r="C403" s="2"/>
      <c r="D403" s="2"/>
      <c r="E403" s="2"/>
      <c r="F403" s="16" t="s">
        <v>360</v>
      </c>
      <c r="G403" s="16" t="s">
        <v>361</v>
      </c>
      <c r="H403" s="16" t="s">
        <v>410</v>
      </c>
      <c r="I403" s="16" t="s">
        <v>362</v>
      </c>
      <c r="J403" s="56" t="s">
        <v>363</v>
      </c>
      <c r="K403" s="56" t="s">
        <v>380</v>
      </c>
      <c r="L403" s="77" t="s">
        <v>364</v>
      </c>
      <c r="M403" s="8"/>
    </row>
    <row r="404" spans="1:21" s="3" customFormat="1" ht="12" customHeight="1" x14ac:dyDescent="0.15">
      <c r="A404" s="26" t="s">
        <v>400</v>
      </c>
      <c r="B404" s="2"/>
      <c r="C404" s="2"/>
      <c r="D404" s="2"/>
      <c r="F404" s="24" t="s">
        <v>312</v>
      </c>
      <c r="G404" s="24" t="s">
        <v>312</v>
      </c>
      <c r="H404" s="24" t="s">
        <v>312</v>
      </c>
      <c r="I404" s="24" t="s">
        <v>312</v>
      </c>
      <c r="J404" s="24" t="s">
        <v>312</v>
      </c>
      <c r="K404" s="24" t="s">
        <v>312</v>
      </c>
      <c r="L404" s="24" t="s">
        <v>312</v>
      </c>
      <c r="M404" s="8"/>
    </row>
    <row r="405" spans="1:21" s="3" customFormat="1" ht="12" customHeight="1" x14ac:dyDescent="0.15">
      <c r="A405" s="79" t="s">
        <v>576</v>
      </c>
      <c r="B405" s="6">
        <v>17</v>
      </c>
      <c r="C405" s="6">
        <v>1</v>
      </c>
      <c r="D405" s="2" t="s">
        <v>456</v>
      </c>
      <c r="E405" s="6"/>
      <c r="F405" s="18"/>
      <c r="G405" s="18"/>
      <c r="H405" s="18"/>
      <c r="I405" s="18"/>
      <c r="J405" s="18"/>
      <c r="K405" s="18"/>
      <c r="L405" s="56">
        <f t="shared" ref="L405:L410" si="27">SUM(F405:K405)</f>
        <v>0</v>
      </c>
      <c r="M405" s="8"/>
    </row>
    <row r="406" spans="1:21" s="3" customFormat="1" ht="12" customHeight="1" x14ac:dyDescent="0.15">
      <c r="A406" s="79" t="s">
        <v>577</v>
      </c>
      <c r="B406" s="6">
        <v>17</v>
      </c>
      <c r="C406" s="6">
        <v>2</v>
      </c>
      <c r="D406" s="2" t="s">
        <v>456</v>
      </c>
      <c r="E406" s="6"/>
      <c r="F406" s="18"/>
      <c r="G406" s="18"/>
      <c r="H406" s="18"/>
      <c r="I406" s="18"/>
      <c r="J406" s="18"/>
      <c r="K406" s="18"/>
      <c r="L406" s="56">
        <f t="shared" si="27"/>
        <v>0</v>
      </c>
      <c r="M406" s="8"/>
    </row>
    <row r="407" spans="1:21" s="3" customFormat="1" ht="12" customHeight="1" x14ac:dyDescent="0.15">
      <c r="A407" s="79" t="s">
        <v>578</v>
      </c>
      <c r="B407" s="6">
        <v>17</v>
      </c>
      <c r="C407" s="6">
        <v>3</v>
      </c>
      <c r="D407" s="2" t="s">
        <v>456</v>
      </c>
      <c r="E407" s="6"/>
      <c r="F407" s="18"/>
      <c r="G407" s="18"/>
      <c r="H407" s="18"/>
      <c r="I407" s="18"/>
      <c r="J407" s="18"/>
      <c r="K407" s="18"/>
      <c r="L407" s="56">
        <f t="shared" si="27"/>
        <v>0</v>
      </c>
      <c r="M407" s="8"/>
    </row>
    <row r="408" spans="1:21" s="12" customFormat="1" ht="12" customHeight="1" thickBot="1" x14ac:dyDescent="0.25">
      <c r="A408" s="79" t="s">
        <v>579</v>
      </c>
      <c r="B408" s="6">
        <v>17</v>
      </c>
      <c r="C408" s="6">
        <v>4</v>
      </c>
      <c r="D408" s="2" t="s">
        <v>456</v>
      </c>
      <c r="E408" s="6"/>
      <c r="F408" s="18"/>
      <c r="G408" s="18"/>
      <c r="H408" s="18"/>
      <c r="I408" s="18"/>
      <c r="J408" s="18"/>
      <c r="K408" s="18"/>
      <c r="L408" s="56">
        <f t="shared" si="27"/>
        <v>0</v>
      </c>
      <c r="M408" s="52"/>
      <c r="N408" s="52"/>
      <c r="O408" s="52"/>
      <c r="P408" s="52"/>
      <c r="Q408" s="52"/>
      <c r="R408" s="52"/>
      <c r="S408" s="52"/>
      <c r="T408" s="52"/>
      <c r="U408" s="52"/>
    </row>
    <row r="409" spans="1:21" s="3" customFormat="1" ht="12" customHeight="1" x14ac:dyDescent="0.15">
      <c r="A409" s="79" t="s">
        <v>580</v>
      </c>
      <c r="B409" s="6">
        <v>17</v>
      </c>
      <c r="C409" s="6">
        <v>5</v>
      </c>
      <c r="D409" s="2" t="s">
        <v>456</v>
      </c>
      <c r="E409" s="6"/>
      <c r="F409" s="18"/>
      <c r="G409" s="18"/>
      <c r="H409" s="18"/>
      <c r="I409" s="18"/>
      <c r="J409" s="18"/>
      <c r="K409" s="18"/>
      <c r="L409" s="56">
        <f t="shared" si="27"/>
        <v>0</v>
      </c>
      <c r="M409" s="58"/>
      <c r="N409" s="58"/>
      <c r="O409" s="58"/>
      <c r="P409" s="58"/>
      <c r="Q409" s="58"/>
      <c r="R409" s="58"/>
      <c r="S409" s="58"/>
      <c r="T409" s="58"/>
      <c r="U409" s="58"/>
    </row>
    <row r="410" spans="1:21" s="3" customFormat="1" ht="12" customHeight="1" thickBot="1" x14ac:dyDescent="0.2">
      <c r="A410" s="79" t="s">
        <v>581</v>
      </c>
      <c r="B410" s="6">
        <v>17</v>
      </c>
      <c r="C410" s="6">
        <v>6</v>
      </c>
      <c r="D410" s="2" t="s">
        <v>456</v>
      </c>
      <c r="E410" s="6"/>
      <c r="F410" s="18"/>
      <c r="G410" s="18"/>
      <c r="H410" s="18"/>
      <c r="I410" s="18"/>
      <c r="J410" s="18"/>
      <c r="K410" s="18"/>
      <c r="L410" s="56">
        <f t="shared" si="27"/>
        <v>0</v>
      </c>
      <c r="M410" s="8"/>
    </row>
    <row r="411" spans="1:21" s="3" customFormat="1" ht="12" customHeight="1" thickTop="1" x14ac:dyDescent="0.15">
      <c r="A411" s="160" t="s">
        <v>495</v>
      </c>
      <c r="B411" s="6">
        <v>17</v>
      </c>
      <c r="C411" s="6">
        <v>7</v>
      </c>
      <c r="D411" s="2" t="s">
        <v>456</v>
      </c>
      <c r="E411" s="40">
        <v>5251</v>
      </c>
      <c r="F411" s="139">
        <f t="shared" ref="F411:L411" si="28">SUM(F405:F410)</f>
        <v>0</v>
      </c>
      <c r="G411" s="139">
        <f t="shared" si="28"/>
        <v>0</v>
      </c>
      <c r="H411" s="139">
        <f t="shared" si="28"/>
        <v>0</v>
      </c>
      <c r="I411" s="139">
        <f t="shared" si="28"/>
        <v>0</v>
      </c>
      <c r="J411" s="139">
        <f t="shared" si="28"/>
        <v>0</v>
      </c>
      <c r="K411" s="139">
        <f t="shared" si="28"/>
        <v>0</v>
      </c>
      <c r="L411" s="47">
        <f t="shared" si="28"/>
        <v>0</v>
      </c>
      <c r="M411" s="8"/>
    </row>
    <row r="412" spans="1:21" s="3" customFormat="1" ht="12" customHeight="1" x14ac:dyDescent="0.15">
      <c r="A412" s="78" t="s">
        <v>406</v>
      </c>
      <c r="B412" s="2"/>
      <c r="C412" s="6"/>
      <c r="D412" s="6"/>
      <c r="F412" s="24" t="s">
        <v>312</v>
      </c>
      <c r="G412" s="24" t="s">
        <v>312</v>
      </c>
      <c r="H412" s="24" t="s">
        <v>312</v>
      </c>
      <c r="I412" s="24" t="s">
        <v>312</v>
      </c>
      <c r="J412" s="24" t="s">
        <v>312</v>
      </c>
      <c r="K412" s="24" t="s">
        <v>312</v>
      </c>
      <c r="L412" s="24" t="s">
        <v>312</v>
      </c>
      <c r="M412" s="8"/>
    </row>
    <row r="413" spans="1:21" s="3" customFormat="1" ht="12" customHeight="1" x14ac:dyDescent="0.15">
      <c r="A413" s="79" t="s">
        <v>582</v>
      </c>
      <c r="B413" s="6">
        <v>17</v>
      </c>
      <c r="C413" s="6">
        <v>8</v>
      </c>
      <c r="D413" s="2" t="s">
        <v>456</v>
      </c>
      <c r="E413" s="6"/>
      <c r="F413" s="18"/>
      <c r="G413" s="18"/>
      <c r="H413" s="18"/>
      <c r="I413" s="18"/>
      <c r="J413" s="18"/>
      <c r="K413" s="18"/>
      <c r="L413" s="56">
        <f t="shared" ref="L413:L418" si="29">SUM(F413:K413)</f>
        <v>0</v>
      </c>
      <c r="M413" s="8"/>
    </row>
    <row r="414" spans="1:21" s="3" customFormat="1" ht="12" customHeight="1" x14ac:dyDescent="0.15">
      <c r="A414" s="79" t="s">
        <v>583</v>
      </c>
      <c r="B414" s="6">
        <v>17</v>
      </c>
      <c r="C414" s="6">
        <v>9</v>
      </c>
      <c r="D414" s="2" t="s">
        <v>456</v>
      </c>
      <c r="E414" s="6"/>
      <c r="F414" s="18"/>
      <c r="G414" s="18"/>
      <c r="H414" s="18"/>
      <c r="I414" s="18"/>
      <c r="J414" s="18"/>
      <c r="K414" s="18"/>
      <c r="L414" s="56">
        <f t="shared" si="29"/>
        <v>0</v>
      </c>
      <c r="M414" s="8"/>
    </row>
    <row r="415" spans="1:21" s="3" customFormat="1" ht="12" customHeight="1" x14ac:dyDescent="0.15">
      <c r="A415" s="79" t="s">
        <v>541</v>
      </c>
      <c r="B415" s="6">
        <v>17</v>
      </c>
      <c r="C415" s="6">
        <v>10</v>
      </c>
      <c r="D415" s="2" t="s">
        <v>456</v>
      </c>
      <c r="E415" s="6"/>
      <c r="F415" s="18"/>
      <c r="G415" s="18"/>
      <c r="H415" s="18"/>
      <c r="I415" s="18"/>
      <c r="J415" s="18"/>
      <c r="K415" s="18"/>
      <c r="L415" s="56">
        <f t="shared" si="29"/>
        <v>0</v>
      </c>
      <c r="M415" s="8"/>
    </row>
    <row r="416" spans="1:21" s="3" customFormat="1" ht="12" customHeight="1" x14ac:dyDescent="0.15">
      <c r="A416" s="79" t="s">
        <v>584</v>
      </c>
      <c r="B416" s="6">
        <v>17</v>
      </c>
      <c r="C416" s="6">
        <v>11</v>
      </c>
      <c r="D416" s="2" t="s">
        <v>456</v>
      </c>
      <c r="E416" s="6"/>
      <c r="F416" s="18"/>
      <c r="G416" s="18"/>
      <c r="H416" s="18"/>
      <c r="I416" s="18"/>
      <c r="J416" s="18"/>
      <c r="K416" s="18"/>
      <c r="L416" s="56">
        <f t="shared" si="29"/>
        <v>0</v>
      </c>
      <c r="M416" s="8"/>
    </row>
    <row r="417" spans="1:21" s="3" customFormat="1" ht="12" customHeight="1" x14ac:dyDescent="0.15">
      <c r="A417" s="79" t="s">
        <v>585</v>
      </c>
      <c r="B417" s="6">
        <v>17</v>
      </c>
      <c r="C417" s="6">
        <v>12</v>
      </c>
      <c r="D417" s="2" t="s">
        <v>456</v>
      </c>
      <c r="E417" s="6"/>
      <c r="F417" s="18"/>
      <c r="G417" s="18"/>
      <c r="H417" s="18"/>
      <c r="I417" s="18"/>
      <c r="J417" s="18"/>
      <c r="K417" s="18"/>
      <c r="L417" s="56">
        <f t="shared" si="29"/>
        <v>0</v>
      </c>
      <c r="M417" s="8"/>
    </row>
    <row r="418" spans="1:21" s="3" customFormat="1" ht="12" customHeight="1" thickBot="1" x14ac:dyDescent="0.2">
      <c r="A418" s="79" t="s">
        <v>536</v>
      </c>
      <c r="B418" s="6">
        <v>17</v>
      </c>
      <c r="C418" s="6">
        <v>13</v>
      </c>
      <c r="D418" s="2" t="s">
        <v>456</v>
      </c>
      <c r="E418" s="6"/>
      <c r="F418" s="18"/>
      <c r="G418" s="18"/>
      <c r="H418" s="18"/>
      <c r="I418" s="18"/>
      <c r="J418" s="18"/>
      <c r="K418" s="18"/>
      <c r="L418" s="56">
        <f t="shared" si="29"/>
        <v>0</v>
      </c>
      <c r="M418" s="8"/>
    </row>
    <row r="419" spans="1:21" s="3" customFormat="1" ht="12" customHeight="1" thickTop="1" x14ac:dyDescent="0.15">
      <c r="A419" s="160" t="s">
        <v>494</v>
      </c>
      <c r="B419" s="6">
        <v>17</v>
      </c>
      <c r="C419" s="6">
        <v>14</v>
      </c>
      <c r="D419" s="2" t="s">
        <v>456</v>
      </c>
      <c r="E419" s="40">
        <v>5252</v>
      </c>
      <c r="F419" s="47">
        <f t="shared" ref="F419:L419" si="30">SUM(F413:F418)</f>
        <v>0</v>
      </c>
      <c r="G419" s="47">
        <f t="shared" si="30"/>
        <v>0</v>
      </c>
      <c r="H419" s="47">
        <f t="shared" si="30"/>
        <v>0</v>
      </c>
      <c r="I419" s="47">
        <f t="shared" si="30"/>
        <v>0</v>
      </c>
      <c r="J419" s="47">
        <f t="shared" si="30"/>
        <v>0</v>
      </c>
      <c r="K419" s="47">
        <f t="shared" si="30"/>
        <v>0</v>
      </c>
      <c r="L419" s="47">
        <f t="shared" si="30"/>
        <v>0</v>
      </c>
      <c r="M419" s="8"/>
    </row>
    <row r="420" spans="1:21" s="3" customFormat="1" ht="12" customHeight="1" x14ac:dyDescent="0.15">
      <c r="A420" s="78" t="s">
        <v>407</v>
      </c>
      <c r="B420" s="2"/>
      <c r="C420" s="2"/>
      <c r="D420" s="2"/>
      <c r="F420" s="24" t="s">
        <v>312</v>
      </c>
      <c r="G420" s="24" t="s">
        <v>312</v>
      </c>
      <c r="H420" s="24" t="s">
        <v>312</v>
      </c>
      <c r="I420" s="24" t="s">
        <v>312</v>
      </c>
      <c r="J420" s="24" t="s">
        <v>312</v>
      </c>
      <c r="K420" s="24" t="s">
        <v>312</v>
      </c>
      <c r="L420" s="24" t="s">
        <v>312</v>
      </c>
      <c r="M420" s="8"/>
    </row>
    <row r="421" spans="1:21" s="3" customFormat="1" ht="12" customHeight="1" x14ac:dyDescent="0.15">
      <c r="A421" s="110"/>
      <c r="B421" s="6">
        <v>17</v>
      </c>
      <c r="C421" s="6">
        <v>15</v>
      </c>
      <c r="D421" s="2" t="s">
        <v>456</v>
      </c>
      <c r="E421" s="6"/>
      <c r="F421" s="18"/>
      <c r="G421" s="18"/>
      <c r="H421" s="18"/>
      <c r="I421" s="18"/>
      <c r="J421" s="18"/>
      <c r="K421" s="18"/>
      <c r="L421" s="56">
        <f>SUM(F421:K421)</f>
        <v>0</v>
      </c>
      <c r="M421" s="8"/>
    </row>
    <row r="422" spans="1:21" s="11" customFormat="1" ht="12" customHeight="1" x14ac:dyDescent="0.15">
      <c r="A422" s="110"/>
      <c r="B422" s="6">
        <v>17</v>
      </c>
      <c r="C422" s="6">
        <v>16</v>
      </c>
      <c r="D422" s="2" t="s">
        <v>456</v>
      </c>
      <c r="E422" s="6"/>
      <c r="F422" s="18"/>
      <c r="G422" s="18"/>
      <c r="H422" s="18"/>
      <c r="I422" s="18"/>
      <c r="J422" s="18"/>
      <c r="K422" s="18"/>
      <c r="L422" s="56">
        <f>SUM(F422:K422)</f>
        <v>0</v>
      </c>
      <c r="M422" s="68"/>
      <c r="N422" s="58"/>
      <c r="O422" s="58"/>
      <c r="P422" s="58"/>
      <c r="Q422" s="58"/>
      <c r="R422" s="58"/>
      <c r="S422" s="58"/>
      <c r="T422" s="58"/>
      <c r="U422" s="58"/>
    </row>
    <row r="423" spans="1:21" s="58" customFormat="1" ht="12" customHeight="1" x14ac:dyDescent="0.15">
      <c r="A423" s="110"/>
      <c r="B423" s="6">
        <v>17</v>
      </c>
      <c r="C423" s="6">
        <v>17</v>
      </c>
      <c r="D423" s="2" t="s">
        <v>456</v>
      </c>
      <c r="E423" s="6"/>
      <c r="F423" s="18"/>
      <c r="G423" s="18"/>
      <c r="H423" s="18"/>
      <c r="I423" s="18"/>
      <c r="J423" s="18"/>
      <c r="K423" s="18"/>
      <c r="L423" s="56">
        <f>SUM(F423:K423)</f>
        <v>0</v>
      </c>
      <c r="M423" s="68"/>
    </row>
    <row r="424" spans="1:21" s="58" customFormat="1" ht="12" customHeight="1" thickBot="1" x14ac:dyDescent="0.2">
      <c r="A424" s="110"/>
      <c r="B424" s="6">
        <v>17</v>
      </c>
      <c r="C424" s="6">
        <v>18</v>
      </c>
      <c r="D424" s="2" t="s">
        <v>456</v>
      </c>
      <c r="E424" s="6"/>
      <c r="F424" s="18"/>
      <c r="G424" s="18"/>
      <c r="H424" s="18"/>
      <c r="I424" s="18"/>
      <c r="J424" s="18"/>
      <c r="K424" s="18"/>
      <c r="L424" s="56">
        <f>SUM(F424:K424)</f>
        <v>0</v>
      </c>
      <c r="M424" s="68"/>
    </row>
    <row r="425" spans="1:21" ht="12" customHeight="1" thickTop="1" thickBot="1" x14ac:dyDescent="0.25">
      <c r="A425" s="160" t="s">
        <v>496</v>
      </c>
      <c r="B425" s="6">
        <v>17</v>
      </c>
      <c r="C425" s="6">
        <v>19</v>
      </c>
      <c r="D425" s="2" t="s">
        <v>456</v>
      </c>
      <c r="E425" s="40">
        <v>5253</v>
      </c>
      <c r="F425" s="47">
        <f t="shared" ref="F425:L425" si="31">SUM(F421:F424)</f>
        <v>0</v>
      </c>
      <c r="G425" s="47">
        <f t="shared" si="31"/>
        <v>0</v>
      </c>
      <c r="H425" s="47">
        <f t="shared" si="31"/>
        <v>0</v>
      </c>
      <c r="I425" s="47">
        <f t="shared" si="31"/>
        <v>0</v>
      </c>
      <c r="J425" s="47">
        <f t="shared" si="31"/>
        <v>0</v>
      </c>
      <c r="K425" s="47">
        <f t="shared" si="31"/>
        <v>0</v>
      </c>
      <c r="L425" s="47">
        <f t="shared" si="31"/>
        <v>0</v>
      </c>
    </row>
    <row r="426" spans="1:21" s="3" customFormat="1" ht="12" customHeight="1" thickTop="1" x14ac:dyDescent="0.15">
      <c r="A426" s="78" t="s">
        <v>446</v>
      </c>
      <c r="B426" s="6">
        <v>17</v>
      </c>
      <c r="C426" s="6">
        <v>20</v>
      </c>
      <c r="D426" s="2" t="s">
        <v>456</v>
      </c>
      <c r="E426" s="40"/>
      <c r="F426" s="47">
        <f t="shared" ref="F426:L426" si="32">F411+F419+F425</f>
        <v>0</v>
      </c>
      <c r="G426" s="47">
        <f t="shared" si="32"/>
        <v>0</v>
      </c>
      <c r="H426" s="47">
        <f t="shared" si="32"/>
        <v>0</v>
      </c>
      <c r="I426" s="47">
        <f t="shared" si="32"/>
        <v>0</v>
      </c>
      <c r="J426" s="47">
        <f t="shared" si="32"/>
        <v>0</v>
      </c>
      <c r="K426" s="47">
        <f t="shared" si="32"/>
        <v>0</v>
      </c>
      <c r="L426" s="47">
        <f t="shared" si="32"/>
        <v>0</v>
      </c>
      <c r="M426" s="8"/>
    </row>
    <row r="427" spans="1:21" s="3" customFormat="1" ht="12" customHeight="1" x14ac:dyDescent="0.15">
      <c r="A427" s="78"/>
      <c r="B427" s="6"/>
      <c r="C427" s="6"/>
      <c r="D427" s="6"/>
      <c r="E427" s="6"/>
      <c r="F427" s="56"/>
      <c r="G427" s="56"/>
      <c r="H427" s="56"/>
      <c r="I427" s="56"/>
      <c r="J427" s="56"/>
      <c r="K427" s="56"/>
      <c r="L427" s="56"/>
      <c r="M427" s="8"/>
    </row>
    <row r="428" spans="1:21" s="3" customFormat="1" ht="12" customHeight="1" x14ac:dyDescent="0.15">
      <c r="A428" s="34" t="s">
        <v>0</v>
      </c>
      <c r="K428" s="56"/>
      <c r="L428" s="13"/>
      <c r="M428" s="8"/>
    </row>
    <row r="429" spans="1:21" s="3" customFormat="1" ht="12" customHeight="1" x14ac:dyDescent="0.15">
      <c r="A429" s="34" t="s">
        <v>1</v>
      </c>
      <c r="F429" s="23" t="s">
        <v>2</v>
      </c>
      <c r="G429" s="23" t="s">
        <v>3</v>
      </c>
      <c r="H429" s="23" t="s">
        <v>4</v>
      </c>
      <c r="I429" s="23" t="s">
        <v>5</v>
      </c>
      <c r="M429" s="8"/>
    </row>
    <row r="430" spans="1:21" s="3" customFormat="1" ht="12" customHeight="1" x14ac:dyDescent="0.15">
      <c r="A430" s="34" t="s">
        <v>6</v>
      </c>
      <c r="B430" s="23"/>
      <c r="C430" s="23"/>
      <c r="D430" s="23"/>
      <c r="E430" s="23"/>
      <c r="F430" s="24" t="s">
        <v>312</v>
      </c>
      <c r="G430" s="24" t="s">
        <v>312</v>
      </c>
      <c r="H430" s="24" t="s">
        <v>312</v>
      </c>
      <c r="I430" s="24" t="s">
        <v>312</v>
      </c>
      <c r="J430" s="24" t="s">
        <v>312</v>
      </c>
      <c r="K430" s="24" t="s">
        <v>312</v>
      </c>
      <c r="L430" s="24" t="s">
        <v>312</v>
      </c>
      <c r="M430" s="8"/>
    </row>
    <row r="431" spans="1:21" s="3" customFormat="1" ht="12" customHeight="1" x14ac:dyDescent="0.15">
      <c r="A431" s="3" t="s">
        <v>587</v>
      </c>
      <c r="B431" s="23">
        <v>18</v>
      </c>
      <c r="C431" s="6">
        <v>1</v>
      </c>
      <c r="D431" s="2" t="s">
        <v>456</v>
      </c>
      <c r="E431" s="6">
        <v>100</v>
      </c>
      <c r="F431" s="18"/>
      <c r="G431" s="18"/>
      <c r="H431" s="18"/>
      <c r="I431" s="56">
        <f t="shared" ref="I431:I437" si="33">SUM(F431:H431)</f>
        <v>0</v>
      </c>
      <c r="J431" s="24" t="s">
        <v>312</v>
      </c>
      <c r="K431" s="24" t="s">
        <v>312</v>
      </c>
      <c r="L431" s="24" t="s">
        <v>312</v>
      </c>
      <c r="M431" s="8"/>
    </row>
    <row r="432" spans="1:21" s="3" customFormat="1" ht="12" customHeight="1" x14ac:dyDescent="0.15">
      <c r="A432" s="69" t="s">
        <v>588</v>
      </c>
      <c r="B432" s="23">
        <v>18</v>
      </c>
      <c r="C432" s="6">
        <v>2</v>
      </c>
      <c r="D432" s="2" t="s">
        <v>456</v>
      </c>
      <c r="E432" s="6">
        <v>110</v>
      </c>
      <c r="F432" s="18"/>
      <c r="G432" s="18">
        <v>49809.08</v>
      </c>
      <c r="H432" s="18"/>
      <c r="I432" s="56">
        <f t="shared" si="33"/>
        <v>49809.08</v>
      </c>
      <c r="J432" s="24" t="s">
        <v>312</v>
      </c>
      <c r="K432" s="24" t="s">
        <v>312</v>
      </c>
      <c r="L432" s="24" t="s">
        <v>312</v>
      </c>
      <c r="M432" s="8"/>
    </row>
    <row r="433" spans="1:13" s="3" customFormat="1" ht="12" customHeight="1" x14ac:dyDescent="0.15">
      <c r="A433" s="69" t="s">
        <v>635</v>
      </c>
      <c r="B433" s="23">
        <v>18</v>
      </c>
      <c r="C433" s="6">
        <v>3</v>
      </c>
      <c r="D433" s="2" t="s">
        <v>456</v>
      </c>
      <c r="E433" s="6">
        <v>130</v>
      </c>
      <c r="F433" s="18"/>
      <c r="G433" s="18"/>
      <c r="H433" s="18"/>
      <c r="I433" s="56">
        <f t="shared" si="33"/>
        <v>0</v>
      </c>
      <c r="J433" s="24" t="s">
        <v>312</v>
      </c>
      <c r="K433" s="24" t="s">
        <v>312</v>
      </c>
      <c r="L433" s="24" t="s">
        <v>312</v>
      </c>
      <c r="M433" s="8"/>
    </row>
    <row r="434" spans="1:13" s="3" customFormat="1" ht="12" customHeight="1" x14ac:dyDescent="0.15">
      <c r="A434" s="69" t="s">
        <v>636</v>
      </c>
      <c r="B434" s="23">
        <v>18</v>
      </c>
      <c r="C434" s="6">
        <v>4</v>
      </c>
      <c r="D434" s="2" t="s">
        <v>456</v>
      </c>
      <c r="E434" s="6">
        <v>140</v>
      </c>
      <c r="F434" s="18"/>
      <c r="G434" s="18"/>
      <c r="H434" s="18"/>
      <c r="I434" s="56">
        <f t="shared" si="33"/>
        <v>0</v>
      </c>
      <c r="J434" s="24" t="s">
        <v>312</v>
      </c>
      <c r="K434" s="24" t="s">
        <v>312</v>
      </c>
      <c r="L434" s="24" t="s">
        <v>312</v>
      </c>
      <c r="M434" s="8"/>
    </row>
    <row r="435" spans="1:13" s="3" customFormat="1" ht="12" customHeight="1" x14ac:dyDescent="0.15">
      <c r="A435" s="69" t="s">
        <v>591</v>
      </c>
      <c r="B435" s="23">
        <v>18</v>
      </c>
      <c r="C435" s="6">
        <v>5</v>
      </c>
      <c r="D435" s="2" t="s">
        <v>456</v>
      </c>
      <c r="E435" s="6">
        <v>150</v>
      </c>
      <c r="F435" s="18"/>
      <c r="G435" s="18"/>
      <c r="H435" s="18"/>
      <c r="I435" s="56">
        <f t="shared" si="33"/>
        <v>0</v>
      </c>
      <c r="J435" s="24" t="s">
        <v>312</v>
      </c>
      <c r="K435" s="24" t="s">
        <v>312</v>
      </c>
      <c r="L435" s="24" t="s">
        <v>312</v>
      </c>
      <c r="M435" s="8"/>
    </row>
    <row r="436" spans="1:13" s="3" customFormat="1" ht="12" customHeight="1" x14ac:dyDescent="0.15">
      <c r="A436" s="69" t="s">
        <v>637</v>
      </c>
      <c r="B436" s="23">
        <v>18</v>
      </c>
      <c r="C436" s="6">
        <v>6</v>
      </c>
      <c r="D436" s="2" t="s">
        <v>456</v>
      </c>
      <c r="E436" s="6">
        <v>180</v>
      </c>
      <c r="F436" s="18"/>
      <c r="G436" s="18"/>
      <c r="H436" s="18"/>
      <c r="I436" s="56">
        <f t="shared" si="33"/>
        <v>0</v>
      </c>
      <c r="J436" s="24" t="s">
        <v>312</v>
      </c>
      <c r="K436" s="24" t="s">
        <v>312</v>
      </c>
      <c r="L436" s="24" t="s">
        <v>312</v>
      </c>
      <c r="M436" s="8"/>
    </row>
    <row r="437" spans="1:13" s="3" customFormat="1" ht="12" customHeight="1" x14ac:dyDescent="0.15">
      <c r="A437" s="69" t="s">
        <v>638</v>
      </c>
      <c r="B437" s="23">
        <v>18</v>
      </c>
      <c r="C437" s="6">
        <v>7</v>
      </c>
      <c r="D437" s="2" t="s">
        <v>456</v>
      </c>
      <c r="E437" s="6">
        <v>190</v>
      </c>
      <c r="F437" s="18"/>
      <c r="G437" s="18"/>
      <c r="H437" s="18"/>
      <c r="I437" s="56">
        <f t="shared" si="33"/>
        <v>0</v>
      </c>
      <c r="J437" s="24" t="s">
        <v>312</v>
      </c>
      <c r="K437" s="24" t="s">
        <v>312</v>
      </c>
      <c r="L437" s="24" t="s">
        <v>312</v>
      </c>
      <c r="M437" s="8"/>
    </row>
    <row r="438" spans="1:13" s="3" customFormat="1" ht="12" customHeight="1" thickBot="1" x14ac:dyDescent="0.2">
      <c r="A438" s="70" t="s">
        <v>428</v>
      </c>
      <c r="B438" s="23">
        <v>18</v>
      </c>
      <c r="C438" s="37">
        <v>8</v>
      </c>
      <c r="D438" s="2" t="s">
        <v>456</v>
      </c>
      <c r="E438" s="37"/>
      <c r="F438" s="13">
        <f>SUM(F431:F437)</f>
        <v>0</v>
      </c>
      <c r="G438" s="13">
        <f>SUM(G431:G437)</f>
        <v>49809.08</v>
      </c>
      <c r="H438" s="13">
        <f>SUM(H431:H437)</f>
        <v>0</v>
      </c>
      <c r="I438" s="13">
        <f>SUM(I431:I437)</f>
        <v>49809.08</v>
      </c>
      <c r="J438" s="24" t="s">
        <v>312</v>
      </c>
      <c r="K438" s="24" t="s">
        <v>312</v>
      </c>
      <c r="L438" s="24" t="s">
        <v>312</v>
      </c>
      <c r="M438" s="8"/>
    </row>
    <row r="439" spans="1:13" s="3" customFormat="1" ht="12" customHeight="1" thickTop="1" x14ac:dyDescent="0.15">
      <c r="A439" s="38" t="s">
        <v>7</v>
      </c>
      <c r="B439" s="44"/>
      <c r="C439" s="40"/>
      <c r="D439" s="40"/>
      <c r="E439" s="40"/>
      <c r="F439" s="45" t="s">
        <v>312</v>
      </c>
      <c r="G439" s="45" t="s">
        <v>312</v>
      </c>
      <c r="H439" s="45" t="s">
        <v>312</v>
      </c>
      <c r="I439" s="45" t="s">
        <v>312</v>
      </c>
      <c r="J439" s="24" t="s">
        <v>312</v>
      </c>
      <c r="K439" s="24" t="s">
        <v>312</v>
      </c>
      <c r="L439" s="24" t="s">
        <v>312</v>
      </c>
      <c r="M439" s="8"/>
    </row>
    <row r="440" spans="1:13" s="3" customFormat="1" ht="12" customHeight="1" x14ac:dyDescent="0.15">
      <c r="A440" s="69" t="s">
        <v>595</v>
      </c>
      <c r="B440" s="23">
        <v>18</v>
      </c>
      <c r="C440" s="6">
        <v>9</v>
      </c>
      <c r="D440" s="2" t="s">
        <v>456</v>
      </c>
      <c r="E440" s="6">
        <v>400</v>
      </c>
      <c r="F440" s="18"/>
      <c r="G440" s="18"/>
      <c r="H440" s="18"/>
      <c r="I440" s="56">
        <f>SUM(F440:H440)</f>
        <v>0</v>
      </c>
      <c r="J440" s="24" t="s">
        <v>312</v>
      </c>
      <c r="K440" s="24" t="s">
        <v>312</v>
      </c>
      <c r="L440" s="24" t="s">
        <v>312</v>
      </c>
      <c r="M440" s="8"/>
    </row>
    <row r="441" spans="1:13" s="3" customFormat="1" ht="12" customHeight="1" x14ac:dyDescent="0.15">
      <c r="A441" s="69" t="s">
        <v>639</v>
      </c>
      <c r="B441" s="23">
        <v>18</v>
      </c>
      <c r="C441" s="6">
        <v>10</v>
      </c>
      <c r="D441" s="2" t="s">
        <v>456</v>
      </c>
      <c r="E441" s="6">
        <v>410</v>
      </c>
      <c r="F441" s="18"/>
      <c r="G441" s="18"/>
      <c r="H441" s="18"/>
      <c r="I441" s="56">
        <f>SUM(F441:H441)</f>
        <v>0</v>
      </c>
      <c r="J441" s="24" t="s">
        <v>312</v>
      </c>
      <c r="K441" s="24" t="s">
        <v>312</v>
      </c>
      <c r="L441" s="24" t="s">
        <v>312</v>
      </c>
      <c r="M441" s="8"/>
    </row>
    <row r="442" spans="1:13" s="3" customFormat="1" ht="12" customHeight="1" x14ac:dyDescent="0.15">
      <c r="A442" s="69" t="s">
        <v>596</v>
      </c>
      <c r="B442" s="23">
        <v>18</v>
      </c>
      <c r="C442" s="6">
        <v>11</v>
      </c>
      <c r="D442" s="2" t="s">
        <v>456</v>
      </c>
      <c r="E442" s="6">
        <v>420</v>
      </c>
      <c r="F442" s="18"/>
      <c r="G442" s="18"/>
      <c r="H442" s="18"/>
      <c r="I442" s="56">
        <f>SUM(F442:H442)</f>
        <v>0</v>
      </c>
      <c r="J442" s="24" t="s">
        <v>312</v>
      </c>
      <c r="K442" s="24" t="s">
        <v>312</v>
      </c>
      <c r="L442" s="24" t="s">
        <v>312</v>
      </c>
      <c r="M442" s="8"/>
    </row>
    <row r="443" spans="1:13" s="3" customFormat="1" ht="12" customHeight="1" x14ac:dyDescent="0.15">
      <c r="A443" s="69" t="s">
        <v>640</v>
      </c>
      <c r="B443" s="23">
        <v>18</v>
      </c>
      <c r="C443" s="6">
        <v>12</v>
      </c>
      <c r="D443" s="2" t="s">
        <v>456</v>
      </c>
      <c r="E443" s="6">
        <v>490</v>
      </c>
      <c r="F443" s="18"/>
      <c r="G443" s="18"/>
      <c r="H443" s="18"/>
      <c r="I443" s="56">
        <f>SUM(F443:H443)</f>
        <v>0</v>
      </c>
      <c r="J443" s="24" t="s">
        <v>312</v>
      </c>
      <c r="K443" s="24" t="s">
        <v>312</v>
      </c>
      <c r="L443" s="24" t="s">
        <v>312</v>
      </c>
      <c r="M443" s="8"/>
    </row>
    <row r="444" spans="1:13" s="3" customFormat="1" ht="12" customHeight="1" thickBot="1" x14ac:dyDescent="0.2">
      <c r="A444" s="74" t="s">
        <v>447</v>
      </c>
      <c r="B444" s="73">
        <v>18</v>
      </c>
      <c r="C444" s="71">
        <v>13</v>
      </c>
      <c r="D444" s="2" t="s">
        <v>456</v>
      </c>
      <c r="E444" s="71"/>
      <c r="F444" s="72">
        <f>SUM(F440:F443)</f>
        <v>0</v>
      </c>
      <c r="G444" s="72">
        <f>SUM(G440:G443)</f>
        <v>0</v>
      </c>
      <c r="H444" s="72">
        <f>SUM(H440:H443)</f>
        <v>0</v>
      </c>
      <c r="I444" s="72">
        <f>SUM(I440:I443)</f>
        <v>0</v>
      </c>
      <c r="J444" s="24" t="s">
        <v>312</v>
      </c>
      <c r="K444" s="24" t="s">
        <v>312</v>
      </c>
      <c r="L444" s="24" t="s">
        <v>312</v>
      </c>
      <c r="M444" s="8"/>
    </row>
    <row r="445" spans="1:13" s="3" customFormat="1" ht="12" customHeight="1" thickTop="1" x14ac:dyDescent="0.15">
      <c r="A445" s="90" t="s">
        <v>8</v>
      </c>
      <c r="B445" s="36"/>
      <c r="C445" s="75"/>
      <c r="D445" s="75"/>
      <c r="E445" s="75"/>
      <c r="F445" s="24" t="s">
        <v>312</v>
      </c>
      <c r="G445" s="24" t="s">
        <v>312</v>
      </c>
      <c r="H445" s="24" t="s">
        <v>312</v>
      </c>
      <c r="I445" s="24" t="s">
        <v>312</v>
      </c>
      <c r="J445" s="24" t="s">
        <v>312</v>
      </c>
      <c r="K445" s="24" t="s">
        <v>312</v>
      </c>
      <c r="L445" s="24" t="s">
        <v>312</v>
      </c>
      <c r="M445" s="8"/>
    </row>
    <row r="446" spans="1:13" s="3" customFormat="1" ht="12" customHeight="1" x14ac:dyDescent="0.15">
      <c r="A446" s="1" t="s">
        <v>641</v>
      </c>
      <c r="B446" s="23">
        <v>18</v>
      </c>
      <c r="C446" s="6">
        <v>14</v>
      </c>
      <c r="D446" s="2" t="s">
        <v>456</v>
      </c>
      <c r="E446" s="6">
        <v>753</v>
      </c>
      <c r="F446" s="18"/>
      <c r="G446" s="18"/>
      <c r="H446" s="18"/>
      <c r="I446" s="56">
        <f>SUM(F446:H446)</f>
        <v>0</v>
      </c>
      <c r="J446" s="24" t="s">
        <v>312</v>
      </c>
      <c r="K446" s="24" t="s">
        <v>312</v>
      </c>
      <c r="L446" s="24" t="s">
        <v>312</v>
      </c>
      <c r="M446" s="8"/>
    </row>
    <row r="447" spans="1:13" s="3" customFormat="1" ht="12" customHeight="1" x14ac:dyDescent="0.15">
      <c r="A447" s="1" t="s">
        <v>642</v>
      </c>
      <c r="B447" s="23">
        <v>18</v>
      </c>
      <c r="C447" s="6">
        <v>15</v>
      </c>
      <c r="D447" s="2" t="s">
        <v>456</v>
      </c>
      <c r="E447" s="6">
        <v>754</v>
      </c>
      <c r="F447" s="18"/>
      <c r="G447" s="18"/>
      <c r="H447" s="18"/>
      <c r="I447" s="56">
        <f>SUM(F447:H447)</f>
        <v>0</v>
      </c>
      <c r="J447" s="24" t="s">
        <v>312</v>
      </c>
      <c r="K447" s="24" t="s">
        <v>312</v>
      </c>
      <c r="L447" s="24" t="s">
        <v>312</v>
      </c>
      <c r="M447" s="8"/>
    </row>
    <row r="448" spans="1:13" s="3" customFormat="1" ht="12" customHeight="1" x14ac:dyDescent="0.15">
      <c r="A448" s="1" t="s">
        <v>643</v>
      </c>
      <c r="B448" s="23">
        <v>18</v>
      </c>
      <c r="C448" s="6">
        <v>16</v>
      </c>
      <c r="D448" s="2" t="s">
        <v>456</v>
      </c>
      <c r="E448" s="6">
        <v>756</v>
      </c>
      <c r="F448" s="18"/>
      <c r="G448" s="18"/>
      <c r="H448" s="18"/>
      <c r="I448" s="56">
        <f>SUM(F448:H448)</f>
        <v>0</v>
      </c>
      <c r="J448" s="24" t="s">
        <v>312</v>
      </c>
      <c r="K448" s="24" t="s">
        <v>312</v>
      </c>
      <c r="L448" s="24" t="s">
        <v>312</v>
      </c>
      <c r="M448" s="8"/>
    </row>
    <row r="449" spans="1:23" s="3" customFormat="1" ht="12" customHeight="1" thickBot="1" x14ac:dyDescent="0.2">
      <c r="A449" s="1" t="s">
        <v>608</v>
      </c>
      <c r="B449" s="23">
        <v>18</v>
      </c>
      <c r="C449" s="6">
        <v>17</v>
      </c>
      <c r="D449" s="2" t="s">
        <v>456</v>
      </c>
      <c r="E449" s="6">
        <v>760</v>
      </c>
      <c r="F449" s="18"/>
      <c r="G449" s="18">
        <v>49809.08</v>
      </c>
      <c r="H449" s="18"/>
      <c r="I449" s="56">
        <f>SUM(F449:H449)</f>
        <v>49809.08</v>
      </c>
      <c r="J449" s="24" t="s">
        <v>312</v>
      </c>
      <c r="K449" s="24" t="s">
        <v>312</v>
      </c>
      <c r="L449" s="24" t="s">
        <v>312</v>
      </c>
      <c r="M449" s="68"/>
      <c r="N449" s="58"/>
      <c r="O449" s="58"/>
      <c r="P449" s="58"/>
    </row>
    <row r="450" spans="1:23" s="12" customFormat="1" ht="12" customHeight="1" thickTop="1" thickBot="1" x14ac:dyDescent="0.25">
      <c r="A450" s="50" t="s">
        <v>431</v>
      </c>
      <c r="B450" s="81">
        <v>18</v>
      </c>
      <c r="C450" s="51">
        <v>18</v>
      </c>
      <c r="D450" s="48" t="s">
        <v>456</v>
      </c>
      <c r="E450" s="51"/>
      <c r="F450" s="83">
        <f>SUM(F446:F449)</f>
        <v>0</v>
      </c>
      <c r="G450" s="83">
        <f>SUM(G446:G449)</f>
        <v>49809.08</v>
      </c>
      <c r="H450" s="83">
        <f>SUM(H446:H449)</f>
        <v>0</v>
      </c>
      <c r="I450" s="83">
        <f>SUM(I446:I449)</f>
        <v>49809.08</v>
      </c>
      <c r="J450" s="24" t="s">
        <v>312</v>
      </c>
      <c r="K450" s="24" t="s">
        <v>312</v>
      </c>
      <c r="L450" s="24" t="s">
        <v>312</v>
      </c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</row>
    <row r="451" spans="1:23" s="12" customFormat="1" ht="12" customHeight="1" thickTop="1" thickBot="1" x14ac:dyDescent="0.25">
      <c r="A451" s="91" t="s">
        <v>448</v>
      </c>
      <c r="B451" s="44">
        <v>18</v>
      </c>
      <c r="C451" s="82">
        <v>19</v>
      </c>
      <c r="D451" s="157" t="s">
        <v>456</v>
      </c>
      <c r="E451" s="82"/>
      <c r="F451" s="42">
        <f>F444+F450</f>
        <v>0</v>
      </c>
      <c r="G451" s="42">
        <f>G444+G450</f>
        <v>49809.08</v>
      </c>
      <c r="H451" s="42">
        <f>H444+H450</f>
        <v>0</v>
      </c>
      <c r="I451" s="42">
        <f>I444+I450</f>
        <v>49809.08</v>
      </c>
      <c r="J451" s="24" t="s">
        <v>312</v>
      </c>
      <c r="K451" s="24" t="s">
        <v>312</v>
      </c>
      <c r="L451" s="24" t="s">
        <v>312</v>
      </c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</row>
    <row r="452" spans="1:23" s="52" customFormat="1" ht="12" customHeight="1" x14ac:dyDescent="0.2">
      <c r="A452" s="92"/>
      <c r="B452" s="75"/>
      <c r="C452" s="80"/>
      <c r="D452" s="80"/>
      <c r="E452" s="80"/>
      <c r="F452" s="53"/>
      <c r="G452" s="53"/>
      <c r="H452" s="53"/>
      <c r="I452" s="53"/>
      <c r="J452" s="53"/>
      <c r="K452" s="53"/>
      <c r="L452" s="53"/>
    </row>
    <row r="453" spans="1:23" s="52" customFormat="1" ht="12" customHeight="1" x14ac:dyDescent="0.2">
      <c r="A453" s="92" t="s">
        <v>9</v>
      </c>
      <c r="B453" s="75"/>
      <c r="C453" s="80"/>
      <c r="D453" s="80"/>
      <c r="E453" s="80"/>
      <c r="F453" s="23" t="s">
        <v>297</v>
      </c>
      <c r="G453" s="23" t="s">
        <v>298</v>
      </c>
      <c r="H453" s="23" t="s">
        <v>299</v>
      </c>
      <c r="I453" s="23" t="s">
        <v>300</v>
      </c>
      <c r="J453" s="23" t="s">
        <v>301</v>
      </c>
      <c r="K453" s="53"/>
      <c r="L453" s="53"/>
    </row>
    <row r="454" spans="1:23" s="52" customFormat="1" ht="12" customHeight="1" x14ac:dyDescent="0.2">
      <c r="A454" s="92"/>
      <c r="B454" s="75"/>
      <c r="C454" s="80"/>
      <c r="D454" s="80"/>
      <c r="E454" s="80"/>
      <c r="F454" s="84" t="s">
        <v>10</v>
      </c>
      <c r="G454" s="84" t="s">
        <v>11</v>
      </c>
      <c r="H454" s="84" t="s">
        <v>12</v>
      </c>
      <c r="I454" s="84" t="s">
        <v>13</v>
      </c>
      <c r="J454" s="84" t="s">
        <v>14</v>
      </c>
      <c r="K454" s="53"/>
      <c r="L454" s="53"/>
    </row>
    <row r="455" spans="1:23" s="52" customFormat="1" ht="12" customHeight="1" x14ac:dyDescent="0.2">
      <c r="A455" s="189" t="s">
        <v>883</v>
      </c>
      <c r="B455" s="105">
        <v>19</v>
      </c>
      <c r="C455" s="111">
        <v>1</v>
      </c>
      <c r="D455" s="2" t="s">
        <v>456</v>
      </c>
      <c r="E455" s="111"/>
      <c r="F455" s="18">
        <v>23008.449999999255</v>
      </c>
      <c r="G455" s="18">
        <v>0</v>
      </c>
      <c r="H455" s="18">
        <v>0</v>
      </c>
      <c r="I455" s="18">
        <v>0</v>
      </c>
      <c r="J455" s="18">
        <v>49728.29</v>
      </c>
      <c r="K455" s="24" t="s">
        <v>312</v>
      </c>
      <c r="L455" s="24" t="s">
        <v>312</v>
      </c>
    </row>
    <row r="456" spans="1:23" s="52" customFormat="1" ht="12" customHeight="1" x14ac:dyDescent="0.2">
      <c r="A456" s="24" t="s">
        <v>312</v>
      </c>
      <c r="B456" s="24" t="s">
        <v>312</v>
      </c>
      <c r="C456" s="24" t="s">
        <v>312</v>
      </c>
      <c r="D456" s="24"/>
      <c r="E456" s="24"/>
      <c r="F456" s="24" t="s">
        <v>312</v>
      </c>
      <c r="G456" s="24" t="s">
        <v>312</v>
      </c>
      <c r="H456" s="24" t="s">
        <v>312</v>
      </c>
      <c r="I456" s="24" t="s">
        <v>312</v>
      </c>
      <c r="J456" s="24" t="s">
        <v>312</v>
      </c>
      <c r="K456" s="24" t="s">
        <v>312</v>
      </c>
      <c r="L456" s="24" t="s">
        <v>312</v>
      </c>
    </row>
    <row r="457" spans="1:23" s="52" customFormat="1" ht="12" customHeight="1" x14ac:dyDescent="0.2">
      <c r="A457" s="94" t="s">
        <v>15</v>
      </c>
      <c r="B457" s="24" t="s">
        <v>312</v>
      </c>
      <c r="C457" s="24" t="s">
        <v>312</v>
      </c>
      <c r="D457" s="24"/>
      <c r="E457" s="24"/>
      <c r="F457" s="24" t="s">
        <v>312</v>
      </c>
      <c r="G457" s="24" t="s">
        <v>312</v>
      </c>
      <c r="H457" s="24" t="s">
        <v>312</v>
      </c>
      <c r="I457" s="24" t="s">
        <v>312</v>
      </c>
      <c r="J457" s="24" t="s">
        <v>312</v>
      </c>
      <c r="K457" s="24" t="s">
        <v>312</v>
      </c>
      <c r="L457" s="24" t="s">
        <v>312</v>
      </c>
    </row>
    <row r="458" spans="1:23" s="52" customFormat="1" ht="12" customHeight="1" x14ac:dyDescent="0.2">
      <c r="A458" s="93" t="s">
        <v>644</v>
      </c>
      <c r="B458" s="75">
        <v>19</v>
      </c>
      <c r="C458" s="80">
        <v>2</v>
      </c>
      <c r="D458" s="2" t="s">
        <v>456</v>
      </c>
      <c r="E458" s="80"/>
      <c r="F458" s="18">
        <v>1933109.84</v>
      </c>
      <c r="G458" s="18">
        <v>52183.26</v>
      </c>
      <c r="H458" s="18">
        <v>79689.02</v>
      </c>
      <c r="I458" s="18">
        <v>0</v>
      </c>
      <c r="J458" s="18">
        <f>37.37+43.42</f>
        <v>80.789999999999992</v>
      </c>
      <c r="K458" s="24" t="s">
        <v>312</v>
      </c>
      <c r="L458" s="24" t="s">
        <v>312</v>
      </c>
    </row>
    <row r="459" spans="1:23" s="52" customFormat="1" ht="12" customHeight="1" x14ac:dyDescent="0.2">
      <c r="A459" s="93" t="s">
        <v>645</v>
      </c>
      <c r="B459" s="75">
        <v>19</v>
      </c>
      <c r="C459" s="80">
        <v>3</v>
      </c>
      <c r="D459" s="2" t="s">
        <v>456</v>
      </c>
      <c r="E459" s="80"/>
      <c r="F459" s="18"/>
      <c r="G459" s="18"/>
      <c r="H459" s="18"/>
      <c r="I459" s="18"/>
      <c r="J459" s="18"/>
      <c r="K459" s="24" t="s">
        <v>312</v>
      </c>
      <c r="L459" s="24" t="s">
        <v>312</v>
      </c>
    </row>
    <row r="460" spans="1:23" s="52" customFormat="1" ht="12" customHeight="1" x14ac:dyDescent="0.2">
      <c r="A460" s="92" t="s">
        <v>449</v>
      </c>
      <c r="B460" s="75">
        <v>19</v>
      </c>
      <c r="C460" s="80">
        <v>4</v>
      </c>
      <c r="D460" s="2" t="s">
        <v>456</v>
      </c>
      <c r="E460" s="80"/>
      <c r="F460" s="53">
        <f>SUM(F458:F459)</f>
        <v>1933109.84</v>
      </c>
      <c r="G460" s="53">
        <f>SUM(G458:G459)</f>
        <v>52183.26</v>
      </c>
      <c r="H460" s="53">
        <f>SUM(H458:H459)</f>
        <v>79689.02</v>
      </c>
      <c r="I460" s="53">
        <f>SUM(I458:I459)</f>
        <v>0</v>
      </c>
      <c r="J460" s="53">
        <f>SUM(J458:J459)</f>
        <v>80.789999999999992</v>
      </c>
      <c r="K460" s="24" t="s">
        <v>312</v>
      </c>
      <c r="L460" s="24" t="s">
        <v>312</v>
      </c>
    </row>
    <row r="461" spans="1:23" s="52" customFormat="1" ht="12" customHeight="1" x14ac:dyDescent="0.2">
      <c r="A461" s="94" t="s">
        <v>16</v>
      </c>
      <c r="B461" s="24" t="s">
        <v>312</v>
      </c>
      <c r="C461" s="24" t="s">
        <v>312</v>
      </c>
      <c r="D461" s="24"/>
      <c r="E461" s="24"/>
      <c r="F461" s="24" t="s">
        <v>312</v>
      </c>
      <c r="G461" s="24" t="s">
        <v>312</v>
      </c>
      <c r="H461" s="24" t="s">
        <v>312</v>
      </c>
      <c r="I461" s="24" t="s">
        <v>312</v>
      </c>
      <c r="J461" s="24" t="s">
        <v>312</v>
      </c>
      <c r="K461" s="24" t="s">
        <v>312</v>
      </c>
      <c r="L461" s="24" t="s">
        <v>312</v>
      </c>
    </row>
    <row r="462" spans="1:23" s="52" customFormat="1" ht="12" customHeight="1" x14ac:dyDescent="0.2">
      <c r="A462" s="93" t="s">
        <v>646</v>
      </c>
      <c r="B462" s="75">
        <v>19</v>
      </c>
      <c r="C462" s="80">
        <v>5</v>
      </c>
      <c r="D462" s="2" t="s">
        <v>456</v>
      </c>
      <c r="E462" s="80"/>
      <c r="F462" s="18">
        <f>1914654.46+165</f>
        <v>1914819.46</v>
      </c>
      <c r="G462" s="18">
        <v>52183.26</v>
      </c>
      <c r="H462" s="18">
        <v>79689.02</v>
      </c>
      <c r="I462" s="18"/>
      <c r="J462" s="18"/>
      <c r="K462" s="24" t="s">
        <v>312</v>
      </c>
      <c r="L462" s="24" t="s">
        <v>312</v>
      </c>
    </row>
    <row r="463" spans="1:23" s="52" customFormat="1" ht="12" customHeight="1" x14ac:dyDescent="0.2">
      <c r="A463" s="93" t="s">
        <v>647</v>
      </c>
      <c r="B463" s="75">
        <v>19</v>
      </c>
      <c r="C463" s="80">
        <v>6</v>
      </c>
      <c r="D463" s="2" t="s">
        <v>456</v>
      </c>
      <c r="E463" s="80"/>
      <c r="F463" s="18"/>
      <c r="G463" s="18"/>
      <c r="H463" s="18"/>
      <c r="I463" s="18"/>
      <c r="J463" s="18"/>
      <c r="K463" s="24" t="s">
        <v>312</v>
      </c>
      <c r="L463" s="24" t="s">
        <v>312</v>
      </c>
    </row>
    <row r="464" spans="1:23" s="52" customFormat="1" ht="12" customHeight="1" x14ac:dyDescent="0.2">
      <c r="A464" s="92" t="s">
        <v>450</v>
      </c>
      <c r="B464" s="75">
        <v>19</v>
      </c>
      <c r="C464" s="80">
        <v>7</v>
      </c>
      <c r="D464" s="2" t="s">
        <v>456</v>
      </c>
      <c r="E464" s="80"/>
      <c r="F464" s="53">
        <f>SUM(F462:F463)</f>
        <v>1914819.46</v>
      </c>
      <c r="G464" s="53">
        <f>SUM(G462:G463)</f>
        <v>52183.26</v>
      </c>
      <c r="H464" s="53">
        <f>SUM(H462:H463)</f>
        <v>79689.02</v>
      </c>
      <c r="I464" s="53">
        <f>SUM(I462:I463)</f>
        <v>0</v>
      </c>
      <c r="J464" s="53">
        <f>SUM(J462:J463)</f>
        <v>0</v>
      </c>
      <c r="K464" s="24" t="s">
        <v>312</v>
      </c>
      <c r="L464" s="24" t="s">
        <v>312</v>
      </c>
    </row>
    <row r="465" spans="1:12" s="52" customFormat="1" ht="12" customHeight="1" x14ac:dyDescent="0.2">
      <c r="A465" s="24" t="s">
        <v>312</v>
      </c>
      <c r="B465" s="24" t="s">
        <v>312</v>
      </c>
      <c r="C465" s="24" t="s">
        <v>312</v>
      </c>
      <c r="D465" s="24"/>
      <c r="E465" s="24"/>
      <c r="F465" s="24" t="s">
        <v>312</v>
      </c>
      <c r="G465" s="24" t="s">
        <v>312</v>
      </c>
      <c r="H465" s="24" t="s">
        <v>312</v>
      </c>
      <c r="I465" s="24" t="s">
        <v>312</v>
      </c>
      <c r="J465" s="24" t="s">
        <v>312</v>
      </c>
      <c r="K465" s="24" t="s">
        <v>312</v>
      </c>
      <c r="L465" s="24" t="s">
        <v>312</v>
      </c>
    </row>
    <row r="466" spans="1:12" s="52" customFormat="1" ht="12" customHeight="1" x14ac:dyDescent="0.2">
      <c r="A466" s="190" t="s">
        <v>884</v>
      </c>
      <c r="B466" s="75">
        <v>19</v>
      </c>
      <c r="C466" s="115">
        <v>8</v>
      </c>
      <c r="D466" s="2" t="s">
        <v>456</v>
      </c>
      <c r="E466" s="115"/>
      <c r="F466" s="53">
        <f>(F455+F460)- F464</f>
        <v>41298.829999999376</v>
      </c>
      <c r="G466" s="53">
        <f>(G455+G460)- G464</f>
        <v>0</v>
      </c>
      <c r="H466" s="53">
        <f>(H455+H460)- H464</f>
        <v>0</v>
      </c>
      <c r="I466" s="53">
        <f>(I455+I460)- I464</f>
        <v>0</v>
      </c>
      <c r="J466" s="53">
        <f>(J455+J460)- J464</f>
        <v>49809.08</v>
      </c>
      <c r="K466" s="24" t="s">
        <v>312</v>
      </c>
      <c r="L466" s="24" t="s">
        <v>312</v>
      </c>
    </row>
    <row r="467" spans="1:12" s="52" customFormat="1" ht="12" customHeight="1" x14ac:dyDescent="0.2">
      <c r="A467" s="95"/>
      <c r="B467" s="95"/>
      <c r="C467" s="95"/>
      <c r="D467" s="95"/>
      <c r="E467" s="95"/>
      <c r="F467" s="95"/>
      <c r="G467" s="95"/>
      <c r="H467" s="95"/>
      <c r="I467" s="95"/>
      <c r="J467" s="95"/>
      <c r="K467" s="95"/>
      <c r="L467" s="95"/>
    </row>
    <row r="468" spans="1:12" s="52" customFormat="1" ht="12" customHeight="1" x14ac:dyDescent="0.2">
      <c r="A468" s="95" t="s">
        <v>691</v>
      </c>
      <c r="B468" s="95"/>
      <c r="C468" s="95"/>
      <c r="D468" s="95"/>
      <c r="E468" s="95"/>
      <c r="F468" s="95"/>
      <c r="G468" s="95"/>
      <c r="H468" s="95"/>
      <c r="I468" s="95"/>
      <c r="J468" s="95"/>
      <c r="K468" s="95"/>
      <c r="L468" s="95"/>
    </row>
    <row r="469" spans="1:12" s="52" customFormat="1" ht="12" customHeight="1" x14ac:dyDescent="0.2">
      <c r="A469" s="95" t="s">
        <v>730</v>
      </c>
      <c r="B469" s="112"/>
      <c r="C469" s="112"/>
      <c r="D469" s="112"/>
      <c r="E469" s="112"/>
      <c r="F469" s="112"/>
      <c r="G469" s="112"/>
      <c r="H469" s="112"/>
      <c r="I469" s="112" t="s">
        <v>17</v>
      </c>
      <c r="J469" s="112"/>
      <c r="K469" s="95"/>
      <c r="L469" s="95"/>
    </row>
    <row r="470" spans="1:12" s="52" customFormat="1" ht="12" customHeight="1" x14ac:dyDescent="0.2">
      <c r="A470" s="18"/>
      <c r="B470" s="112"/>
      <c r="C470" s="112"/>
      <c r="D470" s="112"/>
      <c r="E470" s="112"/>
      <c r="F470" s="112"/>
      <c r="G470" s="112"/>
      <c r="H470" s="112"/>
      <c r="I470" s="112" t="s">
        <v>425</v>
      </c>
      <c r="J470" s="112"/>
      <c r="K470" s="95"/>
      <c r="L470" s="95"/>
    </row>
    <row r="471" spans="1:12" s="52" customFormat="1" ht="12" customHeight="1" x14ac:dyDescent="0.2">
      <c r="A471" s="175"/>
      <c r="B471" s="112"/>
      <c r="C471" s="112"/>
      <c r="D471" s="112"/>
      <c r="E471" s="112"/>
      <c r="F471" s="112"/>
      <c r="G471" s="112"/>
      <c r="H471" s="112"/>
      <c r="I471" s="112" t="s">
        <v>684</v>
      </c>
      <c r="J471" s="112"/>
      <c r="K471" s="95"/>
      <c r="L471" s="95"/>
    </row>
    <row r="472" spans="1:12" s="52" customFormat="1" ht="12" customHeight="1" x14ac:dyDescent="0.2">
      <c r="A472" s="95" t="s">
        <v>731</v>
      </c>
      <c r="B472" s="112"/>
      <c r="C472" s="112"/>
      <c r="D472" s="112"/>
      <c r="E472" s="112"/>
      <c r="F472" s="112"/>
      <c r="G472" s="112"/>
      <c r="H472" s="112"/>
      <c r="I472" s="112" t="s">
        <v>497</v>
      </c>
      <c r="J472" s="112"/>
      <c r="K472" s="95"/>
      <c r="L472" s="95"/>
    </row>
    <row r="473" spans="1:12" s="52" customFormat="1" ht="12" customHeight="1" x14ac:dyDescent="0.2">
      <c r="A473" s="174"/>
      <c r="B473" s="112"/>
      <c r="C473" s="112"/>
      <c r="D473" s="112"/>
      <c r="E473" s="112"/>
      <c r="F473" s="112"/>
      <c r="G473" s="112"/>
      <c r="H473" s="112"/>
      <c r="I473" s="112" t="s">
        <v>18</v>
      </c>
      <c r="J473" s="112"/>
      <c r="K473" s="95"/>
      <c r="L473" s="95"/>
    </row>
    <row r="474" spans="1:12" s="52" customFormat="1" ht="12" customHeight="1" x14ac:dyDescent="0.2">
      <c r="A474" s="174"/>
      <c r="B474" s="112"/>
      <c r="C474" s="112"/>
      <c r="D474" s="112"/>
      <c r="E474" s="112"/>
      <c r="F474" s="112"/>
      <c r="G474" s="112"/>
      <c r="H474" s="112"/>
      <c r="I474" s="112" t="s">
        <v>498</v>
      </c>
      <c r="J474" s="112"/>
      <c r="K474" s="95"/>
      <c r="L474" s="95"/>
    </row>
    <row r="475" spans="1:12" s="52" customFormat="1" ht="12" customHeight="1" x14ac:dyDescent="0.2">
      <c r="A475" s="174"/>
      <c r="B475" s="112"/>
      <c r="C475" s="112"/>
      <c r="D475" s="112"/>
      <c r="E475" s="112"/>
      <c r="F475" s="112"/>
      <c r="G475" s="112"/>
      <c r="H475" s="112"/>
      <c r="I475" s="112" t="s">
        <v>499</v>
      </c>
      <c r="J475" s="112"/>
      <c r="K475" s="95"/>
      <c r="L475" s="95"/>
    </row>
    <row r="476" spans="1:12" s="52" customFormat="1" ht="12" customHeight="1" x14ac:dyDescent="0.2">
      <c r="A476" s="22"/>
      <c r="B476" s="112"/>
      <c r="C476" s="112"/>
      <c r="D476" s="112"/>
      <c r="E476" s="112"/>
      <c r="F476" s="112"/>
      <c r="G476" s="112"/>
      <c r="H476" s="112"/>
      <c r="I476" s="112"/>
      <c r="J476" s="112"/>
      <c r="K476" s="95"/>
      <c r="L476" s="95"/>
    </row>
    <row r="477" spans="1:12" s="52" customFormat="1" ht="12" customHeight="1" x14ac:dyDescent="0.2">
      <c r="A477" s="96" t="s">
        <v>19</v>
      </c>
      <c r="B477" s="105"/>
      <c r="C477" s="115"/>
      <c r="D477" s="115"/>
      <c r="E477" s="115"/>
      <c r="F477" s="116"/>
      <c r="G477" s="116"/>
      <c r="H477" s="116"/>
      <c r="I477" s="116"/>
      <c r="J477" s="116"/>
      <c r="K477" s="116"/>
      <c r="L477" s="116"/>
    </row>
    <row r="478" spans="1:12" s="52" customFormat="1" ht="12" customHeight="1" x14ac:dyDescent="0.2">
      <c r="A478" s="191" t="s">
        <v>885</v>
      </c>
      <c r="B478" s="105"/>
      <c r="C478" s="115"/>
      <c r="D478" s="115"/>
      <c r="E478" s="115"/>
      <c r="F478" s="15" t="s">
        <v>288</v>
      </c>
      <c r="G478" s="15" t="s">
        <v>289</v>
      </c>
      <c r="H478" s="15" t="s">
        <v>290</v>
      </c>
      <c r="I478" s="15" t="s">
        <v>291</v>
      </c>
      <c r="J478" s="15" t="s">
        <v>292</v>
      </c>
      <c r="K478" s="15" t="s">
        <v>293</v>
      </c>
      <c r="L478" s="116"/>
    </row>
    <row r="479" spans="1:12" s="52" customFormat="1" ht="12" customHeight="1" x14ac:dyDescent="0.2">
      <c r="A479" s="96" t="s">
        <v>21</v>
      </c>
      <c r="B479" s="105"/>
      <c r="C479" s="115"/>
      <c r="D479" s="115"/>
      <c r="E479" s="115"/>
      <c r="F479" s="117" t="s">
        <v>22</v>
      </c>
      <c r="G479" s="117" t="s">
        <v>23</v>
      </c>
      <c r="H479" s="117" t="s">
        <v>24</v>
      </c>
      <c r="I479" s="117" t="s">
        <v>25</v>
      </c>
      <c r="J479" s="117" t="s">
        <v>26</v>
      </c>
      <c r="K479" s="117" t="s">
        <v>364</v>
      </c>
      <c r="L479" s="116"/>
    </row>
    <row r="480" spans="1:12" s="52" customFormat="1" ht="12" customHeight="1" x14ac:dyDescent="0.2">
      <c r="A480" s="22" t="s">
        <v>648</v>
      </c>
      <c r="B480" s="75">
        <v>20</v>
      </c>
      <c r="C480" s="115">
        <v>1</v>
      </c>
      <c r="D480" s="2" t="s">
        <v>456</v>
      </c>
      <c r="E480" s="115"/>
      <c r="F480" s="154">
        <v>5</v>
      </c>
      <c r="G480" s="154">
        <v>4</v>
      </c>
      <c r="H480" s="154"/>
      <c r="I480" s="154"/>
      <c r="J480" s="154"/>
      <c r="K480" s="24" t="s">
        <v>312</v>
      </c>
      <c r="L480" s="24" t="s">
        <v>312</v>
      </c>
    </row>
    <row r="481" spans="1:12" s="52" customFormat="1" ht="12" customHeight="1" x14ac:dyDescent="0.2">
      <c r="A481" s="22" t="s">
        <v>649</v>
      </c>
      <c r="B481" s="75">
        <v>20</v>
      </c>
      <c r="C481" s="115">
        <v>2</v>
      </c>
      <c r="D481" s="2" t="s">
        <v>456</v>
      </c>
      <c r="E481" s="115"/>
      <c r="F481" s="155" t="s">
        <v>894</v>
      </c>
      <c r="G481" s="155" t="s">
        <v>895</v>
      </c>
      <c r="H481" s="155"/>
      <c r="I481" s="155"/>
      <c r="J481" s="155"/>
      <c r="K481" s="24" t="s">
        <v>312</v>
      </c>
      <c r="L481" s="24" t="s">
        <v>312</v>
      </c>
    </row>
    <row r="482" spans="1:12" s="52" customFormat="1" ht="12" customHeight="1" x14ac:dyDescent="0.2">
      <c r="A482" s="22" t="s">
        <v>650</v>
      </c>
      <c r="B482" s="75">
        <v>20</v>
      </c>
      <c r="C482" s="115">
        <v>3</v>
      </c>
      <c r="D482" s="2" t="s">
        <v>456</v>
      </c>
      <c r="E482" s="115"/>
      <c r="F482" s="155" t="s">
        <v>896</v>
      </c>
      <c r="G482" s="155" t="s">
        <v>897</v>
      </c>
      <c r="H482" s="155"/>
      <c r="I482" s="155"/>
      <c r="J482" s="155"/>
      <c r="K482" s="24" t="s">
        <v>312</v>
      </c>
      <c r="L482" s="24" t="s">
        <v>312</v>
      </c>
    </row>
    <row r="483" spans="1:12" s="52" customFormat="1" ht="12" customHeight="1" x14ac:dyDescent="0.2">
      <c r="A483" s="22" t="s">
        <v>651</v>
      </c>
      <c r="B483" s="75">
        <v>20</v>
      </c>
      <c r="C483" s="115">
        <v>4</v>
      </c>
      <c r="D483" s="2" t="s">
        <v>456</v>
      </c>
      <c r="E483" s="115"/>
      <c r="F483" s="18">
        <v>32000</v>
      </c>
      <c r="G483" s="18">
        <v>69830</v>
      </c>
      <c r="H483" s="18"/>
      <c r="I483" s="18"/>
      <c r="J483" s="18"/>
      <c r="K483" s="24" t="s">
        <v>312</v>
      </c>
      <c r="L483" s="24" t="s">
        <v>312</v>
      </c>
    </row>
    <row r="484" spans="1:12" s="52" customFormat="1" ht="12" customHeight="1" x14ac:dyDescent="0.2">
      <c r="A484" s="22" t="s">
        <v>652</v>
      </c>
      <c r="B484" s="75">
        <v>20</v>
      </c>
      <c r="C484" s="115">
        <v>5</v>
      </c>
      <c r="D484" s="2" t="s">
        <v>456</v>
      </c>
      <c r="E484" s="115"/>
      <c r="F484" s="18"/>
      <c r="G484" s="18"/>
      <c r="H484" s="18"/>
      <c r="I484" s="18"/>
      <c r="J484" s="18"/>
      <c r="K484" s="24" t="s">
        <v>312</v>
      </c>
      <c r="L484" s="24" t="s">
        <v>312</v>
      </c>
    </row>
    <row r="485" spans="1:12" s="52" customFormat="1" ht="12" customHeight="1" x14ac:dyDescent="0.2">
      <c r="A485" s="22" t="s">
        <v>653</v>
      </c>
      <c r="B485" s="75">
        <v>20</v>
      </c>
      <c r="C485" s="115">
        <v>6</v>
      </c>
      <c r="D485" s="2" t="s">
        <v>456</v>
      </c>
      <c r="E485" s="115"/>
      <c r="F485" s="18">
        <v>26091.02</v>
      </c>
      <c r="G485" s="18">
        <v>69830</v>
      </c>
      <c r="H485" s="18"/>
      <c r="I485" s="18"/>
      <c r="J485" s="18"/>
      <c r="K485" s="53">
        <f>SUM(F485:J485)</f>
        <v>95921.02</v>
      </c>
      <c r="L485" s="24" t="s">
        <v>312</v>
      </c>
    </row>
    <row r="486" spans="1:12" s="52" customFormat="1" ht="12" customHeight="1" x14ac:dyDescent="0.2">
      <c r="A486" s="22" t="s">
        <v>654</v>
      </c>
      <c r="B486" s="75">
        <v>20</v>
      </c>
      <c r="C486" s="115">
        <v>7</v>
      </c>
      <c r="D486" s="2" t="s">
        <v>456</v>
      </c>
      <c r="E486" s="115"/>
      <c r="F486" s="18"/>
      <c r="G486" s="18"/>
      <c r="H486" s="18"/>
      <c r="I486" s="18"/>
      <c r="J486" s="18"/>
      <c r="K486" s="53">
        <f t="shared" ref="K486:K493" si="34">SUM(F486:J486)</f>
        <v>0</v>
      </c>
      <c r="L486" s="24" t="s">
        <v>312</v>
      </c>
    </row>
    <row r="487" spans="1:12" s="52" customFormat="1" ht="12" customHeight="1" x14ac:dyDescent="0.2">
      <c r="A487" s="22" t="s">
        <v>655</v>
      </c>
      <c r="B487" s="75">
        <v>20</v>
      </c>
      <c r="C487" s="115">
        <v>8</v>
      </c>
      <c r="D487" s="2" t="s">
        <v>456</v>
      </c>
      <c r="E487" s="115"/>
      <c r="F487" s="18">
        <v>6145.03</v>
      </c>
      <c r="G487" s="18">
        <v>17457.5</v>
      </c>
      <c r="H487" s="18"/>
      <c r="I487" s="18"/>
      <c r="J487" s="18"/>
      <c r="K487" s="53">
        <f t="shared" si="34"/>
        <v>23602.53</v>
      </c>
      <c r="L487" s="24" t="s">
        <v>312</v>
      </c>
    </row>
    <row r="488" spans="1:12" s="52" customFormat="1" ht="12" customHeight="1" x14ac:dyDescent="0.2">
      <c r="A488" s="201" t="s">
        <v>656</v>
      </c>
      <c r="B488" s="202">
        <v>20</v>
      </c>
      <c r="C488" s="203">
        <v>9</v>
      </c>
      <c r="D488" s="204" t="s">
        <v>456</v>
      </c>
      <c r="E488" s="203"/>
      <c r="F488" s="205">
        <f>F485-F487</f>
        <v>19945.990000000002</v>
      </c>
      <c r="G488" s="205">
        <f>G485-G487</f>
        <v>52372.5</v>
      </c>
      <c r="H488" s="205"/>
      <c r="I488" s="205"/>
      <c r="J488" s="205"/>
      <c r="K488" s="206">
        <f t="shared" si="34"/>
        <v>72318.490000000005</v>
      </c>
      <c r="L488" s="207" t="s">
        <v>312</v>
      </c>
    </row>
    <row r="489" spans="1:12" s="52" customFormat="1" ht="12" customHeight="1" thickBot="1" x14ac:dyDescent="0.25">
      <c r="A489" s="22" t="s">
        <v>657</v>
      </c>
      <c r="B489" s="75">
        <v>20</v>
      </c>
      <c r="C489" s="115">
        <v>10</v>
      </c>
      <c r="D489" s="2" t="s">
        <v>456</v>
      </c>
      <c r="E489" s="115"/>
      <c r="F489" s="18">
        <f>276.08+542.99+796.79</f>
        <v>1615.86</v>
      </c>
      <c r="G489" s="18">
        <f>567.37+1137.85+1702.11</f>
        <v>3407.33</v>
      </c>
      <c r="H489" s="18"/>
      <c r="I489" s="18"/>
      <c r="J489" s="18"/>
      <c r="K489" s="53">
        <f t="shared" si="34"/>
        <v>5023.1899999999996</v>
      </c>
      <c r="L489" s="24" t="s">
        <v>312</v>
      </c>
    </row>
    <row r="490" spans="1:12" s="52" customFormat="1" ht="12" customHeight="1" thickTop="1" x14ac:dyDescent="0.2">
      <c r="A490" s="139" t="s">
        <v>658</v>
      </c>
      <c r="B490" s="44">
        <v>20</v>
      </c>
      <c r="C490" s="196">
        <v>11</v>
      </c>
      <c r="D490" s="39" t="s">
        <v>456</v>
      </c>
      <c r="E490" s="196"/>
      <c r="F490" s="42">
        <f>SUM(F488:F489)</f>
        <v>21561.850000000002</v>
      </c>
      <c r="G490" s="42">
        <f>SUM(G488:G489)</f>
        <v>55779.83</v>
      </c>
      <c r="H490" s="42">
        <f>SUM(H488:H489)</f>
        <v>0</v>
      </c>
      <c r="I490" s="42">
        <f>SUM(I488:I489)</f>
        <v>0</v>
      </c>
      <c r="J490" s="42">
        <f>SUM(J488:J489)</f>
        <v>0</v>
      </c>
      <c r="K490" s="42">
        <f t="shared" si="34"/>
        <v>77341.680000000008</v>
      </c>
      <c r="L490" s="45" t="s">
        <v>312</v>
      </c>
    </row>
    <row r="491" spans="1:12" s="52" customFormat="1" ht="12" customHeight="1" x14ac:dyDescent="0.2">
      <c r="A491" s="201" t="s">
        <v>685</v>
      </c>
      <c r="B491" s="202">
        <v>20</v>
      </c>
      <c r="C491" s="203">
        <v>12</v>
      </c>
      <c r="D491" s="204" t="s">
        <v>456</v>
      </c>
      <c r="E491" s="203"/>
      <c r="F491" s="205">
        <v>6390.5</v>
      </c>
      <c r="G491" s="205">
        <v>17457.5</v>
      </c>
      <c r="H491" s="205"/>
      <c r="I491" s="205"/>
      <c r="J491" s="205"/>
      <c r="K491" s="206">
        <f t="shared" si="34"/>
        <v>23848</v>
      </c>
      <c r="L491" s="207" t="s">
        <v>312</v>
      </c>
    </row>
    <row r="492" spans="1:12" s="52" customFormat="1" ht="12" customHeight="1" thickBot="1" x14ac:dyDescent="0.25">
      <c r="A492" s="22" t="s">
        <v>659</v>
      </c>
      <c r="B492" s="75">
        <v>20</v>
      </c>
      <c r="C492" s="115">
        <v>13</v>
      </c>
      <c r="D492" s="2" t="s">
        <v>456</v>
      </c>
      <c r="E492" s="115"/>
      <c r="F492" s="18">
        <v>796.79</v>
      </c>
      <c r="G492" s="18">
        <v>1702.11</v>
      </c>
      <c r="H492" s="18"/>
      <c r="I492" s="18"/>
      <c r="J492" s="18"/>
      <c r="K492" s="53">
        <f t="shared" si="34"/>
        <v>2498.8999999999996</v>
      </c>
      <c r="L492" s="24" t="s">
        <v>312</v>
      </c>
    </row>
    <row r="493" spans="1:12" s="52" customFormat="1" ht="12" customHeight="1" thickTop="1" x14ac:dyDescent="0.2">
      <c r="A493" s="139" t="s">
        <v>660</v>
      </c>
      <c r="B493" s="44">
        <v>20</v>
      </c>
      <c r="C493" s="196">
        <v>14</v>
      </c>
      <c r="D493" s="39" t="s">
        <v>456</v>
      </c>
      <c r="E493" s="196"/>
      <c r="F493" s="42">
        <f>SUM(F491:F492)</f>
        <v>7187.29</v>
      </c>
      <c r="G493" s="42">
        <f>SUM(G491:G492)</f>
        <v>19159.61</v>
      </c>
      <c r="H493" s="42">
        <f>SUM(H491:H492)</f>
        <v>0</v>
      </c>
      <c r="I493" s="42">
        <f>SUM(I491:I492)</f>
        <v>0</v>
      </c>
      <c r="J493" s="42">
        <f>SUM(J491:J492)</f>
        <v>0</v>
      </c>
      <c r="K493" s="42">
        <f t="shared" si="34"/>
        <v>26346.9</v>
      </c>
      <c r="L493" s="45" t="s">
        <v>312</v>
      </c>
    </row>
    <row r="494" spans="1:12" s="52" customFormat="1" ht="12" customHeight="1" x14ac:dyDescent="0.2">
      <c r="A494" s="96"/>
      <c r="B494" s="105"/>
      <c r="C494" s="115"/>
      <c r="D494" s="115"/>
      <c r="E494" s="115"/>
      <c r="F494" s="103"/>
      <c r="G494" s="103"/>
      <c r="H494" s="106"/>
      <c r="I494" s="106"/>
      <c r="J494" s="106"/>
      <c r="K494" s="106"/>
      <c r="L494" s="106"/>
    </row>
    <row r="495" spans="1:12" s="52" customFormat="1" ht="12" customHeight="1" x14ac:dyDescent="0.2">
      <c r="C495" s="115"/>
      <c r="D495" s="115"/>
      <c r="E495" s="115"/>
      <c r="F495" s="103"/>
      <c r="G495" s="103"/>
      <c r="H495" s="106"/>
      <c r="I495" s="106"/>
      <c r="J495" s="106"/>
      <c r="K495" s="106"/>
      <c r="L495" s="106"/>
    </row>
    <row r="496" spans="1:12" s="52" customFormat="1" ht="12" customHeight="1" x14ac:dyDescent="0.2">
      <c r="B496" s="105"/>
      <c r="F496" s="52" t="s">
        <v>41</v>
      </c>
      <c r="G496" s="103" t="s">
        <v>42</v>
      </c>
      <c r="H496" s="103" t="s">
        <v>43</v>
      </c>
      <c r="I496" s="106" t="s">
        <v>44</v>
      </c>
      <c r="J496" s="24" t="s">
        <v>312</v>
      </c>
      <c r="K496" s="24" t="s">
        <v>312</v>
      </c>
      <c r="L496" s="24" t="s">
        <v>312</v>
      </c>
    </row>
    <row r="497" spans="1:12" s="52" customFormat="1" ht="12" customHeight="1" x14ac:dyDescent="0.2">
      <c r="A497" s="96" t="s">
        <v>40</v>
      </c>
      <c r="B497" s="105">
        <v>20</v>
      </c>
      <c r="C497" s="115">
        <v>15</v>
      </c>
      <c r="D497" s="2" t="s">
        <v>456</v>
      </c>
      <c r="E497" s="115"/>
      <c r="F497" s="144"/>
      <c r="G497" s="144"/>
      <c r="H497" s="144"/>
      <c r="I497" s="144"/>
      <c r="J497" s="24" t="s">
        <v>312</v>
      </c>
      <c r="K497" s="24" t="s">
        <v>312</v>
      </c>
      <c r="L497" s="24" t="s">
        <v>312</v>
      </c>
    </row>
    <row r="498" spans="1:12" s="52" customFormat="1" ht="12" customHeight="1" x14ac:dyDescent="0.2">
      <c r="A498" s="96" t="s">
        <v>45</v>
      </c>
      <c r="B498" s="22"/>
      <c r="C498" s="22"/>
      <c r="D498" s="22"/>
      <c r="E498" s="22"/>
      <c r="F498" s="22"/>
      <c r="G498" s="22"/>
      <c r="H498" s="22"/>
      <c r="I498" s="22"/>
      <c r="J498" s="53"/>
      <c r="K498" s="53"/>
      <c r="L498" s="53"/>
    </row>
    <row r="499" spans="1:12" s="52" customFormat="1" ht="12" customHeight="1" x14ac:dyDescent="0.2">
      <c r="A499" s="147" t="s">
        <v>886</v>
      </c>
      <c r="B499" s="22"/>
      <c r="C499" s="22"/>
      <c r="D499" s="22"/>
      <c r="E499" s="22"/>
      <c r="F499" s="122" t="s">
        <v>46</v>
      </c>
      <c r="G499" s="122"/>
      <c r="H499" s="123" t="s">
        <v>47</v>
      </c>
      <c r="I499" s="123"/>
      <c r="J499" s="53"/>
      <c r="K499" s="53"/>
      <c r="L499" s="53"/>
    </row>
    <row r="500" spans="1:12" s="52" customFormat="1" ht="12" customHeight="1" x14ac:dyDescent="0.2">
      <c r="A500" s="96"/>
      <c r="B500" s="22"/>
      <c r="C500" s="22"/>
      <c r="D500" s="22"/>
      <c r="E500" s="22"/>
      <c r="F500" s="113" t="s">
        <v>48</v>
      </c>
      <c r="G500" s="113" t="s">
        <v>49</v>
      </c>
      <c r="H500" s="114" t="s">
        <v>48</v>
      </c>
      <c r="I500" s="114" t="s">
        <v>49</v>
      </c>
      <c r="J500" s="53"/>
      <c r="K500" s="53"/>
      <c r="L500" s="53"/>
    </row>
    <row r="501" spans="1:12" s="52" customFormat="1" ht="12" customHeight="1" x14ac:dyDescent="0.2">
      <c r="A501" s="22" t="s">
        <v>661</v>
      </c>
      <c r="B501" s="75">
        <v>20</v>
      </c>
      <c r="C501" s="115">
        <v>16</v>
      </c>
      <c r="D501" s="2" t="s">
        <v>456</v>
      </c>
      <c r="E501" s="115">
        <v>210</v>
      </c>
      <c r="F501" s="18"/>
      <c r="G501" s="24" t="s">
        <v>312</v>
      </c>
      <c r="H501" s="18"/>
      <c r="I501" s="24" t="s">
        <v>312</v>
      </c>
      <c r="J501" s="24" t="s">
        <v>312</v>
      </c>
      <c r="K501" s="24" t="s">
        <v>312</v>
      </c>
      <c r="L501" s="24" t="s">
        <v>312</v>
      </c>
    </row>
    <row r="502" spans="1:12" s="52" customFormat="1" ht="12" customHeight="1" x14ac:dyDescent="0.2">
      <c r="A502" s="22" t="s">
        <v>662</v>
      </c>
      <c r="B502" s="75">
        <v>20</v>
      </c>
      <c r="C502" s="115">
        <v>17</v>
      </c>
      <c r="D502" s="2" t="s">
        <v>456</v>
      </c>
      <c r="E502" s="115">
        <v>220</v>
      </c>
      <c r="F502" s="18"/>
      <c r="G502" s="24" t="s">
        <v>312</v>
      </c>
      <c r="H502" s="18"/>
      <c r="I502" s="24" t="s">
        <v>312</v>
      </c>
      <c r="J502" s="24" t="s">
        <v>312</v>
      </c>
      <c r="K502" s="24" t="s">
        <v>312</v>
      </c>
      <c r="L502" s="24" t="s">
        <v>312</v>
      </c>
    </row>
    <row r="503" spans="1:12" s="52" customFormat="1" ht="12" customHeight="1" x14ac:dyDescent="0.2">
      <c r="A503" s="22" t="s">
        <v>663</v>
      </c>
      <c r="B503" s="75">
        <v>20</v>
      </c>
      <c r="C503" s="115">
        <v>18</v>
      </c>
      <c r="D503" s="2" t="s">
        <v>456</v>
      </c>
      <c r="E503" s="115">
        <v>230</v>
      </c>
      <c r="F503" s="18"/>
      <c r="G503" s="24" t="s">
        <v>312</v>
      </c>
      <c r="H503" s="18"/>
      <c r="I503" s="24" t="s">
        <v>312</v>
      </c>
      <c r="J503" s="24" t="s">
        <v>312</v>
      </c>
      <c r="K503" s="24" t="s">
        <v>312</v>
      </c>
      <c r="L503" s="24" t="s">
        <v>312</v>
      </c>
    </row>
    <row r="504" spans="1:12" s="52" customFormat="1" ht="12" customHeight="1" x14ac:dyDescent="0.2">
      <c r="A504" s="22" t="s">
        <v>664</v>
      </c>
      <c r="B504" s="75">
        <v>20</v>
      </c>
      <c r="C504" s="115">
        <v>19</v>
      </c>
      <c r="D504" s="2" t="s">
        <v>456</v>
      </c>
      <c r="E504" s="115">
        <v>240</v>
      </c>
      <c r="F504" s="18"/>
      <c r="G504" s="24" t="s">
        <v>312</v>
      </c>
      <c r="H504" s="18"/>
      <c r="I504" s="24" t="s">
        <v>312</v>
      </c>
      <c r="J504" s="24" t="s">
        <v>312</v>
      </c>
      <c r="K504" s="24" t="s">
        <v>312</v>
      </c>
      <c r="L504" s="24" t="s">
        <v>312</v>
      </c>
    </row>
    <row r="505" spans="1:12" s="52" customFormat="1" ht="12" customHeight="1" x14ac:dyDescent="0.2">
      <c r="A505" s="22" t="s">
        <v>665</v>
      </c>
      <c r="B505" s="75">
        <v>20</v>
      </c>
      <c r="C505" s="115">
        <v>20</v>
      </c>
      <c r="D505" s="2" t="s">
        <v>456</v>
      </c>
      <c r="E505" s="115">
        <v>250</v>
      </c>
      <c r="F505" s="18"/>
      <c r="G505" s="24" t="s">
        <v>312</v>
      </c>
      <c r="H505" s="18"/>
      <c r="I505" s="24" t="s">
        <v>312</v>
      </c>
      <c r="J505" s="24" t="s">
        <v>312</v>
      </c>
      <c r="K505" s="24" t="s">
        <v>312</v>
      </c>
      <c r="L505" s="24" t="s">
        <v>312</v>
      </c>
    </row>
    <row r="506" spans="1:12" s="52" customFormat="1" ht="12" customHeight="1" thickBot="1" x14ac:dyDescent="0.25">
      <c r="A506" s="22" t="s">
        <v>666</v>
      </c>
      <c r="B506" s="75">
        <v>20</v>
      </c>
      <c r="C506" s="115">
        <v>21</v>
      </c>
      <c r="D506" s="2" t="s">
        <v>456</v>
      </c>
      <c r="E506" s="115">
        <v>710</v>
      </c>
      <c r="F506" s="24" t="s">
        <v>312</v>
      </c>
      <c r="G506" s="18"/>
      <c r="H506" s="24" t="s">
        <v>312</v>
      </c>
      <c r="I506" s="18"/>
      <c r="J506" s="24" t="s">
        <v>312</v>
      </c>
      <c r="K506" s="24" t="s">
        <v>312</v>
      </c>
      <c r="L506" s="24" t="s">
        <v>312</v>
      </c>
    </row>
    <row r="507" spans="1:12" s="52" customFormat="1" ht="12" customHeight="1" thickTop="1" x14ac:dyDescent="0.2">
      <c r="A507" s="96" t="s">
        <v>451</v>
      </c>
      <c r="B507" s="75">
        <v>20</v>
      </c>
      <c r="C507" s="115">
        <v>22</v>
      </c>
      <c r="D507" s="2" t="s">
        <v>456</v>
      </c>
      <c r="E507" s="115"/>
      <c r="F507" s="42">
        <f>SUM(F501:F506)</f>
        <v>0</v>
      </c>
      <c r="G507" s="42">
        <f>SUM(G501:G506)</f>
        <v>0</v>
      </c>
      <c r="H507" s="42">
        <f>SUM(H501:H506)</f>
        <v>0</v>
      </c>
      <c r="I507" s="42">
        <f>SUM(I501:I506)</f>
        <v>0</v>
      </c>
      <c r="J507" s="24" t="s">
        <v>312</v>
      </c>
      <c r="K507" s="24" t="s">
        <v>312</v>
      </c>
      <c r="L507" s="24" t="s">
        <v>312</v>
      </c>
    </row>
    <row r="508" spans="1:12" s="52" customFormat="1" ht="12" customHeight="1" x14ac:dyDescent="0.2">
      <c r="A508" s="96" t="s">
        <v>733</v>
      </c>
      <c r="B508" s="105"/>
      <c r="C508" s="115"/>
      <c r="D508" s="115"/>
      <c r="E508" s="115"/>
      <c r="F508" s="177" t="s">
        <v>724</v>
      </c>
      <c r="G508" s="177" t="s">
        <v>725</v>
      </c>
      <c r="H508" s="177" t="s">
        <v>726</v>
      </c>
      <c r="I508" s="177" t="s">
        <v>727</v>
      </c>
      <c r="J508" s="177" t="s">
        <v>728</v>
      </c>
      <c r="K508" s="177" t="s">
        <v>729</v>
      </c>
      <c r="L508" s="106"/>
    </row>
    <row r="509" spans="1:12" s="52" customFormat="1" ht="12" customHeight="1" x14ac:dyDescent="0.2">
      <c r="A509" s="178" t="s">
        <v>732</v>
      </c>
      <c r="B509" s="105"/>
      <c r="C509" s="115"/>
      <c r="D509" s="115"/>
      <c r="E509" s="115"/>
      <c r="F509" s="103" t="s">
        <v>54</v>
      </c>
      <c r="G509" s="103" t="s">
        <v>55</v>
      </c>
      <c r="H509" s="106" t="s">
        <v>56</v>
      </c>
      <c r="I509" s="106" t="s">
        <v>57</v>
      </c>
      <c r="J509" s="106" t="s">
        <v>58</v>
      </c>
      <c r="K509" s="106" t="s">
        <v>59</v>
      </c>
      <c r="L509" s="106" t="s">
        <v>5</v>
      </c>
    </row>
    <row r="510" spans="1:12" s="52" customFormat="1" ht="12" customHeight="1" x14ac:dyDescent="0.2">
      <c r="A510" s="96" t="s">
        <v>60</v>
      </c>
      <c r="B510" s="105"/>
      <c r="C510" s="115"/>
      <c r="D510" s="115"/>
      <c r="E510" s="115"/>
      <c r="F510" s="24" t="s">
        <v>312</v>
      </c>
      <c r="G510" s="24" t="s">
        <v>312</v>
      </c>
      <c r="H510" s="24" t="s">
        <v>312</v>
      </c>
      <c r="I510" s="24" t="s">
        <v>312</v>
      </c>
      <c r="J510" s="24" t="s">
        <v>312</v>
      </c>
      <c r="K510" s="24" t="s">
        <v>312</v>
      </c>
      <c r="L510" s="24" t="s">
        <v>312</v>
      </c>
    </row>
    <row r="511" spans="1:12" s="52" customFormat="1" ht="12" customHeight="1" x14ac:dyDescent="0.2">
      <c r="A511" s="22" t="s">
        <v>667</v>
      </c>
      <c r="B511" s="105">
        <v>21</v>
      </c>
      <c r="C511" s="115">
        <v>1</v>
      </c>
      <c r="D511" s="2" t="s">
        <v>456</v>
      </c>
      <c r="E511" s="115"/>
      <c r="F511" s="18">
        <v>37413.19</v>
      </c>
      <c r="G511" s="18">
        <v>11660.6</v>
      </c>
      <c r="H511" s="18">
        <f>4217.5+86061.54</f>
        <v>90279.039999999994</v>
      </c>
      <c r="I511" s="18">
        <v>1587.1</v>
      </c>
      <c r="J511" s="18">
        <v>0</v>
      </c>
      <c r="K511" s="18">
        <v>0</v>
      </c>
      <c r="L511" s="88">
        <f>SUM(F511:K511)</f>
        <v>140939.93</v>
      </c>
    </row>
    <row r="512" spans="1:12" s="52" customFormat="1" ht="12" customHeight="1" x14ac:dyDescent="0.2">
      <c r="A512" s="22" t="s">
        <v>668</v>
      </c>
      <c r="B512" s="105">
        <v>21</v>
      </c>
      <c r="C512" s="115">
        <v>2</v>
      </c>
      <c r="D512" s="2" t="s">
        <v>456</v>
      </c>
      <c r="E512" s="115"/>
      <c r="F512" s="18">
        <v>0</v>
      </c>
      <c r="G512" s="18">
        <v>0</v>
      </c>
      <c r="H512" s="18">
        <v>5572.42</v>
      </c>
      <c r="I512" s="18">
        <v>0</v>
      </c>
      <c r="J512" s="18">
        <v>0</v>
      </c>
      <c r="K512" s="18">
        <v>0</v>
      </c>
      <c r="L512" s="88">
        <f>SUM(F512:K512)</f>
        <v>5572.42</v>
      </c>
    </row>
    <row r="513" spans="1:13" s="52" customFormat="1" ht="12" customHeight="1" thickBot="1" x14ac:dyDescent="0.25">
      <c r="A513" s="22" t="s">
        <v>669</v>
      </c>
      <c r="B513" s="105">
        <v>21</v>
      </c>
      <c r="C513" s="115">
        <v>3</v>
      </c>
      <c r="D513" s="2" t="s">
        <v>456</v>
      </c>
      <c r="E513" s="115"/>
      <c r="F513" s="18">
        <v>0</v>
      </c>
      <c r="G513" s="18">
        <v>0</v>
      </c>
      <c r="H513" s="18">
        <f>631.82+79753.91</f>
        <v>80385.73000000001</v>
      </c>
      <c r="I513" s="18">
        <v>0</v>
      </c>
      <c r="J513" s="18">
        <v>0</v>
      </c>
      <c r="K513" s="18">
        <v>0</v>
      </c>
      <c r="L513" s="88">
        <f>SUM(F513:K513)</f>
        <v>80385.73000000001</v>
      </c>
    </row>
    <row r="514" spans="1:13" s="52" customFormat="1" ht="12" customHeight="1" thickTop="1" x14ac:dyDescent="0.2">
      <c r="A514" s="139" t="s">
        <v>63</v>
      </c>
      <c r="B514" s="107">
        <v>21</v>
      </c>
      <c r="C514" s="196">
        <v>4</v>
      </c>
      <c r="D514" s="197" t="s">
        <v>456</v>
      </c>
      <c r="E514" s="196"/>
      <c r="F514" s="108">
        <f>SUM(F511:F513)</f>
        <v>37413.19</v>
      </c>
      <c r="G514" s="108">
        <f t="shared" ref="G514:L514" si="35">SUM(G511:G513)</f>
        <v>11660.6</v>
      </c>
      <c r="H514" s="108">
        <f t="shared" si="35"/>
        <v>176237.19</v>
      </c>
      <c r="I514" s="108">
        <f t="shared" si="35"/>
        <v>1587.1</v>
      </c>
      <c r="J514" s="108">
        <f t="shared" si="35"/>
        <v>0</v>
      </c>
      <c r="K514" s="108">
        <f t="shared" si="35"/>
        <v>0</v>
      </c>
      <c r="L514" s="89">
        <f t="shared" si="35"/>
        <v>226898.08000000002</v>
      </c>
    </row>
    <row r="515" spans="1:13" s="52" customFormat="1" ht="12" customHeight="1" x14ac:dyDescent="0.2">
      <c r="A515" s="96" t="s">
        <v>64</v>
      </c>
      <c r="B515" s="105"/>
      <c r="C515" s="115"/>
      <c r="D515" s="115"/>
      <c r="E515" s="115"/>
      <c r="F515" s="24" t="s">
        <v>312</v>
      </c>
      <c r="G515" s="24" t="s">
        <v>312</v>
      </c>
      <c r="H515" s="24" t="s">
        <v>312</v>
      </c>
      <c r="I515" s="24" t="s">
        <v>312</v>
      </c>
      <c r="J515" s="24" t="s">
        <v>312</v>
      </c>
      <c r="K515" s="24" t="s">
        <v>312</v>
      </c>
      <c r="L515" s="24" t="s">
        <v>312</v>
      </c>
    </row>
    <row r="516" spans="1:13" s="52" customFormat="1" ht="12" customHeight="1" x14ac:dyDescent="0.2">
      <c r="A516" s="22" t="s">
        <v>667</v>
      </c>
      <c r="B516" s="105">
        <v>21</v>
      </c>
      <c r="C516" s="115">
        <v>5</v>
      </c>
      <c r="D516" s="2" t="s">
        <v>456</v>
      </c>
      <c r="E516" s="115"/>
      <c r="F516" s="18">
        <v>0</v>
      </c>
      <c r="G516" s="18">
        <v>0</v>
      </c>
      <c r="H516" s="18">
        <v>12200.05</v>
      </c>
      <c r="I516" s="18">
        <v>0</v>
      </c>
      <c r="J516" s="18">
        <v>0</v>
      </c>
      <c r="K516" s="18">
        <v>0</v>
      </c>
      <c r="L516" s="88">
        <f>SUM(F516:K516)</f>
        <v>12200.05</v>
      </c>
    </row>
    <row r="517" spans="1:13" s="52" customFormat="1" ht="12" customHeight="1" x14ac:dyDescent="0.2">
      <c r="A517" s="22" t="s">
        <v>668</v>
      </c>
      <c r="B517" s="105">
        <v>21</v>
      </c>
      <c r="C517" s="115">
        <v>6</v>
      </c>
      <c r="D517" s="2" t="s">
        <v>456</v>
      </c>
      <c r="E517" s="115"/>
      <c r="F517" s="18">
        <v>0</v>
      </c>
      <c r="G517" s="18">
        <v>0</v>
      </c>
      <c r="H517" s="18">
        <v>0</v>
      </c>
      <c r="I517" s="18">
        <v>0</v>
      </c>
      <c r="J517" s="18">
        <v>0</v>
      </c>
      <c r="K517" s="18">
        <v>0</v>
      </c>
      <c r="L517" s="88">
        <f>SUM(F517:K517)</f>
        <v>0</v>
      </c>
    </row>
    <row r="518" spans="1:13" s="3" customFormat="1" ht="12" customHeight="1" thickBot="1" x14ac:dyDescent="0.2">
      <c r="A518" s="22" t="s">
        <v>669</v>
      </c>
      <c r="B518" s="118">
        <v>21</v>
      </c>
      <c r="C518" s="118">
        <v>7</v>
      </c>
      <c r="D518" s="2" t="s">
        <v>456</v>
      </c>
      <c r="E518" s="118"/>
      <c r="F518" s="18">
        <v>0</v>
      </c>
      <c r="G518" s="18">
        <v>0</v>
      </c>
      <c r="H518" s="18">
        <v>5929.8</v>
      </c>
      <c r="I518" s="18">
        <v>0</v>
      </c>
      <c r="J518" s="18">
        <v>0</v>
      </c>
      <c r="K518" s="18">
        <v>0</v>
      </c>
      <c r="L518" s="88">
        <f>SUM(F518:K518)</f>
        <v>5929.8</v>
      </c>
      <c r="M518" s="8"/>
    </row>
    <row r="519" spans="1:13" s="3" customFormat="1" ht="12" customHeight="1" thickTop="1" x14ac:dyDescent="0.15">
      <c r="A519" s="139" t="s">
        <v>65</v>
      </c>
      <c r="B519" s="107">
        <v>21</v>
      </c>
      <c r="C519" s="107">
        <v>8</v>
      </c>
      <c r="D519" s="158" t="s">
        <v>456</v>
      </c>
      <c r="E519" s="107"/>
      <c r="F519" s="89">
        <f>SUM(F516:F518)</f>
        <v>0</v>
      </c>
      <c r="G519" s="89">
        <f t="shared" ref="G519:L519" si="36">SUM(G516:G518)</f>
        <v>0</v>
      </c>
      <c r="H519" s="89">
        <f t="shared" si="36"/>
        <v>18129.849999999999</v>
      </c>
      <c r="I519" s="89">
        <f t="shared" si="36"/>
        <v>0</v>
      </c>
      <c r="J519" s="89">
        <f t="shared" si="36"/>
        <v>0</v>
      </c>
      <c r="K519" s="89">
        <f t="shared" si="36"/>
        <v>0</v>
      </c>
      <c r="L519" s="89">
        <f t="shared" si="36"/>
        <v>18129.849999999999</v>
      </c>
      <c r="M519" s="8"/>
    </row>
    <row r="520" spans="1:13" s="3" customFormat="1" ht="12" customHeight="1" x14ac:dyDescent="0.15">
      <c r="A520" s="97" t="s">
        <v>66</v>
      </c>
      <c r="B520" s="105"/>
      <c r="C520" s="105"/>
      <c r="D520" s="105"/>
      <c r="E520" s="105"/>
      <c r="F520" s="24" t="s">
        <v>312</v>
      </c>
      <c r="G520" s="24" t="s">
        <v>312</v>
      </c>
      <c r="H520" s="24" t="s">
        <v>312</v>
      </c>
      <c r="I520" s="24" t="s">
        <v>312</v>
      </c>
      <c r="J520" s="24" t="s">
        <v>312</v>
      </c>
      <c r="K520" s="24" t="s">
        <v>312</v>
      </c>
      <c r="L520" s="24" t="s">
        <v>312</v>
      </c>
      <c r="M520" s="8"/>
    </row>
    <row r="521" spans="1:13" s="3" customFormat="1" ht="12" customHeight="1" x14ac:dyDescent="0.15">
      <c r="A521" s="22" t="s">
        <v>667</v>
      </c>
      <c r="B521" s="105">
        <v>21</v>
      </c>
      <c r="C521" s="105">
        <v>9</v>
      </c>
      <c r="D521" s="2" t="s">
        <v>456</v>
      </c>
      <c r="E521" s="105"/>
      <c r="F521" s="18"/>
      <c r="G521" s="18"/>
      <c r="H521" s="18">
        <v>10659</v>
      </c>
      <c r="I521" s="18"/>
      <c r="J521" s="18"/>
      <c r="K521" s="18"/>
      <c r="L521" s="88">
        <f>SUM(F521:K521)</f>
        <v>10659</v>
      </c>
      <c r="M521" s="8"/>
    </row>
    <row r="522" spans="1:13" s="3" customFormat="1" ht="12" customHeight="1" x14ac:dyDescent="0.15">
      <c r="A522" s="22" t="s">
        <v>668</v>
      </c>
      <c r="B522" s="105">
        <v>21</v>
      </c>
      <c r="C522" s="105">
        <v>10</v>
      </c>
      <c r="D522" s="2" t="s">
        <v>456</v>
      </c>
      <c r="E522" s="105"/>
      <c r="F522" s="18"/>
      <c r="G522" s="18"/>
      <c r="H522" s="18">
        <v>2665</v>
      </c>
      <c r="I522" s="18"/>
      <c r="J522" s="18"/>
      <c r="K522" s="18"/>
      <c r="L522" s="88">
        <f>SUM(F522:K522)</f>
        <v>2665</v>
      </c>
      <c r="M522" s="8"/>
    </row>
    <row r="523" spans="1:13" s="3" customFormat="1" ht="12" customHeight="1" thickBot="1" x14ac:dyDescent="0.2">
      <c r="A523" s="22" t="s">
        <v>669</v>
      </c>
      <c r="B523" s="105">
        <v>21</v>
      </c>
      <c r="C523" s="105">
        <v>11</v>
      </c>
      <c r="D523" s="2" t="s">
        <v>456</v>
      </c>
      <c r="E523" s="105"/>
      <c r="F523" s="18"/>
      <c r="G523" s="18"/>
      <c r="H523" s="18">
        <v>5710</v>
      </c>
      <c r="I523" s="18"/>
      <c r="J523" s="18"/>
      <c r="K523" s="18"/>
      <c r="L523" s="88">
        <f>SUM(F523:K523)</f>
        <v>5710</v>
      </c>
      <c r="M523" s="8"/>
    </row>
    <row r="524" spans="1:13" s="3" customFormat="1" ht="12" customHeight="1" thickTop="1" x14ac:dyDescent="0.15">
      <c r="A524" s="139" t="s">
        <v>67</v>
      </c>
      <c r="B524" s="107">
        <v>21</v>
      </c>
      <c r="C524" s="107">
        <v>12</v>
      </c>
      <c r="D524" s="158" t="s">
        <v>456</v>
      </c>
      <c r="E524" s="107"/>
      <c r="F524" s="89">
        <f>SUM(F521:F523)</f>
        <v>0</v>
      </c>
      <c r="G524" s="89">
        <f t="shared" ref="G524:L524" si="37">SUM(G521:G523)</f>
        <v>0</v>
      </c>
      <c r="H524" s="89">
        <f t="shared" si="37"/>
        <v>19034</v>
      </c>
      <c r="I524" s="89">
        <f t="shared" si="37"/>
        <v>0</v>
      </c>
      <c r="J524" s="89">
        <f t="shared" si="37"/>
        <v>0</v>
      </c>
      <c r="K524" s="89">
        <f t="shared" si="37"/>
        <v>0</v>
      </c>
      <c r="L524" s="89">
        <f t="shared" si="37"/>
        <v>19034</v>
      </c>
      <c r="M524" s="8"/>
    </row>
    <row r="525" spans="1:13" s="3" customFormat="1" ht="12" customHeight="1" x14ac:dyDescent="0.15">
      <c r="A525" s="97" t="s">
        <v>68</v>
      </c>
      <c r="B525" s="105"/>
      <c r="C525" s="105"/>
      <c r="D525" s="105"/>
      <c r="E525" s="105"/>
      <c r="F525" s="195" t="s">
        <v>312</v>
      </c>
      <c r="G525" s="195" t="s">
        <v>312</v>
      </c>
      <c r="H525" s="195" t="s">
        <v>312</v>
      </c>
      <c r="I525" s="195" t="s">
        <v>312</v>
      </c>
      <c r="J525" s="195" t="s">
        <v>312</v>
      </c>
      <c r="K525" s="195" t="s">
        <v>312</v>
      </c>
      <c r="L525" s="195" t="s">
        <v>312</v>
      </c>
      <c r="M525" s="8"/>
    </row>
    <row r="526" spans="1:13" s="3" customFormat="1" ht="12" customHeight="1" x14ac:dyDescent="0.15">
      <c r="A526" s="22" t="s">
        <v>667</v>
      </c>
      <c r="B526" s="105">
        <v>21</v>
      </c>
      <c r="C526" s="105">
        <v>13</v>
      </c>
      <c r="D526" s="2" t="s">
        <v>456</v>
      </c>
      <c r="E526" s="105"/>
      <c r="F526" s="18"/>
      <c r="G526" s="18"/>
      <c r="H526" s="18"/>
      <c r="I526" s="18"/>
      <c r="J526" s="18"/>
      <c r="K526" s="18"/>
      <c r="L526" s="88">
        <f>SUM(F526:K526)</f>
        <v>0</v>
      </c>
      <c r="M526" s="8"/>
    </row>
    <row r="527" spans="1:13" s="3" customFormat="1" ht="12" customHeight="1" x14ac:dyDescent="0.15">
      <c r="A527" s="22" t="s">
        <v>668</v>
      </c>
      <c r="B527" s="105">
        <v>21</v>
      </c>
      <c r="C527" s="105">
        <v>14</v>
      </c>
      <c r="D527" s="2" t="s">
        <v>456</v>
      </c>
      <c r="E527" s="10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</row>
    <row r="528" spans="1:13" s="3" customFormat="1" ht="12" customHeight="1" thickBot="1" x14ac:dyDescent="0.2">
      <c r="A528" s="22" t="s">
        <v>669</v>
      </c>
      <c r="B528" s="105">
        <v>21</v>
      </c>
      <c r="C528" s="105">
        <v>15</v>
      </c>
      <c r="D528" s="2" t="s">
        <v>456</v>
      </c>
      <c r="E528" s="105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</row>
    <row r="529" spans="1:13" s="3" customFormat="1" ht="12" customHeight="1" thickTop="1" x14ac:dyDescent="0.15">
      <c r="A529" s="139" t="s">
        <v>69</v>
      </c>
      <c r="B529" s="107">
        <v>21</v>
      </c>
      <c r="C529" s="107">
        <v>16</v>
      </c>
      <c r="D529" s="158" t="s">
        <v>456</v>
      </c>
      <c r="E529" s="107"/>
      <c r="F529" s="89">
        <f>SUM(F526:F528)</f>
        <v>0</v>
      </c>
      <c r="G529" s="89">
        <f t="shared" ref="G529:L529" si="38">SUM(G526:G528)</f>
        <v>0</v>
      </c>
      <c r="H529" s="89">
        <f t="shared" si="38"/>
        <v>0</v>
      </c>
      <c r="I529" s="89">
        <f t="shared" si="38"/>
        <v>0</v>
      </c>
      <c r="J529" s="89">
        <f t="shared" si="38"/>
        <v>0</v>
      </c>
      <c r="K529" s="89">
        <f t="shared" si="38"/>
        <v>0</v>
      </c>
      <c r="L529" s="89">
        <f t="shared" si="38"/>
        <v>0</v>
      </c>
      <c r="M529" s="8"/>
    </row>
    <row r="530" spans="1:13" s="3" customFormat="1" ht="12" customHeight="1" x14ac:dyDescent="0.15">
      <c r="A530" s="97" t="s">
        <v>70</v>
      </c>
      <c r="B530" s="105"/>
      <c r="C530" s="105"/>
      <c r="D530" s="105"/>
      <c r="E530" s="105"/>
      <c r="F530" s="24" t="s">
        <v>312</v>
      </c>
      <c r="G530" s="24" t="s">
        <v>312</v>
      </c>
      <c r="H530" s="24" t="s">
        <v>312</v>
      </c>
      <c r="I530" s="24" t="s">
        <v>312</v>
      </c>
      <c r="J530" s="24" t="s">
        <v>312</v>
      </c>
      <c r="K530" s="24" t="s">
        <v>312</v>
      </c>
      <c r="L530" s="24" t="s">
        <v>312</v>
      </c>
      <c r="M530" s="8"/>
    </row>
    <row r="531" spans="1:13" s="3" customFormat="1" ht="12" customHeight="1" x14ac:dyDescent="0.15">
      <c r="A531" s="22" t="s">
        <v>667</v>
      </c>
      <c r="B531" s="105">
        <v>21</v>
      </c>
      <c r="C531" s="105">
        <v>17</v>
      </c>
      <c r="D531" s="2" t="s">
        <v>456</v>
      </c>
      <c r="E531" s="105"/>
      <c r="F531" s="18"/>
      <c r="G531" s="18"/>
      <c r="H531" s="18">
        <v>3962.4</v>
      </c>
      <c r="I531" s="18"/>
      <c r="J531" s="18"/>
      <c r="K531" s="18"/>
      <c r="L531" s="88">
        <f>SUM(F531:K531)</f>
        <v>3962.4</v>
      </c>
      <c r="M531" s="8"/>
    </row>
    <row r="532" spans="1:13" s="3" customFormat="1" ht="12" customHeight="1" x14ac:dyDescent="0.15">
      <c r="A532" s="22" t="s">
        <v>668</v>
      </c>
      <c r="B532" s="105">
        <v>21</v>
      </c>
      <c r="C532" s="105">
        <v>18</v>
      </c>
      <c r="D532" s="2" t="s">
        <v>456</v>
      </c>
      <c r="E532" s="105"/>
      <c r="F532" s="18"/>
      <c r="G532" s="18"/>
      <c r="H532" s="18">
        <v>0</v>
      </c>
      <c r="I532" s="18"/>
      <c r="J532" s="18"/>
      <c r="K532" s="18"/>
      <c r="L532" s="88">
        <f>SUM(F532:K532)</f>
        <v>0</v>
      </c>
      <c r="M532" s="8"/>
    </row>
    <row r="533" spans="1:13" s="3" customFormat="1" ht="12" customHeight="1" thickBot="1" x14ac:dyDescent="0.2">
      <c r="A533" s="22" t="s">
        <v>669</v>
      </c>
      <c r="B533" s="105">
        <v>21</v>
      </c>
      <c r="C533" s="105">
        <v>19</v>
      </c>
      <c r="D533" s="2" t="s">
        <v>456</v>
      </c>
      <c r="E533" s="105"/>
      <c r="F533" s="18"/>
      <c r="G533" s="18"/>
      <c r="H533" s="18">
        <v>1120.1600000000001</v>
      </c>
      <c r="I533" s="18"/>
      <c r="J533" s="18"/>
      <c r="K533" s="18"/>
      <c r="L533" s="88">
        <f>SUM(F533:K533)</f>
        <v>1120.1600000000001</v>
      </c>
      <c r="M533" s="8"/>
    </row>
    <row r="534" spans="1:13" s="3" customFormat="1" ht="12" customHeight="1" thickTop="1" thickBot="1" x14ac:dyDescent="0.2">
      <c r="A534" s="130" t="s">
        <v>71</v>
      </c>
      <c r="B534" s="192">
        <v>21</v>
      </c>
      <c r="C534" s="192">
        <v>20</v>
      </c>
      <c r="D534" s="193" t="s">
        <v>456</v>
      </c>
      <c r="E534" s="192"/>
      <c r="F534" s="194">
        <f>SUM(F531:F533)</f>
        <v>0</v>
      </c>
      <c r="G534" s="194">
        <f t="shared" ref="G534:L534" si="39">SUM(G531:G533)</f>
        <v>0</v>
      </c>
      <c r="H534" s="194">
        <f t="shared" si="39"/>
        <v>5082.5600000000004</v>
      </c>
      <c r="I534" s="194">
        <f t="shared" si="39"/>
        <v>0</v>
      </c>
      <c r="J534" s="194">
        <f t="shared" si="39"/>
        <v>0</v>
      </c>
      <c r="K534" s="194">
        <f t="shared" si="39"/>
        <v>0</v>
      </c>
      <c r="L534" s="194">
        <f t="shared" si="39"/>
        <v>5082.5600000000004</v>
      </c>
      <c r="M534" s="8"/>
    </row>
    <row r="535" spans="1:13" s="3" customFormat="1" ht="12" customHeight="1" thickTop="1" x14ac:dyDescent="0.15">
      <c r="A535" s="98" t="s">
        <v>72</v>
      </c>
      <c r="B535" s="107">
        <v>21</v>
      </c>
      <c r="C535" s="107">
        <v>21</v>
      </c>
      <c r="D535" s="158" t="s">
        <v>456</v>
      </c>
      <c r="E535" s="107"/>
      <c r="F535" s="89">
        <f>F514+F519+F524+F529+F534</f>
        <v>37413.19</v>
      </c>
      <c r="G535" s="89">
        <f t="shared" ref="G535:L535" si="40">G514+G519+G524+G529+G534</f>
        <v>11660.6</v>
      </c>
      <c r="H535" s="89">
        <f t="shared" si="40"/>
        <v>218483.6</v>
      </c>
      <c r="I535" s="89">
        <f t="shared" si="40"/>
        <v>1587.1</v>
      </c>
      <c r="J535" s="89">
        <f t="shared" si="40"/>
        <v>0</v>
      </c>
      <c r="K535" s="89">
        <f t="shared" si="40"/>
        <v>0</v>
      </c>
      <c r="L535" s="89">
        <f t="shared" si="40"/>
        <v>269144.49000000005</v>
      </c>
      <c r="M535" s="8"/>
    </row>
    <row r="536" spans="1:13" s="3" customFormat="1" ht="12" customHeight="1" x14ac:dyDescent="0.15">
      <c r="A536" s="99"/>
      <c r="B536" s="105"/>
      <c r="C536" s="105"/>
      <c r="D536" s="105"/>
      <c r="E536" s="105"/>
      <c r="F536" s="87"/>
      <c r="G536" s="87"/>
      <c r="H536" s="87"/>
      <c r="I536" s="87"/>
      <c r="J536" s="87"/>
      <c r="K536" s="87"/>
      <c r="L536" s="87"/>
      <c r="M536" s="8"/>
    </row>
    <row r="537" spans="1:13" s="3" customFormat="1" ht="12" customHeight="1" x14ac:dyDescent="0.15">
      <c r="A537" s="100" t="s">
        <v>73</v>
      </c>
      <c r="B537" s="105"/>
      <c r="C537" s="105"/>
      <c r="D537" s="105"/>
      <c r="E537" s="105"/>
      <c r="F537" s="101" t="s">
        <v>74</v>
      </c>
      <c r="G537" s="87" t="s">
        <v>75</v>
      </c>
      <c r="H537" s="87" t="s">
        <v>76</v>
      </c>
      <c r="I537" s="101" t="s">
        <v>77</v>
      </c>
      <c r="J537" s="87" t="s">
        <v>78</v>
      </c>
      <c r="K537" s="101" t="s">
        <v>79</v>
      </c>
      <c r="L537" s="24" t="s">
        <v>312</v>
      </c>
      <c r="M537" s="8"/>
    </row>
    <row r="538" spans="1:13" s="3" customFormat="1" ht="12" customHeight="1" x14ac:dyDescent="0.15">
      <c r="A538" s="100" t="s">
        <v>273</v>
      </c>
      <c r="B538" s="105"/>
      <c r="C538" s="105"/>
      <c r="D538" s="105"/>
      <c r="E538" s="105"/>
      <c r="F538" s="101" t="s">
        <v>80</v>
      </c>
      <c r="G538" s="101" t="s">
        <v>81</v>
      </c>
      <c r="H538" s="101" t="s">
        <v>82</v>
      </c>
      <c r="I538" s="101" t="s">
        <v>83</v>
      </c>
      <c r="J538" s="101" t="s">
        <v>84</v>
      </c>
      <c r="K538" s="87"/>
      <c r="L538" s="24" t="s">
        <v>312</v>
      </c>
      <c r="M538" s="8"/>
    </row>
    <row r="539" spans="1:13" s="3" customFormat="1" ht="12" customHeight="1" x14ac:dyDescent="0.15">
      <c r="A539" s="22" t="s">
        <v>667</v>
      </c>
      <c r="B539" s="75">
        <v>21</v>
      </c>
      <c r="C539" s="75">
        <v>22</v>
      </c>
      <c r="D539" s="2" t="s">
        <v>456</v>
      </c>
      <c r="E539" s="75"/>
      <c r="F539" s="87">
        <f>L511</f>
        <v>140939.93</v>
      </c>
      <c r="G539" s="87">
        <f>L516</f>
        <v>12200.05</v>
      </c>
      <c r="H539" s="87">
        <f>L521</f>
        <v>10659</v>
      </c>
      <c r="I539" s="87">
        <f>L526</f>
        <v>0</v>
      </c>
      <c r="J539" s="87">
        <f>L531</f>
        <v>3962.4</v>
      </c>
      <c r="K539" s="87">
        <f>SUM(F539:J539)</f>
        <v>167761.37999999998</v>
      </c>
      <c r="L539" s="24" t="s">
        <v>312</v>
      </c>
      <c r="M539" s="8"/>
    </row>
    <row r="540" spans="1:13" s="3" customFormat="1" ht="12" customHeight="1" x14ac:dyDescent="0.15">
      <c r="A540" s="22" t="s">
        <v>668</v>
      </c>
      <c r="B540" s="75">
        <v>21</v>
      </c>
      <c r="C540" s="75">
        <v>23</v>
      </c>
      <c r="D540" s="2" t="s">
        <v>456</v>
      </c>
      <c r="E540" s="75"/>
      <c r="F540" s="87">
        <f>L512</f>
        <v>5572.42</v>
      </c>
      <c r="G540" s="87">
        <f>L517</f>
        <v>0</v>
      </c>
      <c r="H540" s="87">
        <f>L522</f>
        <v>2665</v>
      </c>
      <c r="I540" s="87">
        <f>L527</f>
        <v>0</v>
      </c>
      <c r="J540" s="87">
        <f>L532</f>
        <v>0</v>
      </c>
      <c r="K540" s="87">
        <f>SUM(F540:J540)</f>
        <v>8237.42</v>
      </c>
      <c r="L540" s="24" t="s">
        <v>312</v>
      </c>
      <c r="M540" s="8"/>
    </row>
    <row r="541" spans="1:13" s="3" customFormat="1" ht="12" customHeight="1" thickBot="1" x14ac:dyDescent="0.2">
      <c r="A541" s="22" t="s">
        <v>669</v>
      </c>
      <c r="B541" s="75">
        <v>21</v>
      </c>
      <c r="C541" s="75">
        <v>24</v>
      </c>
      <c r="D541" s="2" t="s">
        <v>456</v>
      </c>
      <c r="E541" s="75"/>
      <c r="F541" s="87">
        <f>L513</f>
        <v>80385.73000000001</v>
      </c>
      <c r="G541" s="87">
        <f>L518</f>
        <v>5929.8</v>
      </c>
      <c r="H541" s="87">
        <f>L523</f>
        <v>5710</v>
      </c>
      <c r="I541" s="87">
        <f>L528</f>
        <v>0</v>
      </c>
      <c r="J541" s="87">
        <f>L533</f>
        <v>1120.1600000000001</v>
      </c>
      <c r="K541" s="87">
        <f>SUM(F541:J541)</f>
        <v>93145.690000000017</v>
      </c>
      <c r="L541" s="24" t="s">
        <v>312</v>
      </c>
      <c r="M541" s="8"/>
    </row>
    <row r="542" spans="1:13" s="3" customFormat="1" ht="12" customHeight="1" thickTop="1" x14ac:dyDescent="0.15">
      <c r="A542" s="172" t="s">
        <v>364</v>
      </c>
      <c r="B542" s="44">
        <v>21</v>
      </c>
      <c r="C542" s="44">
        <v>25</v>
      </c>
      <c r="D542" s="39" t="s">
        <v>456</v>
      </c>
      <c r="E542" s="44"/>
      <c r="F542" s="89">
        <f t="shared" ref="F542:K542" si="41">SUM(F539:F541)</f>
        <v>226898.08000000002</v>
      </c>
      <c r="G542" s="89">
        <f t="shared" si="41"/>
        <v>18129.849999999999</v>
      </c>
      <c r="H542" s="89">
        <f t="shared" si="41"/>
        <v>19034</v>
      </c>
      <c r="I542" s="89">
        <f t="shared" si="41"/>
        <v>0</v>
      </c>
      <c r="J542" s="89">
        <f t="shared" si="41"/>
        <v>5082.5600000000004</v>
      </c>
      <c r="K542" s="89">
        <f t="shared" si="41"/>
        <v>269144.49</v>
      </c>
      <c r="L542" s="24"/>
      <c r="M542" s="8"/>
    </row>
    <row r="543" spans="1:13" s="3" customFormat="1" ht="12" customHeight="1" x14ac:dyDescent="0.15">
      <c r="A543" s="96" t="s">
        <v>610</v>
      </c>
      <c r="B543" s="105"/>
      <c r="C543" s="105"/>
      <c r="D543" s="105"/>
      <c r="E543" s="105"/>
      <c r="F543" s="87"/>
      <c r="G543" s="87"/>
      <c r="H543" s="87"/>
      <c r="I543" s="87"/>
      <c r="J543" s="87"/>
      <c r="K543" s="87"/>
      <c r="L543" s="87"/>
      <c r="M543" s="8"/>
    </row>
    <row r="544" spans="1:13" s="3" customFormat="1" ht="12" customHeight="1" x14ac:dyDescent="0.15">
      <c r="B544" s="105"/>
      <c r="C544" s="115"/>
      <c r="D544" s="115"/>
      <c r="E544" s="115"/>
      <c r="F544" s="177" t="s">
        <v>724</v>
      </c>
      <c r="G544" s="177" t="s">
        <v>725</v>
      </c>
      <c r="H544" s="177" t="s">
        <v>726</v>
      </c>
      <c r="I544" s="177" t="s">
        <v>727</v>
      </c>
      <c r="J544" s="177" t="s">
        <v>728</v>
      </c>
      <c r="K544" s="177" t="s">
        <v>729</v>
      </c>
      <c r="L544" s="106"/>
      <c r="M544" s="8"/>
    </row>
    <row r="545" spans="1:13" s="3" customFormat="1" ht="12" customHeight="1" x14ac:dyDescent="0.15">
      <c r="A545" s="96" t="s">
        <v>50</v>
      </c>
      <c r="B545" s="105"/>
      <c r="C545" s="115"/>
      <c r="D545" s="115"/>
      <c r="E545" s="115"/>
      <c r="F545" s="103" t="s">
        <v>54</v>
      </c>
      <c r="G545" s="103" t="s">
        <v>55</v>
      </c>
      <c r="H545" s="106" t="s">
        <v>56</v>
      </c>
      <c r="I545" s="106" t="s">
        <v>57</v>
      </c>
      <c r="J545" s="106" t="s">
        <v>58</v>
      </c>
      <c r="K545" s="106" t="s">
        <v>59</v>
      </c>
      <c r="L545" s="106" t="s">
        <v>5</v>
      </c>
      <c r="M545" s="8"/>
    </row>
    <row r="546" spans="1:13" s="3" customFormat="1" ht="12" customHeight="1" x14ac:dyDescent="0.15">
      <c r="A546" s="96" t="s">
        <v>85</v>
      </c>
      <c r="B546" s="105"/>
      <c r="C546" s="115"/>
      <c r="D546" s="115"/>
      <c r="E546" s="115"/>
      <c r="F546" s="24" t="s">
        <v>312</v>
      </c>
      <c r="G546" s="24" t="s">
        <v>312</v>
      </c>
      <c r="H546" s="24" t="s">
        <v>312</v>
      </c>
      <c r="I546" s="24" t="s">
        <v>312</v>
      </c>
      <c r="J546" s="24" t="s">
        <v>312</v>
      </c>
      <c r="K546" s="24" t="s">
        <v>312</v>
      </c>
      <c r="L546" s="24" t="s">
        <v>312</v>
      </c>
      <c r="M546" s="8"/>
    </row>
    <row r="547" spans="1:13" s="3" customFormat="1" ht="12" customHeight="1" x14ac:dyDescent="0.15">
      <c r="A547" s="22" t="s">
        <v>667</v>
      </c>
      <c r="B547" s="105">
        <v>22</v>
      </c>
      <c r="C547" s="115">
        <v>1</v>
      </c>
      <c r="D547" s="2" t="s">
        <v>456</v>
      </c>
      <c r="E547" s="115"/>
      <c r="F547" s="18">
        <v>19695.900000000001</v>
      </c>
      <c r="G547" s="18">
        <v>4133.68</v>
      </c>
      <c r="H547" s="18">
        <v>0</v>
      </c>
      <c r="I547" s="18">
        <v>0</v>
      </c>
      <c r="J547" s="18">
        <v>0</v>
      </c>
      <c r="K547" s="18">
        <v>0</v>
      </c>
      <c r="L547" s="88">
        <f>SUM(F547:K547)</f>
        <v>23829.58</v>
      </c>
      <c r="M547" s="8"/>
    </row>
    <row r="548" spans="1:13" s="3" customFormat="1" ht="12" customHeight="1" x14ac:dyDescent="0.15">
      <c r="A548" s="22" t="s">
        <v>668</v>
      </c>
      <c r="B548" s="105">
        <v>22</v>
      </c>
      <c r="C548" s="115">
        <v>2</v>
      </c>
      <c r="D548" s="2" t="s">
        <v>456</v>
      </c>
      <c r="E548" s="115"/>
      <c r="F548" s="18"/>
      <c r="G548" s="18"/>
      <c r="H548" s="18"/>
      <c r="I548" s="18"/>
      <c r="J548" s="18"/>
      <c r="K548" s="18"/>
      <c r="L548" s="88">
        <f>SUM(F548:K548)</f>
        <v>0</v>
      </c>
      <c r="M548" s="8"/>
    </row>
    <row r="549" spans="1:13" s="3" customFormat="1" ht="12" customHeight="1" thickBot="1" x14ac:dyDescent="0.2">
      <c r="A549" s="22" t="s">
        <v>669</v>
      </c>
      <c r="B549" s="105">
        <v>22</v>
      </c>
      <c r="C549" s="115">
        <v>3</v>
      </c>
      <c r="D549" s="2" t="s">
        <v>456</v>
      </c>
      <c r="E549" s="115"/>
      <c r="F549" s="18"/>
      <c r="G549" s="18"/>
      <c r="H549" s="18"/>
      <c r="I549" s="18"/>
      <c r="J549" s="18"/>
      <c r="K549" s="18"/>
      <c r="L549" s="88">
        <f>SUM(F549:K549)</f>
        <v>0</v>
      </c>
      <c r="M549" s="8"/>
    </row>
    <row r="550" spans="1:13" s="3" customFormat="1" ht="12" customHeight="1" thickTop="1" x14ac:dyDescent="0.15">
      <c r="A550" s="139" t="s">
        <v>63</v>
      </c>
      <c r="B550" s="107">
        <v>22</v>
      </c>
      <c r="C550" s="196">
        <v>4</v>
      </c>
      <c r="D550" s="197" t="s">
        <v>456</v>
      </c>
      <c r="E550" s="196"/>
      <c r="F550" s="108">
        <f t="shared" ref="F550:L550" si="42">SUM(F547:F549)</f>
        <v>19695.900000000001</v>
      </c>
      <c r="G550" s="108">
        <f t="shared" si="42"/>
        <v>4133.68</v>
      </c>
      <c r="H550" s="108">
        <f t="shared" si="42"/>
        <v>0</v>
      </c>
      <c r="I550" s="108">
        <f t="shared" si="42"/>
        <v>0</v>
      </c>
      <c r="J550" s="108">
        <f t="shared" si="42"/>
        <v>0</v>
      </c>
      <c r="K550" s="108">
        <f t="shared" si="42"/>
        <v>0</v>
      </c>
      <c r="L550" s="89">
        <f t="shared" si="42"/>
        <v>23829.58</v>
      </c>
      <c r="M550" s="8"/>
    </row>
    <row r="551" spans="1:13" s="3" customFormat="1" ht="12" customHeight="1" x14ac:dyDescent="0.15">
      <c r="A551" s="96" t="s">
        <v>86</v>
      </c>
      <c r="B551" s="105"/>
      <c r="C551" s="115"/>
      <c r="D551" s="115"/>
      <c r="E551" s="115"/>
      <c r="F551" s="24" t="s">
        <v>312</v>
      </c>
      <c r="G551" s="24" t="s">
        <v>312</v>
      </c>
      <c r="H551" s="24" t="s">
        <v>312</v>
      </c>
      <c r="I551" s="24" t="s">
        <v>312</v>
      </c>
      <c r="J551" s="24" t="s">
        <v>312</v>
      </c>
      <c r="K551" s="24" t="s">
        <v>312</v>
      </c>
      <c r="L551" s="24" t="s">
        <v>312</v>
      </c>
      <c r="M551" s="8"/>
    </row>
    <row r="552" spans="1:13" s="3" customFormat="1" ht="12" customHeight="1" x14ac:dyDescent="0.15">
      <c r="A552" s="22" t="s">
        <v>667</v>
      </c>
      <c r="B552" s="105">
        <v>22</v>
      </c>
      <c r="C552" s="115">
        <v>5</v>
      </c>
      <c r="D552" s="2" t="s">
        <v>456</v>
      </c>
      <c r="E552" s="115"/>
      <c r="F552" s="18"/>
      <c r="G552" s="18"/>
      <c r="H552" s="18"/>
      <c r="I552" s="18"/>
      <c r="J552" s="18"/>
      <c r="K552" s="18"/>
      <c r="L552" s="88">
        <f>SUM(F552:K552)</f>
        <v>0</v>
      </c>
      <c r="M552" s="8"/>
    </row>
    <row r="553" spans="1:13" s="3" customFormat="1" ht="12" customHeight="1" x14ac:dyDescent="0.15">
      <c r="A553" s="22" t="s">
        <v>668</v>
      </c>
      <c r="B553" s="105">
        <v>22</v>
      </c>
      <c r="C553" s="115">
        <v>6</v>
      </c>
      <c r="D553" s="2" t="s">
        <v>456</v>
      </c>
      <c r="E553" s="115"/>
      <c r="F553" s="18"/>
      <c r="G553" s="18"/>
      <c r="H553" s="18"/>
      <c r="I553" s="18"/>
      <c r="J553" s="18"/>
      <c r="K553" s="18"/>
      <c r="L553" s="88">
        <f>SUM(F553:K553)</f>
        <v>0</v>
      </c>
      <c r="M553" s="8"/>
    </row>
    <row r="554" spans="1:13" s="3" customFormat="1" ht="12" customHeight="1" thickBot="1" x14ac:dyDescent="0.2">
      <c r="A554" s="22" t="s">
        <v>669</v>
      </c>
      <c r="B554" s="105">
        <v>22</v>
      </c>
      <c r="C554" s="118">
        <v>7</v>
      </c>
      <c r="D554" s="2" t="s">
        <v>456</v>
      </c>
      <c r="E554" s="118"/>
      <c r="F554" s="18"/>
      <c r="G554" s="18"/>
      <c r="H554" s="18"/>
      <c r="I554" s="18"/>
      <c r="J554" s="18"/>
      <c r="K554" s="18"/>
      <c r="L554" s="88">
        <f>SUM(F554:K554)</f>
        <v>0</v>
      </c>
      <c r="M554" s="8"/>
    </row>
    <row r="555" spans="1:13" s="3" customFormat="1" ht="12" customHeight="1" thickTop="1" x14ac:dyDescent="0.15">
      <c r="A555" s="139" t="s">
        <v>65</v>
      </c>
      <c r="B555" s="107">
        <v>22</v>
      </c>
      <c r="C555" s="107">
        <v>8</v>
      </c>
      <c r="D555" s="197" t="s">
        <v>456</v>
      </c>
      <c r="E555" s="107"/>
      <c r="F555" s="89">
        <f t="shared" ref="F555:L555" si="43">SUM(F552:F554)</f>
        <v>0</v>
      </c>
      <c r="G555" s="89">
        <f t="shared" si="43"/>
        <v>0</v>
      </c>
      <c r="H555" s="89">
        <f t="shared" si="43"/>
        <v>0</v>
      </c>
      <c r="I555" s="89">
        <f t="shared" si="43"/>
        <v>0</v>
      </c>
      <c r="J555" s="89">
        <f t="shared" si="43"/>
        <v>0</v>
      </c>
      <c r="K555" s="89">
        <f t="shared" si="43"/>
        <v>0</v>
      </c>
      <c r="L555" s="89">
        <f t="shared" si="43"/>
        <v>0</v>
      </c>
      <c r="M555" s="8"/>
    </row>
    <row r="556" spans="1:13" s="3" customFormat="1" ht="12" customHeight="1" x14ac:dyDescent="0.15">
      <c r="A556" s="97" t="s">
        <v>87</v>
      </c>
      <c r="B556" s="105"/>
      <c r="C556" s="105"/>
      <c r="D556" s="105"/>
      <c r="E556" s="105"/>
      <c r="F556" s="24" t="s">
        <v>312</v>
      </c>
      <c r="G556" s="24" t="s">
        <v>312</v>
      </c>
      <c r="H556" s="24" t="s">
        <v>312</v>
      </c>
      <c r="I556" s="24" t="s">
        <v>312</v>
      </c>
      <c r="J556" s="24" t="s">
        <v>312</v>
      </c>
      <c r="K556" s="24" t="s">
        <v>312</v>
      </c>
      <c r="L556" s="24" t="s">
        <v>312</v>
      </c>
      <c r="M556" s="8"/>
    </row>
    <row r="557" spans="1:13" s="3" customFormat="1" ht="12" customHeight="1" x14ac:dyDescent="0.15">
      <c r="A557" s="22" t="s">
        <v>667</v>
      </c>
      <c r="B557" s="105">
        <v>22</v>
      </c>
      <c r="C557" s="105">
        <v>9</v>
      </c>
      <c r="D557" s="2" t="s">
        <v>456</v>
      </c>
      <c r="E557" s="10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</row>
    <row r="558" spans="1:13" s="3" customFormat="1" ht="12" customHeight="1" x14ac:dyDescent="0.15">
      <c r="A558" s="22" t="s">
        <v>668</v>
      </c>
      <c r="B558" s="105">
        <v>22</v>
      </c>
      <c r="C558" s="105">
        <v>10</v>
      </c>
      <c r="D558" s="2" t="s">
        <v>456</v>
      </c>
      <c r="E558" s="10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</row>
    <row r="559" spans="1:13" s="3" customFormat="1" ht="12" customHeight="1" thickBot="1" x14ac:dyDescent="0.2">
      <c r="A559" s="22" t="s">
        <v>669</v>
      </c>
      <c r="B559" s="105">
        <v>22</v>
      </c>
      <c r="C559" s="105">
        <v>11</v>
      </c>
      <c r="D559" s="2" t="s">
        <v>456</v>
      </c>
      <c r="E559" s="10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</row>
    <row r="560" spans="1:13" s="3" customFormat="1" ht="12" customHeight="1" thickTop="1" thickBot="1" x14ac:dyDescent="0.2">
      <c r="A560" s="130" t="s">
        <v>67</v>
      </c>
      <c r="B560" s="192">
        <v>22</v>
      </c>
      <c r="C560" s="192">
        <v>12</v>
      </c>
      <c r="D560" s="198" t="s">
        <v>456</v>
      </c>
      <c r="E560" s="192"/>
      <c r="F560" s="194">
        <f>SUM(F557:F559)</f>
        <v>0</v>
      </c>
      <c r="G560" s="194">
        <f t="shared" ref="G560:L560" si="44">SUM(G557:G559)</f>
        <v>0</v>
      </c>
      <c r="H560" s="194">
        <f t="shared" si="44"/>
        <v>0</v>
      </c>
      <c r="I560" s="194">
        <f t="shared" si="44"/>
        <v>0</v>
      </c>
      <c r="J560" s="194">
        <f t="shared" si="44"/>
        <v>0</v>
      </c>
      <c r="K560" s="194">
        <f t="shared" si="44"/>
        <v>0</v>
      </c>
      <c r="L560" s="194">
        <f t="shared" si="44"/>
        <v>0</v>
      </c>
      <c r="M560" s="8"/>
    </row>
    <row r="561" spans="1:13" s="3" customFormat="1" ht="12" customHeight="1" thickTop="1" x14ac:dyDescent="0.15">
      <c r="A561" s="98" t="s">
        <v>88</v>
      </c>
      <c r="B561" s="107">
        <v>22</v>
      </c>
      <c r="C561" s="107">
        <v>13</v>
      </c>
      <c r="D561" s="158" t="s">
        <v>456</v>
      </c>
      <c r="E561" s="107"/>
      <c r="F561" s="89">
        <f>F550+F555+F560</f>
        <v>19695.900000000001</v>
      </c>
      <c r="G561" s="89">
        <f t="shared" ref="G561:L561" si="45">G550+G555+G560</f>
        <v>4133.68</v>
      </c>
      <c r="H561" s="89">
        <f t="shared" si="45"/>
        <v>0</v>
      </c>
      <c r="I561" s="89">
        <f t="shared" si="45"/>
        <v>0</v>
      </c>
      <c r="J561" s="89">
        <f t="shared" si="45"/>
        <v>0</v>
      </c>
      <c r="K561" s="89">
        <f t="shared" si="45"/>
        <v>0</v>
      </c>
      <c r="L561" s="89">
        <f t="shared" si="45"/>
        <v>23829.58</v>
      </c>
      <c r="M561" s="8"/>
    </row>
    <row r="562" spans="1:13" s="3" customFormat="1" ht="12" customHeight="1" x14ac:dyDescent="0.15">
      <c r="A562" s="97"/>
      <c r="B562" s="75"/>
      <c r="C562" s="75"/>
      <c r="D562" s="75"/>
      <c r="E562" s="75"/>
      <c r="F562" s="87"/>
      <c r="G562" s="87"/>
      <c r="H562" s="87"/>
      <c r="I562" s="87"/>
      <c r="J562" s="87"/>
      <c r="K562" s="87"/>
      <c r="L562" s="87"/>
      <c r="M562" s="8"/>
    </row>
    <row r="563" spans="1:13" s="3" customFormat="1" ht="12" customHeight="1" x14ac:dyDescent="0.15">
      <c r="A563" s="97" t="s">
        <v>806</v>
      </c>
      <c r="B563" s="75"/>
      <c r="C563" s="75"/>
      <c r="D563" s="75"/>
      <c r="E563" s="75"/>
      <c r="F563" s="87"/>
      <c r="G563" s="87"/>
      <c r="H563" s="87"/>
      <c r="I563" s="87"/>
      <c r="J563" s="87"/>
      <c r="K563" s="87"/>
      <c r="L563" s="87"/>
      <c r="M563" s="8"/>
    </row>
    <row r="564" spans="1:13" s="3" customFormat="1" ht="12" customHeight="1" x14ac:dyDescent="0.15">
      <c r="A564" s="97" t="s">
        <v>89</v>
      </c>
      <c r="B564" s="75"/>
      <c r="C564" s="75"/>
      <c r="D564" s="75"/>
      <c r="E564" s="75" t="s">
        <v>95</v>
      </c>
      <c r="F564" s="101" t="s">
        <v>90</v>
      </c>
      <c r="G564" s="101" t="s">
        <v>91</v>
      </c>
      <c r="H564" s="101" t="s">
        <v>92</v>
      </c>
      <c r="I564" s="101" t="s">
        <v>93</v>
      </c>
      <c r="J564" s="24" t="s">
        <v>312</v>
      </c>
      <c r="K564" s="24" t="s">
        <v>312</v>
      </c>
      <c r="L564" s="24" t="s">
        <v>312</v>
      </c>
      <c r="M564" s="8"/>
    </row>
    <row r="565" spans="1:13" s="3" customFormat="1" ht="12" customHeight="1" x14ac:dyDescent="0.15">
      <c r="A565" s="99" t="s">
        <v>703</v>
      </c>
      <c r="B565" s="75">
        <v>22</v>
      </c>
      <c r="C565" s="75">
        <v>14</v>
      </c>
      <c r="D565" s="2" t="s">
        <v>456</v>
      </c>
      <c r="E565" s="75">
        <v>561</v>
      </c>
      <c r="F565" s="18">
        <v>2189.4</v>
      </c>
      <c r="G565" s="18">
        <v>247903.7</v>
      </c>
      <c r="H565" s="18">
        <v>400674.97</v>
      </c>
      <c r="I565" s="87">
        <f>SUM(F565:H565)</f>
        <v>650768.06999999995</v>
      </c>
      <c r="J565" s="24" t="s">
        <v>312</v>
      </c>
      <c r="K565" s="24" t="s">
        <v>312</v>
      </c>
      <c r="L565" s="24" t="s">
        <v>312</v>
      </c>
      <c r="M565" s="8"/>
    </row>
    <row r="566" spans="1:13" s="3" customFormat="1" ht="12" customHeight="1" x14ac:dyDescent="0.15">
      <c r="A566" s="99" t="s">
        <v>704</v>
      </c>
      <c r="B566" s="75">
        <v>22</v>
      </c>
      <c r="C566" s="75">
        <v>15</v>
      </c>
      <c r="D566" s="2" t="s">
        <v>456</v>
      </c>
      <c r="E566" s="75">
        <v>562</v>
      </c>
      <c r="F566" s="4">
        <v>0</v>
      </c>
      <c r="G566" s="18">
        <v>0</v>
      </c>
      <c r="H566" s="18">
        <v>62437.5</v>
      </c>
      <c r="I566" s="87">
        <f t="shared" ref="I566:I577" si="46">SUM(F566:H566)</f>
        <v>62437.5</v>
      </c>
      <c r="J566" s="24" t="s">
        <v>312</v>
      </c>
      <c r="K566" s="24" t="s">
        <v>312</v>
      </c>
      <c r="L566" s="24" t="s">
        <v>312</v>
      </c>
      <c r="M566" s="8"/>
    </row>
    <row r="567" spans="1:13" s="3" customFormat="1" ht="12" customHeight="1" x14ac:dyDescent="0.15">
      <c r="A567" s="99" t="s">
        <v>775</v>
      </c>
      <c r="B567" s="75">
        <v>22</v>
      </c>
      <c r="C567" s="75">
        <v>16</v>
      </c>
      <c r="D567" s="2" t="s">
        <v>456</v>
      </c>
      <c r="E567" s="75">
        <v>563</v>
      </c>
      <c r="F567" s="24" t="s">
        <v>312</v>
      </c>
      <c r="G567" s="24" t="s">
        <v>312</v>
      </c>
      <c r="H567" s="18"/>
      <c r="I567" s="87">
        <f t="shared" si="46"/>
        <v>0</v>
      </c>
      <c r="J567" s="24" t="s">
        <v>312</v>
      </c>
      <c r="K567" s="24" t="s">
        <v>312</v>
      </c>
      <c r="L567" s="24" t="s">
        <v>312</v>
      </c>
      <c r="M567" s="8"/>
    </row>
    <row r="568" spans="1:13" s="3" customFormat="1" ht="12" customHeight="1" x14ac:dyDescent="0.15">
      <c r="A568" s="99" t="s">
        <v>708</v>
      </c>
      <c r="B568" s="75">
        <v>22</v>
      </c>
      <c r="C568" s="75">
        <v>17</v>
      </c>
      <c r="D568" s="2" t="s">
        <v>456</v>
      </c>
      <c r="E568" s="75">
        <v>564</v>
      </c>
      <c r="F568" s="18">
        <v>36460.89</v>
      </c>
      <c r="G568" s="18">
        <v>5572.71</v>
      </c>
      <c r="H568" s="18">
        <v>23481.200000000001</v>
      </c>
      <c r="I568" s="87">
        <f t="shared" si="46"/>
        <v>65514.8</v>
      </c>
      <c r="J568" s="24" t="s">
        <v>312</v>
      </c>
      <c r="K568" s="24" t="s">
        <v>312</v>
      </c>
      <c r="L568" s="24" t="s">
        <v>312</v>
      </c>
      <c r="M568" s="8"/>
    </row>
    <row r="569" spans="1:13" s="3" customFormat="1" ht="12" customHeight="1" x14ac:dyDescent="0.15">
      <c r="A569" s="99" t="s">
        <v>705</v>
      </c>
      <c r="B569" s="75">
        <v>22</v>
      </c>
      <c r="C569" s="75">
        <v>18</v>
      </c>
      <c r="D569" s="2" t="s">
        <v>456</v>
      </c>
      <c r="E569" s="75">
        <v>561</v>
      </c>
      <c r="F569" s="18">
        <v>0</v>
      </c>
      <c r="G569" s="18">
        <v>0</v>
      </c>
      <c r="H569" s="18">
        <v>56272.71</v>
      </c>
      <c r="I569" s="87">
        <f t="shared" si="46"/>
        <v>56272.71</v>
      </c>
      <c r="J569" s="24" t="s">
        <v>312</v>
      </c>
      <c r="K569" s="24" t="s">
        <v>312</v>
      </c>
      <c r="L569" s="24" t="s">
        <v>312</v>
      </c>
      <c r="M569" s="8"/>
    </row>
    <row r="570" spans="1:13" s="3" customFormat="1" ht="12" customHeight="1" x14ac:dyDescent="0.15">
      <c r="A570" s="99" t="s">
        <v>706</v>
      </c>
      <c r="B570" s="75">
        <v>22</v>
      </c>
      <c r="C570" s="75">
        <v>19</v>
      </c>
      <c r="D570" s="2" t="s">
        <v>456</v>
      </c>
      <c r="E570" s="75">
        <v>562</v>
      </c>
      <c r="F570" s="18">
        <v>0</v>
      </c>
      <c r="G570" s="18">
        <v>0</v>
      </c>
      <c r="H570" s="18">
        <v>0</v>
      </c>
      <c r="I570" s="87">
        <f t="shared" si="46"/>
        <v>0</v>
      </c>
      <c r="J570" s="24" t="s">
        <v>312</v>
      </c>
      <c r="K570" s="24" t="s">
        <v>312</v>
      </c>
      <c r="L570" s="24" t="s">
        <v>312</v>
      </c>
      <c r="M570" s="8"/>
    </row>
    <row r="571" spans="1:13" s="3" customFormat="1" ht="12" customHeight="1" x14ac:dyDescent="0.15">
      <c r="A571" s="146" t="s">
        <v>776</v>
      </c>
      <c r="B571" s="75">
        <v>22</v>
      </c>
      <c r="C571" s="75">
        <v>20</v>
      </c>
      <c r="D571" s="2" t="s">
        <v>456</v>
      </c>
      <c r="E571" s="75">
        <v>563</v>
      </c>
      <c r="F571" s="24" t="s">
        <v>312</v>
      </c>
      <c r="G571" s="24" t="s">
        <v>312</v>
      </c>
      <c r="H571" s="18"/>
      <c r="I571" s="87">
        <f t="shared" si="46"/>
        <v>0</v>
      </c>
      <c r="J571" s="24" t="s">
        <v>312</v>
      </c>
      <c r="K571" s="24" t="s">
        <v>312</v>
      </c>
      <c r="L571" s="24" t="s">
        <v>312</v>
      </c>
      <c r="M571" s="8"/>
    </row>
    <row r="572" spans="1:13" s="3" customFormat="1" ht="12" customHeight="1" x14ac:dyDescent="0.15">
      <c r="A572" s="146" t="s">
        <v>707</v>
      </c>
      <c r="B572" s="75">
        <v>22</v>
      </c>
      <c r="C572" s="75">
        <v>21</v>
      </c>
      <c r="D572" s="2" t="s">
        <v>456</v>
      </c>
      <c r="E572" s="75">
        <v>564</v>
      </c>
      <c r="F572" s="18"/>
      <c r="G572" s="18"/>
      <c r="H572" s="18"/>
      <c r="I572" s="87">
        <f t="shared" si="46"/>
        <v>0</v>
      </c>
      <c r="J572" s="24" t="s">
        <v>312</v>
      </c>
      <c r="K572" s="24" t="s">
        <v>312</v>
      </c>
      <c r="L572" s="24" t="s">
        <v>312</v>
      </c>
      <c r="M572" s="8"/>
    </row>
    <row r="573" spans="1:13" s="3" customFormat="1" ht="12" customHeight="1" x14ac:dyDescent="0.15">
      <c r="A573" s="146" t="s">
        <v>670</v>
      </c>
      <c r="B573" s="75">
        <v>22</v>
      </c>
      <c r="C573" s="75">
        <v>22</v>
      </c>
      <c r="D573" s="2" t="s">
        <v>456</v>
      </c>
      <c r="E573" s="75">
        <v>569</v>
      </c>
      <c r="F573" s="18">
        <v>49600.65</v>
      </c>
      <c r="G573" s="18"/>
      <c r="H573" s="18"/>
      <c r="I573" s="87">
        <f t="shared" si="46"/>
        <v>49600.65</v>
      </c>
      <c r="J573" s="24" t="s">
        <v>312</v>
      </c>
      <c r="K573" s="24" t="s">
        <v>312</v>
      </c>
      <c r="L573" s="24" t="s">
        <v>312</v>
      </c>
      <c r="M573" s="8"/>
    </row>
    <row r="574" spans="1:13" s="3" customFormat="1" ht="12" customHeight="1" x14ac:dyDescent="0.15">
      <c r="A574" s="22" t="s">
        <v>709</v>
      </c>
      <c r="B574" s="75">
        <v>22</v>
      </c>
      <c r="C574" s="75">
        <v>23</v>
      </c>
      <c r="D574" s="2" t="s">
        <v>456</v>
      </c>
      <c r="E574" s="75">
        <v>561</v>
      </c>
      <c r="F574" s="18"/>
      <c r="G574" s="18"/>
      <c r="H574" s="18"/>
      <c r="I574" s="87">
        <f t="shared" si="46"/>
        <v>0</v>
      </c>
      <c r="J574" s="24" t="s">
        <v>312</v>
      </c>
      <c r="K574" s="24" t="s">
        <v>312</v>
      </c>
      <c r="L574" s="24" t="s">
        <v>312</v>
      </c>
      <c r="M574" s="8"/>
    </row>
    <row r="575" spans="1:13" s="3" customFormat="1" ht="12" customHeight="1" x14ac:dyDescent="0.15">
      <c r="A575" s="22" t="s">
        <v>710</v>
      </c>
      <c r="B575" s="75">
        <v>22</v>
      </c>
      <c r="C575" s="75">
        <v>24</v>
      </c>
      <c r="D575" s="2" t="s">
        <v>456</v>
      </c>
      <c r="E575" s="75">
        <v>562</v>
      </c>
      <c r="F575" s="18"/>
      <c r="G575" s="18"/>
      <c r="H575" s="18">
        <v>37344.400000000001</v>
      </c>
      <c r="I575" s="87">
        <f t="shared" si="46"/>
        <v>37344.400000000001</v>
      </c>
      <c r="J575" s="24" t="s">
        <v>312</v>
      </c>
      <c r="K575" s="24" t="s">
        <v>312</v>
      </c>
      <c r="L575" s="24" t="s">
        <v>312</v>
      </c>
      <c r="M575" s="8"/>
    </row>
    <row r="576" spans="1:13" s="3" customFormat="1" ht="12" customHeight="1" x14ac:dyDescent="0.15">
      <c r="A576" s="22" t="s">
        <v>777</v>
      </c>
      <c r="B576" s="75">
        <v>22</v>
      </c>
      <c r="C576" s="75">
        <v>25</v>
      </c>
      <c r="D576" s="2" t="s">
        <v>456</v>
      </c>
      <c r="E576" s="75">
        <v>563</v>
      </c>
      <c r="F576" s="24" t="s">
        <v>312</v>
      </c>
      <c r="G576" s="24" t="s">
        <v>312</v>
      </c>
      <c r="H576" s="18"/>
      <c r="I576" s="87">
        <f t="shared" si="46"/>
        <v>0</v>
      </c>
      <c r="J576" s="24" t="s">
        <v>312</v>
      </c>
      <c r="K576" s="24" t="s">
        <v>312</v>
      </c>
      <c r="L576" s="24" t="s">
        <v>312</v>
      </c>
      <c r="M576" s="8"/>
    </row>
    <row r="577" spans="1:13" s="3" customFormat="1" ht="12" customHeight="1" x14ac:dyDescent="0.15">
      <c r="A577" s="22" t="s">
        <v>711</v>
      </c>
      <c r="B577" s="75">
        <v>22</v>
      </c>
      <c r="C577" s="75">
        <v>26</v>
      </c>
      <c r="D577" s="2" t="s">
        <v>456</v>
      </c>
      <c r="E577" s="75">
        <v>564</v>
      </c>
      <c r="F577" s="18"/>
      <c r="G577" s="18"/>
      <c r="H577" s="18"/>
      <c r="I577" s="87">
        <f t="shared" si="46"/>
        <v>0</v>
      </c>
      <c r="J577" s="24" t="s">
        <v>312</v>
      </c>
      <c r="K577" s="24" t="s">
        <v>312</v>
      </c>
      <c r="L577" s="24" t="s">
        <v>312</v>
      </c>
      <c r="M577" s="8"/>
    </row>
    <row r="578" spans="1:13" s="3" customFormat="1" ht="12" customHeight="1" x14ac:dyDescent="0.15">
      <c r="A578" s="173" t="s">
        <v>778</v>
      </c>
      <c r="B578" s="105"/>
      <c r="C578" s="105"/>
      <c r="D578" s="105"/>
      <c r="E578" s="105"/>
      <c r="F578" s="103"/>
      <c r="G578" s="103"/>
      <c r="H578" s="103"/>
      <c r="I578" s="103"/>
      <c r="J578" s="103"/>
      <c r="K578" s="103"/>
      <c r="L578" s="103"/>
      <c r="M578" s="8"/>
    </row>
    <row r="579" spans="1:13" s="3" customFormat="1" ht="12" customHeight="1" x14ac:dyDescent="0.15">
      <c r="A579" s="147" t="s">
        <v>688</v>
      </c>
      <c r="B579" s="105"/>
      <c r="C579" s="105"/>
      <c r="D579" s="105"/>
      <c r="E579" s="105"/>
      <c r="F579" s="103"/>
      <c r="G579" s="103"/>
      <c r="H579" s="103"/>
      <c r="I579" s="103"/>
      <c r="J579" s="103"/>
      <c r="K579" s="103"/>
      <c r="L579" s="103"/>
      <c r="M579" s="8"/>
    </row>
    <row r="580" spans="1:13" s="3" customFormat="1" ht="12" customHeight="1" x14ac:dyDescent="0.15">
      <c r="A580" s="96" t="s">
        <v>89</v>
      </c>
      <c r="B580" s="105"/>
      <c r="C580" s="105"/>
      <c r="D580" s="105"/>
      <c r="E580" s="105"/>
      <c r="F580" s="103" t="s">
        <v>94</v>
      </c>
      <c r="G580" s="103" t="s">
        <v>95</v>
      </c>
      <c r="H580" s="103" t="s">
        <v>61</v>
      </c>
      <c r="I580" s="103" t="s">
        <v>96</v>
      </c>
      <c r="J580" s="103" t="s">
        <v>62</v>
      </c>
      <c r="K580" s="103" t="s">
        <v>5</v>
      </c>
      <c r="L580" s="103"/>
      <c r="M580" s="8"/>
    </row>
    <row r="581" spans="1:13" s="3" customFormat="1" ht="12" customHeight="1" x14ac:dyDescent="0.15">
      <c r="A581" s="3" t="s">
        <v>671</v>
      </c>
      <c r="B581" s="75">
        <v>23</v>
      </c>
      <c r="C581" s="75">
        <v>1</v>
      </c>
      <c r="D581" s="2" t="s">
        <v>456</v>
      </c>
      <c r="E581" s="75"/>
      <c r="F581" s="102">
        <v>2721</v>
      </c>
      <c r="G581" s="103" t="s">
        <v>97</v>
      </c>
      <c r="H581" s="18">
        <v>46746.78</v>
      </c>
      <c r="I581" s="18">
        <v>17880.57</v>
      </c>
      <c r="J581" s="18">
        <v>20821.11</v>
      </c>
      <c r="K581" s="104">
        <f t="shared" ref="K581:K587" si="47">SUM(H581:J581)</f>
        <v>85448.459999999992</v>
      </c>
      <c r="L581" s="24" t="s">
        <v>312</v>
      </c>
      <c r="M581" s="8"/>
    </row>
    <row r="582" spans="1:13" s="3" customFormat="1" ht="12" customHeight="1" x14ac:dyDescent="0.15">
      <c r="A582" s="3" t="s">
        <v>672</v>
      </c>
      <c r="B582" s="75">
        <v>23</v>
      </c>
      <c r="C582" s="75">
        <v>2</v>
      </c>
      <c r="D582" s="2" t="s">
        <v>456</v>
      </c>
      <c r="E582" s="75"/>
      <c r="F582" s="102">
        <v>2722</v>
      </c>
      <c r="G582" s="103" t="s">
        <v>97</v>
      </c>
      <c r="H582" s="18">
        <v>3962.4</v>
      </c>
      <c r="I582" s="18">
        <v>0</v>
      </c>
      <c r="J582" s="18">
        <v>1120.1600000000001</v>
      </c>
      <c r="K582" s="104">
        <f t="shared" si="47"/>
        <v>5082.5600000000004</v>
      </c>
      <c r="L582" s="24" t="s">
        <v>312</v>
      </c>
      <c r="M582" s="8"/>
    </row>
    <row r="583" spans="1:13" s="3" customFormat="1" ht="12" customHeight="1" x14ac:dyDescent="0.15">
      <c r="A583" s="3" t="s">
        <v>673</v>
      </c>
      <c r="B583" s="75">
        <v>23</v>
      </c>
      <c r="C583" s="75">
        <v>3</v>
      </c>
      <c r="D583" s="2" t="s">
        <v>456</v>
      </c>
      <c r="E583" s="75"/>
      <c r="F583" s="102">
        <v>2723</v>
      </c>
      <c r="G583" s="103" t="s">
        <v>97</v>
      </c>
      <c r="H583" s="18">
        <v>0</v>
      </c>
      <c r="I583" s="18">
        <v>0</v>
      </c>
      <c r="J583" s="18">
        <v>2442.4899999999998</v>
      </c>
      <c r="K583" s="104">
        <f t="shared" si="47"/>
        <v>2442.4899999999998</v>
      </c>
      <c r="L583" s="24" t="s">
        <v>312</v>
      </c>
      <c r="M583" s="8"/>
    </row>
    <row r="584" spans="1:13" s="3" customFormat="1" ht="12" customHeight="1" x14ac:dyDescent="0.15">
      <c r="A584" s="22" t="s">
        <v>674</v>
      </c>
      <c r="B584" s="75">
        <v>23</v>
      </c>
      <c r="C584" s="75">
        <v>4</v>
      </c>
      <c r="D584" s="2" t="s">
        <v>456</v>
      </c>
      <c r="E584" s="75"/>
      <c r="F584" s="102">
        <v>2724</v>
      </c>
      <c r="G584" s="103" t="s">
        <v>97</v>
      </c>
      <c r="H584" s="18">
        <v>0</v>
      </c>
      <c r="I584" s="18">
        <v>0</v>
      </c>
      <c r="J584" s="18">
        <v>0</v>
      </c>
      <c r="K584" s="104">
        <f t="shared" si="47"/>
        <v>0</v>
      </c>
      <c r="L584" s="24" t="s">
        <v>312</v>
      </c>
      <c r="M584" s="8"/>
    </row>
    <row r="585" spans="1:13" s="3" customFormat="1" ht="12" customHeight="1" x14ac:dyDescent="0.15">
      <c r="A585" s="171" t="s">
        <v>686</v>
      </c>
      <c r="B585" s="75">
        <v>23</v>
      </c>
      <c r="C585" s="75">
        <v>5</v>
      </c>
      <c r="D585" s="2" t="s">
        <v>456</v>
      </c>
      <c r="E585" s="75"/>
      <c r="F585" s="102">
        <v>2725</v>
      </c>
      <c r="G585" s="103" t="s">
        <v>97</v>
      </c>
      <c r="H585" s="18">
        <v>3344.2</v>
      </c>
      <c r="I585" s="18">
        <v>0</v>
      </c>
      <c r="J585" s="18">
        <v>0</v>
      </c>
      <c r="K585" s="104">
        <f t="shared" si="47"/>
        <v>3344.2</v>
      </c>
      <c r="L585" s="24" t="s">
        <v>312</v>
      </c>
      <c r="M585" s="8"/>
    </row>
    <row r="586" spans="1:13" s="3" customFormat="1" ht="12" customHeight="1" x14ac:dyDescent="0.15">
      <c r="A586" s="22" t="s">
        <v>675</v>
      </c>
      <c r="B586" s="75">
        <v>23</v>
      </c>
      <c r="C586" s="75">
        <v>6</v>
      </c>
      <c r="D586" s="2" t="s">
        <v>456</v>
      </c>
      <c r="E586" s="75"/>
      <c r="F586" s="102">
        <v>2726</v>
      </c>
      <c r="G586" s="103" t="s">
        <v>97</v>
      </c>
      <c r="H586" s="18">
        <v>0</v>
      </c>
      <c r="I586" s="18">
        <v>0</v>
      </c>
      <c r="J586" s="18">
        <v>0</v>
      </c>
      <c r="K586" s="104">
        <f t="shared" si="47"/>
        <v>0</v>
      </c>
      <c r="L586" s="24" t="s">
        <v>312</v>
      </c>
      <c r="M586" s="8"/>
    </row>
    <row r="587" spans="1:13" s="3" customFormat="1" ht="12" customHeight="1" thickBot="1" x14ac:dyDescent="0.2">
      <c r="A587" s="3" t="s">
        <v>689</v>
      </c>
      <c r="B587" s="75">
        <v>23</v>
      </c>
      <c r="C587" s="75">
        <v>7</v>
      </c>
      <c r="D587" s="2" t="s">
        <v>456</v>
      </c>
      <c r="E587" s="75"/>
      <c r="F587" s="102">
        <v>2729</v>
      </c>
      <c r="G587" s="103" t="s">
        <v>97</v>
      </c>
      <c r="H587" s="18">
        <v>0</v>
      </c>
      <c r="I587" s="18">
        <v>0</v>
      </c>
      <c r="J587" s="18">
        <v>0</v>
      </c>
      <c r="K587" s="104">
        <f t="shared" si="47"/>
        <v>0</v>
      </c>
      <c r="L587" s="24" t="s">
        <v>312</v>
      </c>
      <c r="M587" s="8"/>
    </row>
    <row r="588" spans="1:13" s="3" customFormat="1" ht="12" customHeight="1" thickTop="1" x14ac:dyDescent="0.15">
      <c r="A588" s="98" t="s">
        <v>364</v>
      </c>
      <c r="B588" s="44">
        <v>23</v>
      </c>
      <c r="C588" s="44">
        <v>8</v>
      </c>
      <c r="D588" s="39" t="s">
        <v>456</v>
      </c>
      <c r="E588" s="44"/>
      <c r="F588" s="148">
        <v>2700</v>
      </c>
      <c r="G588" s="149" t="s">
        <v>97</v>
      </c>
      <c r="H588" s="108">
        <f>SUM(H581:H587)</f>
        <v>54053.38</v>
      </c>
      <c r="I588" s="108">
        <f>SUM(I581:I587)</f>
        <v>17880.57</v>
      </c>
      <c r="J588" s="108">
        <f>SUM(J581:J587)</f>
        <v>24383.760000000002</v>
      </c>
      <c r="K588" s="108">
        <f>SUM(K581:K587)</f>
        <v>96317.709999999992</v>
      </c>
      <c r="L588" s="24" t="s">
        <v>312</v>
      </c>
      <c r="M588" s="8"/>
    </row>
    <row r="589" spans="1:13" s="3" customFormat="1" ht="12" customHeight="1" x14ac:dyDescent="0.15">
      <c r="A589" s="22"/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</row>
    <row r="590" spans="1:13" s="3" customFormat="1" ht="12" customHeight="1" x14ac:dyDescent="0.15">
      <c r="A590" s="96" t="s">
        <v>98</v>
      </c>
      <c r="B590" s="105"/>
      <c r="C590" s="105"/>
      <c r="D590" s="105"/>
      <c r="E590" s="105"/>
      <c r="F590" s="103"/>
      <c r="G590" s="103"/>
      <c r="H590" s="103"/>
      <c r="I590" s="103"/>
      <c r="J590" s="103"/>
      <c r="K590" s="103"/>
      <c r="L590" s="103"/>
      <c r="M590" s="8"/>
    </row>
    <row r="591" spans="1:13" s="3" customFormat="1" ht="12" customHeight="1" x14ac:dyDescent="0.15">
      <c r="A591" s="96" t="s">
        <v>89</v>
      </c>
      <c r="B591" s="105"/>
      <c r="C591" s="105"/>
      <c r="D591" s="105"/>
      <c r="E591" s="105"/>
      <c r="F591" s="103" t="s">
        <v>94</v>
      </c>
      <c r="G591" s="103" t="s">
        <v>95</v>
      </c>
      <c r="H591" s="103" t="s">
        <v>61</v>
      </c>
      <c r="I591" s="103" t="s">
        <v>96</v>
      </c>
      <c r="J591" s="103" t="s">
        <v>62</v>
      </c>
      <c r="K591" s="103" t="s">
        <v>5</v>
      </c>
      <c r="L591" s="103"/>
      <c r="M591" s="8"/>
    </row>
    <row r="592" spans="1:13" s="3" customFormat="1" ht="12" customHeight="1" x14ac:dyDescent="0.15">
      <c r="A592" s="22" t="s">
        <v>676</v>
      </c>
      <c r="B592" s="105">
        <v>23</v>
      </c>
      <c r="C592" s="105">
        <v>9</v>
      </c>
      <c r="D592" s="2" t="s">
        <v>456</v>
      </c>
      <c r="E592" s="105"/>
      <c r="F592" s="103" t="s">
        <v>500</v>
      </c>
      <c r="G592" s="102">
        <v>710</v>
      </c>
      <c r="H592" s="18"/>
      <c r="I592" s="18"/>
      <c r="J592" s="18"/>
      <c r="K592" s="104">
        <f>SUM(H592:J592)</f>
        <v>0</v>
      </c>
      <c r="L592" s="24" t="s">
        <v>312</v>
      </c>
      <c r="M592" s="8"/>
    </row>
    <row r="593" spans="1:13" s="3" customFormat="1" ht="12" customHeight="1" x14ac:dyDescent="0.15">
      <c r="A593" s="22" t="s">
        <v>677</v>
      </c>
      <c r="B593" s="105">
        <v>23</v>
      </c>
      <c r="C593" s="105">
        <v>10</v>
      </c>
      <c r="D593" s="2" t="s">
        <v>456</v>
      </c>
      <c r="E593" s="105"/>
      <c r="F593" s="103" t="s">
        <v>500</v>
      </c>
      <c r="G593" s="102">
        <v>720</v>
      </c>
      <c r="H593" s="18"/>
      <c r="I593" s="18"/>
      <c r="J593" s="18"/>
      <c r="K593" s="104">
        <f>SUM(H593:J593)</f>
        <v>0</v>
      </c>
      <c r="L593" s="24" t="s">
        <v>312</v>
      </c>
      <c r="M593" s="8"/>
    </row>
    <row r="594" spans="1:13" s="3" customFormat="1" ht="12" customHeight="1" thickBot="1" x14ac:dyDescent="0.2">
      <c r="A594" s="22" t="s">
        <v>678</v>
      </c>
      <c r="B594" s="105">
        <v>23</v>
      </c>
      <c r="C594" s="105">
        <v>11</v>
      </c>
      <c r="D594" s="2" t="s">
        <v>456</v>
      </c>
      <c r="E594" s="105"/>
      <c r="F594" s="103" t="s">
        <v>500</v>
      </c>
      <c r="G594" s="102">
        <v>730</v>
      </c>
      <c r="H594" s="18">
        <v>43840.05</v>
      </c>
      <c r="I594" s="18"/>
      <c r="J594" s="18"/>
      <c r="K594" s="104">
        <f>SUM(H594:J594)</f>
        <v>43840.05</v>
      </c>
      <c r="L594" s="24" t="s">
        <v>312</v>
      </c>
      <c r="M594" s="8"/>
    </row>
    <row r="595" spans="1:13" s="3" customFormat="1" ht="12" customHeight="1" thickTop="1" x14ac:dyDescent="0.15">
      <c r="A595" s="98" t="s">
        <v>364</v>
      </c>
      <c r="B595" s="44">
        <v>23</v>
      </c>
      <c r="C595" s="44">
        <v>12</v>
      </c>
      <c r="D595" s="39" t="s">
        <v>456</v>
      </c>
      <c r="E595" s="44"/>
      <c r="F595" s="149" t="s">
        <v>500</v>
      </c>
      <c r="G595" s="148">
        <v>700</v>
      </c>
      <c r="H595" s="108">
        <f>SUM(H592:H594)</f>
        <v>43840.05</v>
      </c>
      <c r="I595" s="108">
        <f>SUM(I592:I594)</f>
        <v>0</v>
      </c>
      <c r="J595" s="108">
        <f>SUM(J592:J594)</f>
        <v>0</v>
      </c>
      <c r="K595" s="108">
        <f>SUM(K592:K594)</f>
        <v>43840.05</v>
      </c>
      <c r="L595" s="24" t="s">
        <v>312</v>
      </c>
      <c r="M595" s="8"/>
    </row>
    <row r="596" spans="1:13" s="3" customFormat="1" ht="12" customHeight="1" x14ac:dyDescent="0.15">
      <c r="A596" s="22"/>
      <c r="B596" s="105"/>
      <c r="C596" s="105"/>
      <c r="D596" s="105"/>
      <c r="E596" s="105"/>
      <c r="F596" s="103"/>
      <c r="G596" s="103"/>
      <c r="H596" s="103"/>
      <c r="I596" s="103"/>
      <c r="J596" s="103"/>
      <c r="K596" s="103"/>
      <c r="L596" s="88"/>
      <c r="M596" s="8"/>
    </row>
    <row r="597" spans="1:13" s="3" customFormat="1" ht="12" customHeight="1" x14ac:dyDescent="0.15">
      <c r="A597" s="96"/>
      <c r="B597" s="105"/>
      <c r="C597" s="105"/>
      <c r="D597" s="105"/>
      <c r="E597" s="105"/>
      <c r="F597" s="103"/>
      <c r="G597" s="103"/>
      <c r="H597" s="103"/>
      <c r="I597" s="103"/>
      <c r="J597" s="103"/>
      <c r="K597" s="103"/>
      <c r="L597" s="88"/>
      <c r="M597" s="8"/>
    </row>
    <row r="598" spans="1:13" s="3" customFormat="1" ht="12" customHeight="1" x14ac:dyDescent="0.15">
      <c r="A598" s="96" t="s">
        <v>611</v>
      </c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88"/>
      <c r="M598" s="8"/>
    </row>
    <row r="599" spans="1:13" s="3" customFormat="1" ht="12" customHeight="1" x14ac:dyDescent="0.15">
      <c r="B599" s="105"/>
      <c r="C599" s="105"/>
      <c r="D599" s="105"/>
      <c r="E599" s="105"/>
      <c r="F599" s="177" t="s">
        <v>724</v>
      </c>
      <c r="G599" s="177" t="s">
        <v>725</v>
      </c>
      <c r="H599" s="177" t="s">
        <v>726</v>
      </c>
      <c r="I599" s="177" t="s">
        <v>727</v>
      </c>
      <c r="J599" s="177" t="s">
        <v>728</v>
      </c>
      <c r="K599" s="177" t="s">
        <v>729</v>
      </c>
      <c r="L599" s="88"/>
      <c r="M599" s="8"/>
    </row>
    <row r="600" spans="1:13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54</v>
      </c>
      <c r="G600" s="103" t="s">
        <v>55</v>
      </c>
      <c r="H600" s="103" t="s">
        <v>56</v>
      </c>
      <c r="I600" s="103" t="s">
        <v>57</v>
      </c>
      <c r="J600" s="103" t="s">
        <v>58</v>
      </c>
      <c r="K600" s="103" t="s">
        <v>59</v>
      </c>
      <c r="L600" s="106" t="s">
        <v>5</v>
      </c>
      <c r="M600" s="8"/>
    </row>
    <row r="601" spans="1:13" s="3" customFormat="1" ht="12" customHeight="1" x14ac:dyDescent="0.15">
      <c r="A601" s="22" t="s">
        <v>667</v>
      </c>
      <c r="B601" s="75">
        <v>23</v>
      </c>
      <c r="C601" s="75">
        <v>13</v>
      </c>
      <c r="D601" s="2" t="s">
        <v>456</v>
      </c>
      <c r="E601" s="75"/>
      <c r="F601" s="18">
        <v>3100</v>
      </c>
      <c r="G601" s="18">
        <v>485.77</v>
      </c>
      <c r="H601" s="18">
        <v>0</v>
      </c>
      <c r="I601" s="18">
        <v>56.55</v>
      </c>
      <c r="J601" s="18">
        <v>0</v>
      </c>
      <c r="K601" s="18">
        <v>0</v>
      </c>
      <c r="L601" s="88">
        <f>SUM(F601:K601)</f>
        <v>3642.32</v>
      </c>
      <c r="M601" s="8"/>
    </row>
    <row r="602" spans="1:13" s="3" customFormat="1" ht="12" customHeight="1" x14ac:dyDescent="0.15">
      <c r="A602" s="22" t="s">
        <v>668</v>
      </c>
      <c r="B602" s="75">
        <v>23</v>
      </c>
      <c r="C602" s="75">
        <v>14</v>
      </c>
      <c r="D602" s="2" t="s">
        <v>456</v>
      </c>
      <c r="E602" s="75"/>
      <c r="F602" s="18">
        <v>0</v>
      </c>
      <c r="G602" s="18">
        <v>0</v>
      </c>
      <c r="H602" s="18">
        <v>1061.8</v>
      </c>
      <c r="I602" s="18">
        <v>0</v>
      </c>
      <c r="J602" s="18">
        <v>0</v>
      </c>
      <c r="K602" s="18">
        <v>0</v>
      </c>
      <c r="L602" s="88">
        <f>SUM(F602:K602)</f>
        <v>1061.8</v>
      </c>
      <c r="M602" s="8"/>
    </row>
    <row r="603" spans="1:13" s="3" customFormat="1" ht="12" customHeight="1" thickBot="1" x14ac:dyDescent="0.2">
      <c r="A603" s="22" t="s">
        <v>679</v>
      </c>
      <c r="B603" s="75">
        <v>23</v>
      </c>
      <c r="C603" s="75">
        <v>15</v>
      </c>
      <c r="D603" s="2" t="s">
        <v>456</v>
      </c>
      <c r="E603" s="75"/>
      <c r="F603" s="18">
        <v>0</v>
      </c>
      <c r="G603" s="18">
        <v>0</v>
      </c>
      <c r="H603" s="18">
        <v>640.86</v>
      </c>
      <c r="I603" s="18">
        <v>0</v>
      </c>
      <c r="J603" s="18">
        <v>0</v>
      </c>
      <c r="K603" s="18">
        <v>0</v>
      </c>
      <c r="L603" s="88">
        <f>SUM(F603:K603)</f>
        <v>640.86</v>
      </c>
      <c r="M603" s="8"/>
    </row>
    <row r="604" spans="1:13" s="3" customFormat="1" ht="12" customHeight="1" thickTop="1" x14ac:dyDescent="0.15">
      <c r="A604" s="98" t="s">
        <v>364</v>
      </c>
      <c r="B604" s="107">
        <v>23</v>
      </c>
      <c r="C604" s="107">
        <v>16</v>
      </c>
      <c r="D604" s="39" t="s">
        <v>456</v>
      </c>
      <c r="E604" s="107"/>
      <c r="F604" s="108">
        <f t="shared" ref="F604:L604" si="48">SUM(F601:F603)</f>
        <v>3100</v>
      </c>
      <c r="G604" s="108">
        <f t="shared" si="48"/>
        <v>485.77</v>
      </c>
      <c r="H604" s="108">
        <f t="shared" si="48"/>
        <v>1702.6599999999999</v>
      </c>
      <c r="I604" s="108">
        <f t="shared" si="48"/>
        <v>56.55</v>
      </c>
      <c r="J604" s="108">
        <f t="shared" si="48"/>
        <v>0</v>
      </c>
      <c r="K604" s="108">
        <f t="shared" si="48"/>
        <v>0</v>
      </c>
      <c r="L604" s="89">
        <f t="shared" si="48"/>
        <v>5344.98</v>
      </c>
      <c r="M604" s="8"/>
    </row>
    <row r="605" spans="1:13" s="3" customFormat="1" ht="12" customHeight="1" x14ac:dyDescent="0.15">
      <c r="A605" s="97"/>
      <c r="B605" s="105"/>
      <c r="C605" s="105"/>
      <c r="D605" s="105"/>
      <c r="E605" s="105"/>
      <c r="F605" s="109"/>
      <c r="G605" s="109"/>
      <c r="H605" s="109"/>
      <c r="I605" s="109"/>
      <c r="J605" s="109"/>
      <c r="K605" s="109"/>
      <c r="L605" s="109"/>
      <c r="M605" s="8"/>
    </row>
    <row r="606" spans="1:13" s="3" customFormat="1" ht="12" customHeight="1" x14ac:dyDescent="0.15">
      <c r="A606" s="97"/>
      <c r="B606" s="105"/>
      <c r="C606" s="105"/>
      <c r="D606" s="105"/>
      <c r="E606" s="105"/>
      <c r="F606" s="150" t="s">
        <v>53</v>
      </c>
      <c r="G606" s="151"/>
      <c r="H606" s="151"/>
      <c r="I606" s="150" t="s">
        <v>53</v>
      </c>
      <c r="J606" s="109"/>
      <c r="K606" s="109"/>
      <c r="L606" s="109"/>
      <c r="M606" s="8"/>
    </row>
    <row r="607" spans="1:13" s="3" customFormat="1" ht="12" customHeight="1" x14ac:dyDescent="0.15">
      <c r="A607" s="97" t="s">
        <v>99</v>
      </c>
      <c r="B607" s="105"/>
      <c r="C607" s="105"/>
      <c r="D607" s="105"/>
      <c r="E607" s="105"/>
      <c r="F607" s="121" t="s">
        <v>717</v>
      </c>
      <c r="G607" s="109">
        <f>SUM(F19)</f>
        <v>43763.689999999995</v>
      </c>
      <c r="H607" s="109">
        <f>SUM(F44)</f>
        <v>43763.69</v>
      </c>
      <c r="I607" s="121" t="s">
        <v>100</v>
      </c>
      <c r="J607" s="109">
        <f>G607-H607</f>
        <v>0</v>
      </c>
      <c r="K607" s="109"/>
      <c r="L607" s="109"/>
      <c r="M607" s="8"/>
    </row>
    <row r="608" spans="1:13" s="3" customFormat="1" ht="12" customHeight="1" x14ac:dyDescent="0.15">
      <c r="A608" s="97" t="s">
        <v>101</v>
      </c>
      <c r="B608" s="105"/>
      <c r="C608" s="105"/>
      <c r="D608" s="105"/>
      <c r="E608" s="105"/>
      <c r="F608" s="121" t="s">
        <v>718</v>
      </c>
      <c r="G608" s="109">
        <f>SUM(G19)</f>
        <v>3279.9</v>
      </c>
      <c r="H608" s="109">
        <f>SUM(G44)</f>
        <v>3279.9</v>
      </c>
      <c r="I608" s="121" t="s">
        <v>102</v>
      </c>
      <c r="J608" s="109">
        <f>G608-H608</f>
        <v>0</v>
      </c>
      <c r="K608" s="109"/>
      <c r="L608" s="109"/>
      <c r="M608" s="8"/>
    </row>
    <row r="609" spans="1:13" s="3" customFormat="1" ht="12" customHeight="1" x14ac:dyDescent="0.15">
      <c r="A609" s="97"/>
      <c r="B609" s="105"/>
      <c r="C609" s="105"/>
      <c r="D609" s="105"/>
      <c r="E609" s="105"/>
      <c r="F609" s="121" t="s">
        <v>719</v>
      </c>
      <c r="G609" s="109">
        <f>SUM(H19)</f>
        <v>9744.18</v>
      </c>
      <c r="H609" s="109">
        <f>SUM(H44)</f>
        <v>9744.18</v>
      </c>
      <c r="I609" s="121" t="s">
        <v>103</v>
      </c>
      <c r="J609" s="109">
        <f>G609-H609</f>
        <v>0</v>
      </c>
      <c r="K609" s="109"/>
      <c r="L609" s="109"/>
      <c r="M609" s="8"/>
    </row>
    <row r="610" spans="1:13" s="3" customFormat="1" ht="12" customHeight="1" x14ac:dyDescent="0.15">
      <c r="A610" s="97"/>
      <c r="B610" s="105"/>
      <c r="C610" s="105"/>
      <c r="D610" s="105"/>
      <c r="E610" s="105"/>
      <c r="F610" s="121" t="s">
        <v>720</v>
      </c>
      <c r="G610" s="109">
        <f>SUM(I19)</f>
        <v>0</v>
      </c>
      <c r="H610" s="109">
        <f>SUM(I44)</f>
        <v>0</v>
      </c>
      <c r="I610" s="121" t="s">
        <v>104</v>
      </c>
      <c r="J610" s="109">
        <f>G610-H610</f>
        <v>0</v>
      </c>
      <c r="K610" s="109"/>
      <c r="L610" s="109"/>
      <c r="M610" s="8"/>
    </row>
    <row r="611" spans="1:13" s="3" customFormat="1" ht="12" customHeight="1" x14ac:dyDescent="0.15">
      <c r="A611" s="97"/>
      <c r="B611" s="105"/>
      <c r="C611" s="105"/>
      <c r="D611" s="105"/>
      <c r="E611" s="105"/>
      <c r="F611" s="121" t="s">
        <v>721</v>
      </c>
      <c r="G611" s="109">
        <f>SUM(J19)</f>
        <v>49809.08</v>
      </c>
      <c r="H611" s="109">
        <f>SUM(J44)</f>
        <v>49809.08</v>
      </c>
      <c r="I611" s="121" t="s">
        <v>105</v>
      </c>
      <c r="J611" s="109">
        <f>G611-H611</f>
        <v>0</v>
      </c>
      <c r="K611" s="109"/>
      <c r="L611" s="109"/>
      <c r="M611" s="8"/>
    </row>
    <row r="612" spans="1:13" s="3" customFormat="1" ht="12" customHeight="1" x14ac:dyDescent="0.15">
      <c r="A612" s="97"/>
      <c r="B612" s="105"/>
      <c r="C612" s="105"/>
      <c r="D612" s="105"/>
      <c r="E612" s="105"/>
      <c r="F612" s="121" t="s">
        <v>722</v>
      </c>
      <c r="G612" s="109">
        <f>F43</f>
        <v>41298.83</v>
      </c>
      <c r="H612" s="109">
        <f>F466</f>
        <v>41298.829999999376</v>
      </c>
      <c r="I612" s="121" t="s">
        <v>106</v>
      </c>
      <c r="J612" s="109">
        <f t="shared" ref="J612:J645" si="49">G612-H612</f>
        <v>6.2573235481977463E-10</v>
      </c>
      <c r="K612" s="109"/>
      <c r="L612" s="109"/>
      <c r="M612" s="8"/>
    </row>
    <row r="613" spans="1:13" s="3" customFormat="1" ht="12" customHeight="1" x14ac:dyDescent="0.15">
      <c r="A613" s="97"/>
      <c r="B613" s="105"/>
      <c r="C613" s="119"/>
      <c r="D613" s="119"/>
      <c r="E613" s="119"/>
      <c r="F613" s="119" t="s">
        <v>107</v>
      </c>
      <c r="G613" s="109">
        <f>G43</f>
        <v>0</v>
      </c>
      <c r="H613" s="109">
        <f>G466</f>
        <v>0</v>
      </c>
      <c r="I613" s="121" t="s">
        <v>108</v>
      </c>
      <c r="J613" s="109">
        <f t="shared" si="49"/>
        <v>0</v>
      </c>
      <c r="K613" s="109"/>
      <c r="L613" s="109"/>
      <c r="M613" s="8"/>
    </row>
    <row r="614" spans="1:13" s="3" customFormat="1" ht="12" customHeight="1" x14ac:dyDescent="0.15">
      <c r="A614" s="97"/>
      <c r="B614" s="105"/>
      <c r="C614" s="105"/>
      <c r="D614" s="105"/>
      <c r="E614" s="105"/>
      <c r="F614" s="120" t="s">
        <v>109</v>
      </c>
      <c r="G614" s="109">
        <f>H43</f>
        <v>0</v>
      </c>
      <c r="H614" s="109">
        <f>H466</f>
        <v>0</v>
      </c>
      <c r="I614" s="121" t="s">
        <v>110</v>
      </c>
      <c r="J614" s="109">
        <f t="shared" si="49"/>
        <v>0</v>
      </c>
      <c r="K614" s="109"/>
      <c r="L614" s="109"/>
      <c r="M614" s="8"/>
    </row>
    <row r="615" spans="1:13" s="3" customFormat="1" ht="12" customHeight="1" x14ac:dyDescent="0.15">
      <c r="A615" s="97"/>
      <c r="B615" s="105"/>
      <c r="C615" s="105"/>
      <c r="D615" s="105"/>
      <c r="E615" s="105"/>
      <c r="F615" s="120" t="s">
        <v>111</v>
      </c>
      <c r="G615" s="109">
        <f>I43</f>
        <v>0</v>
      </c>
      <c r="H615" s="109">
        <f>I466</f>
        <v>0</v>
      </c>
      <c r="I615" s="121" t="s">
        <v>112</v>
      </c>
      <c r="J615" s="109">
        <f t="shared" si="49"/>
        <v>0</v>
      </c>
      <c r="K615" s="109"/>
      <c r="L615" s="109"/>
      <c r="M615" s="8"/>
    </row>
    <row r="616" spans="1:13" s="3" customFormat="1" ht="12" customHeight="1" x14ac:dyDescent="0.15">
      <c r="A616" s="22"/>
      <c r="B616" s="105"/>
      <c r="C616" s="105"/>
      <c r="D616" s="105"/>
      <c r="E616" s="105"/>
      <c r="F616" s="120" t="s">
        <v>113</v>
      </c>
      <c r="G616" s="109">
        <f>J43</f>
        <v>49809.08</v>
      </c>
      <c r="H616" s="109">
        <f>J466</f>
        <v>49809.08</v>
      </c>
      <c r="I616" s="140" t="s">
        <v>114</v>
      </c>
      <c r="J616" s="109">
        <f t="shared" si="49"/>
        <v>0</v>
      </c>
      <c r="K616" s="85"/>
      <c r="L616" s="88"/>
      <c r="M616" s="8"/>
    </row>
    <row r="617" spans="1:13" s="3" customFormat="1" ht="12" customHeight="1" x14ac:dyDescent="0.15">
      <c r="A617" s="22"/>
      <c r="B617" s="105"/>
      <c r="C617" s="105"/>
      <c r="D617" s="105"/>
      <c r="E617" s="105"/>
      <c r="F617" s="120" t="s">
        <v>692</v>
      </c>
      <c r="G617" s="109">
        <f>F185</f>
        <v>1933109.8400000003</v>
      </c>
      <c r="H617" s="104">
        <f>SUM(F458)</f>
        <v>1933109.84</v>
      </c>
      <c r="I617" s="140" t="s">
        <v>115</v>
      </c>
      <c r="J617" s="109">
        <f>G617-H617</f>
        <v>0</v>
      </c>
      <c r="K617" s="85"/>
      <c r="L617" s="88"/>
      <c r="M617" s="8"/>
    </row>
    <row r="618" spans="1:13" s="3" customFormat="1" ht="12" customHeight="1" x14ac:dyDescent="0.15">
      <c r="A618" s="22"/>
      <c r="B618" s="105"/>
      <c r="C618" s="105"/>
      <c r="D618" s="105"/>
      <c r="E618" s="105"/>
      <c r="F618" s="120" t="s">
        <v>693</v>
      </c>
      <c r="G618" s="109">
        <f>G185</f>
        <v>52183.26</v>
      </c>
      <c r="H618" s="104">
        <f>SUM(G458)</f>
        <v>52183.26</v>
      </c>
      <c r="I618" s="140" t="s">
        <v>116</v>
      </c>
      <c r="J618" s="109">
        <f>G618-H618</f>
        <v>0</v>
      </c>
      <c r="K618" s="85"/>
      <c r="L618" s="88"/>
      <c r="M618" s="8"/>
    </row>
    <row r="619" spans="1:13" s="3" customFormat="1" ht="12" customHeight="1" x14ac:dyDescent="0.15">
      <c r="A619" s="22"/>
      <c r="B619" s="105"/>
      <c r="C619" s="105"/>
      <c r="D619" s="105"/>
      <c r="E619" s="105"/>
      <c r="F619" s="120" t="s">
        <v>694</v>
      </c>
      <c r="G619" s="109">
        <f>H185</f>
        <v>79689.02</v>
      </c>
      <c r="H619" s="104">
        <f>SUM(H458)</f>
        <v>79689.02</v>
      </c>
      <c r="I619" s="140" t="s">
        <v>117</v>
      </c>
      <c r="J619" s="109">
        <f>G619-H619</f>
        <v>0</v>
      </c>
      <c r="K619" s="85"/>
      <c r="L619" s="88"/>
      <c r="M619" s="8"/>
    </row>
    <row r="620" spans="1:13" s="3" customFormat="1" ht="12" customHeight="1" x14ac:dyDescent="0.15">
      <c r="A620" s="22"/>
      <c r="B620" s="105"/>
      <c r="C620" s="105"/>
      <c r="D620" s="105"/>
      <c r="E620" s="105"/>
      <c r="F620" s="120" t="s">
        <v>695</v>
      </c>
      <c r="G620" s="109">
        <f>I185</f>
        <v>0</v>
      </c>
      <c r="H620" s="104">
        <f>SUM(I458)</f>
        <v>0</v>
      </c>
      <c r="I620" s="140" t="s">
        <v>118</v>
      </c>
      <c r="J620" s="109">
        <f>G620-H620</f>
        <v>0</v>
      </c>
      <c r="K620" s="85"/>
      <c r="L620" s="88"/>
      <c r="M620" s="8"/>
    </row>
    <row r="621" spans="1:13" s="3" customFormat="1" ht="12" customHeight="1" x14ac:dyDescent="0.15">
      <c r="A621" s="22"/>
      <c r="B621" s="105"/>
      <c r="C621" s="105"/>
      <c r="D621" s="105"/>
      <c r="E621" s="105"/>
      <c r="F621" s="120" t="s">
        <v>696</v>
      </c>
      <c r="G621" s="109">
        <f>J185</f>
        <v>80.790000000000006</v>
      </c>
      <c r="H621" s="104">
        <f>SUM(J458)</f>
        <v>80.789999999999992</v>
      </c>
      <c r="I621" s="140" t="s">
        <v>119</v>
      </c>
      <c r="J621" s="109">
        <f>G621-H621</f>
        <v>0</v>
      </c>
      <c r="K621" s="85"/>
      <c r="L621" s="88"/>
      <c r="M621" s="8"/>
    </row>
    <row r="622" spans="1:13" s="3" customFormat="1" ht="12" customHeight="1" x14ac:dyDescent="0.15">
      <c r="A622" s="22"/>
      <c r="B622" s="105"/>
      <c r="C622" s="105"/>
      <c r="D622" s="105"/>
      <c r="E622" s="105"/>
      <c r="F622" s="120" t="s">
        <v>418</v>
      </c>
      <c r="G622" s="109">
        <f>SUM(L263)</f>
        <v>1914819.4599999997</v>
      </c>
      <c r="H622" s="104">
        <f>SUM(F462)</f>
        <v>1914819.46</v>
      </c>
      <c r="I622" s="140" t="s">
        <v>120</v>
      </c>
      <c r="J622" s="109">
        <f t="shared" si="49"/>
        <v>0</v>
      </c>
      <c r="K622" s="85"/>
      <c r="L622" s="88"/>
      <c r="M622" s="8"/>
    </row>
    <row r="623" spans="1:13" s="3" customFormat="1" ht="12" customHeight="1" x14ac:dyDescent="0.15">
      <c r="A623" s="22"/>
      <c r="B623" s="105"/>
      <c r="C623" s="105"/>
      <c r="D623" s="105"/>
      <c r="E623" s="105"/>
      <c r="F623" s="120" t="s">
        <v>419</v>
      </c>
      <c r="G623" s="109">
        <f>SUM(L344)</f>
        <v>79689.01999999999</v>
      </c>
      <c r="H623" s="104">
        <f>SUM(H462)</f>
        <v>79689.02</v>
      </c>
      <c r="I623" s="140" t="s">
        <v>121</v>
      </c>
      <c r="J623" s="109">
        <f>G623-H623</f>
        <v>0</v>
      </c>
      <c r="K623" s="85"/>
      <c r="L623" s="88"/>
      <c r="M623" s="8"/>
    </row>
    <row r="624" spans="1:13" s="3" customFormat="1" ht="12" customHeight="1" x14ac:dyDescent="0.15">
      <c r="A624" s="22"/>
      <c r="B624" s="105"/>
      <c r="C624" s="105"/>
      <c r="D624" s="105"/>
      <c r="E624" s="105"/>
      <c r="F624" s="142" t="s">
        <v>270</v>
      </c>
      <c r="G624" s="109">
        <f>I354</f>
        <v>14909.39</v>
      </c>
      <c r="H624" s="104">
        <f>I361</f>
        <v>14909.390000000001</v>
      </c>
      <c r="I624" s="143" t="s">
        <v>271</v>
      </c>
      <c r="J624" s="109">
        <f>G624-H624</f>
        <v>0</v>
      </c>
      <c r="K624" s="85"/>
      <c r="L624" s="88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122</v>
      </c>
      <c r="G625" s="109">
        <f>SUM(L354)</f>
        <v>52183.26</v>
      </c>
      <c r="H625" s="104">
        <f>SUM(G462)</f>
        <v>52183.26</v>
      </c>
      <c r="I625" s="140" t="s">
        <v>123</v>
      </c>
      <c r="J625" s="109">
        <f t="shared" si="49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124</v>
      </c>
      <c r="G626" s="109">
        <f>SUM(L374)</f>
        <v>0</v>
      </c>
      <c r="H626" s="104">
        <f>SUM(I462)</f>
        <v>0</v>
      </c>
      <c r="I626" s="140" t="s">
        <v>125</v>
      </c>
      <c r="J626" s="109">
        <f t="shared" si="49"/>
        <v>0</v>
      </c>
      <c r="K626" s="85"/>
      <c r="L626" s="88"/>
      <c r="M626" s="8"/>
    </row>
    <row r="627" spans="1:13" s="169" customFormat="1" ht="12" customHeight="1" x14ac:dyDescent="0.15">
      <c r="A627" s="161"/>
      <c r="B627" s="162"/>
      <c r="C627" s="162"/>
      <c r="D627" s="162"/>
      <c r="E627" s="162"/>
      <c r="F627" s="163" t="s">
        <v>501</v>
      </c>
      <c r="G627" s="151">
        <f>SUM(L400)</f>
        <v>80.789999999999992</v>
      </c>
      <c r="H627" s="164">
        <f>SUM(J458)</f>
        <v>80.789999999999992</v>
      </c>
      <c r="I627" s="165" t="s">
        <v>119</v>
      </c>
      <c r="J627" s="151">
        <f t="shared" si="49"/>
        <v>0</v>
      </c>
      <c r="K627" s="166"/>
      <c r="L627" s="167"/>
      <c r="M627" s="168"/>
    </row>
    <row r="628" spans="1:13" s="169" customFormat="1" ht="12" customHeight="1" x14ac:dyDescent="0.15">
      <c r="A628" s="161"/>
      <c r="B628" s="162"/>
      <c r="C628" s="162"/>
      <c r="D628" s="162"/>
      <c r="E628" s="162"/>
      <c r="F628" s="163" t="s">
        <v>502</v>
      </c>
      <c r="G628" s="151">
        <f>SUM(L426)</f>
        <v>0</v>
      </c>
      <c r="H628" s="164">
        <f>SUM(J462)</f>
        <v>0</v>
      </c>
      <c r="I628" s="165" t="s">
        <v>126</v>
      </c>
      <c r="J628" s="151">
        <f t="shared" si="49"/>
        <v>0</v>
      </c>
      <c r="K628" s="166"/>
      <c r="L628" s="167"/>
      <c r="M628" s="16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127</v>
      </c>
      <c r="G629" s="109">
        <f>SUM(F438)</f>
        <v>0</v>
      </c>
      <c r="H629" s="104">
        <f>SUM(F451)</f>
        <v>0</v>
      </c>
      <c r="I629" s="140" t="s">
        <v>128</v>
      </c>
      <c r="J629" s="109">
        <f t="shared" si="49"/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129</v>
      </c>
      <c r="G630" s="109">
        <f>SUM(G438)</f>
        <v>49809.08</v>
      </c>
      <c r="H630" s="104">
        <f>SUM(G451)</f>
        <v>49809.08</v>
      </c>
      <c r="I630" s="140" t="s">
        <v>130</v>
      </c>
      <c r="J630" s="109">
        <f t="shared" si="49"/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131</v>
      </c>
      <c r="G631" s="109">
        <f>SUM(H438)</f>
        <v>0</v>
      </c>
      <c r="H631" s="104">
        <f>SUM(H451)</f>
        <v>0</v>
      </c>
      <c r="I631" s="140" t="s">
        <v>132</v>
      </c>
      <c r="J631" s="109">
        <f t="shared" si="49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133</v>
      </c>
      <c r="G632" s="109">
        <f>SUM(I438)</f>
        <v>49809.08</v>
      </c>
      <c r="H632" s="104">
        <f>SUM(I451)</f>
        <v>49809.08</v>
      </c>
      <c r="I632" s="140" t="s">
        <v>134</v>
      </c>
      <c r="J632" s="109">
        <f t="shared" si="49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272</v>
      </c>
      <c r="G633" s="109">
        <f>J49</f>
        <v>0</v>
      </c>
      <c r="H633" s="104">
        <f>F400</f>
        <v>0</v>
      </c>
      <c r="I633" s="140" t="s">
        <v>503</v>
      </c>
      <c r="J633" s="109">
        <f t="shared" si="49"/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20" t="s">
        <v>697</v>
      </c>
      <c r="G634" s="109">
        <f>J88</f>
        <v>80.790000000000006</v>
      </c>
      <c r="H634" s="104">
        <f>H400</f>
        <v>80.789999999999992</v>
      </c>
      <c r="I634" s="140" t="s">
        <v>504</v>
      </c>
      <c r="J634" s="109">
        <f t="shared" si="49"/>
        <v>0</v>
      </c>
      <c r="K634" s="85"/>
      <c r="L634" s="88"/>
      <c r="M634" s="8"/>
    </row>
    <row r="635" spans="1:13" s="3" customFormat="1" ht="12" customHeight="1" x14ac:dyDescent="0.15">
      <c r="A635" s="22"/>
      <c r="B635" s="105"/>
      <c r="C635" s="105"/>
      <c r="D635" s="105"/>
      <c r="E635" s="105"/>
      <c r="F635" s="120" t="s">
        <v>698</v>
      </c>
      <c r="G635" s="109">
        <f>J175</f>
        <v>0</v>
      </c>
      <c r="H635" s="104">
        <f>G400</f>
        <v>0</v>
      </c>
      <c r="I635" s="140" t="s">
        <v>505</v>
      </c>
      <c r="J635" s="109">
        <f t="shared" si="49"/>
        <v>0</v>
      </c>
      <c r="K635" s="85"/>
      <c r="L635" s="88"/>
      <c r="M635" s="8"/>
    </row>
    <row r="636" spans="1:13" s="3" customFormat="1" ht="12" customHeight="1" x14ac:dyDescent="0.15">
      <c r="A636" s="22"/>
      <c r="B636" s="105"/>
      <c r="C636" s="105"/>
      <c r="D636" s="105"/>
      <c r="E636" s="105"/>
      <c r="F636" s="120" t="s">
        <v>696</v>
      </c>
      <c r="G636" s="109">
        <f>J185</f>
        <v>80.790000000000006</v>
      </c>
      <c r="H636" s="104">
        <f>L400</f>
        <v>80.789999999999992</v>
      </c>
      <c r="I636" s="140" t="s">
        <v>501</v>
      </c>
      <c r="J636" s="109">
        <f t="shared" si="49"/>
        <v>0</v>
      </c>
      <c r="K636" s="85"/>
      <c r="L636" s="88"/>
      <c r="M636" s="8"/>
    </row>
    <row r="637" spans="1:13" s="3" customFormat="1" ht="12" customHeight="1" x14ac:dyDescent="0.15">
      <c r="A637" s="22"/>
      <c r="B637" s="105"/>
      <c r="C637" s="105"/>
      <c r="D637" s="105"/>
      <c r="E637" s="105"/>
      <c r="F637" s="120" t="s">
        <v>51</v>
      </c>
      <c r="G637" s="109">
        <f>K588</f>
        <v>96317.709999999992</v>
      </c>
      <c r="H637" s="104">
        <f>L200+L218+L236</f>
        <v>96317.709999999992</v>
      </c>
      <c r="I637" s="140" t="s">
        <v>420</v>
      </c>
      <c r="J637" s="109">
        <f t="shared" si="49"/>
        <v>0</v>
      </c>
      <c r="K637" s="85"/>
      <c r="L637" s="88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52</v>
      </c>
      <c r="G638" s="109">
        <f>K595</f>
        <v>43840.05</v>
      </c>
      <c r="H638" s="104">
        <f>(J249+J330)-(J247+J328)</f>
        <v>43840.05</v>
      </c>
      <c r="I638" s="140" t="s">
        <v>734</v>
      </c>
      <c r="J638" s="109">
        <f t="shared" si="49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411</v>
      </c>
      <c r="G639" s="109">
        <f>L200</f>
        <v>54053.38</v>
      </c>
      <c r="H639" s="104">
        <f>H588</f>
        <v>54053.38</v>
      </c>
      <c r="I639" s="140" t="s">
        <v>412</v>
      </c>
      <c r="J639" s="109">
        <f t="shared" si="49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416</v>
      </c>
      <c r="G640" s="109">
        <f>L218</f>
        <v>17880.57</v>
      </c>
      <c r="H640" s="104">
        <f>I588</f>
        <v>17880.57</v>
      </c>
      <c r="I640" s="140" t="s">
        <v>413</v>
      </c>
      <c r="J640" s="109">
        <f t="shared" si="49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417</v>
      </c>
      <c r="G641" s="109">
        <f>L236</f>
        <v>24383.759999999998</v>
      </c>
      <c r="H641" s="104">
        <f>J588</f>
        <v>24383.760000000002</v>
      </c>
      <c r="I641" s="140" t="s">
        <v>414</v>
      </c>
      <c r="J641" s="109">
        <f t="shared" si="49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699</v>
      </c>
      <c r="G642" s="109">
        <f>G171</f>
        <v>24633.42</v>
      </c>
      <c r="H642" s="104">
        <f>K255+K337</f>
        <v>24633.42</v>
      </c>
      <c r="I642" s="140" t="s">
        <v>421</v>
      </c>
      <c r="J642" s="109">
        <f t="shared" si="49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700</v>
      </c>
      <c r="G643" s="109">
        <f>H171</f>
        <v>0</v>
      </c>
      <c r="H643" s="104">
        <f>K256</f>
        <v>0</v>
      </c>
      <c r="I643" s="140" t="s">
        <v>422</v>
      </c>
      <c r="J643" s="109">
        <f t="shared" si="49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701</v>
      </c>
      <c r="G644" s="109">
        <f>I171</f>
        <v>0</v>
      </c>
      <c r="H644" s="104">
        <f>K257+K338</f>
        <v>0</v>
      </c>
      <c r="I644" s="140" t="s">
        <v>423</v>
      </c>
      <c r="J644" s="109">
        <f t="shared" si="49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702</v>
      </c>
      <c r="G645" s="109">
        <f>J171</f>
        <v>0</v>
      </c>
      <c r="H645" s="104">
        <f>K258+K339</f>
        <v>0</v>
      </c>
      <c r="I645" s="140" t="s">
        <v>424</v>
      </c>
      <c r="J645" s="109">
        <f t="shared" si="49"/>
        <v>0</v>
      </c>
      <c r="K645" s="85"/>
      <c r="L645" s="88"/>
      <c r="M645" s="8"/>
    </row>
    <row r="646" spans="1:13" s="3" customFormat="1" ht="12" customHeight="1" x14ac:dyDescent="0.15">
      <c r="A646" s="127"/>
      <c r="B646" s="127"/>
      <c r="C646" s="127"/>
      <c r="D646" s="127"/>
      <c r="E646" s="127"/>
      <c r="F646" s="26" t="s">
        <v>135</v>
      </c>
      <c r="G646" s="19"/>
      <c r="H646" s="104">
        <f>SUM(G607:G645)-SUM(H607:H645)</f>
        <v>0</v>
      </c>
      <c r="I646" s="19"/>
      <c r="J646" s="19"/>
      <c r="K646" s="13"/>
      <c r="L646" s="13"/>
      <c r="M646" s="8"/>
    </row>
    <row r="647" spans="1:13" s="3" customFormat="1" ht="12" customHeight="1" x14ac:dyDescent="0.15">
      <c r="F647" s="17"/>
      <c r="G647" s="13"/>
      <c r="H647" s="13"/>
      <c r="I647" s="13"/>
      <c r="J647" s="13"/>
      <c r="K647" s="13"/>
      <c r="L647" s="13"/>
      <c r="M647" s="8"/>
    </row>
    <row r="648" spans="1:13" s="3" customFormat="1" ht="12" customHeight="1" x14ac:dyDescent="0.15">
      <c r="A648" s="29" t="s">
        <v>136</v>
      </c>
      <c r="F648" s="25" t="s">
        <v>137</v>
      </c>
      <c r="G648" s="25" t="s">
        <v>138</v>
      </c>
      <c r="H648" s="25" t="s">
        <v>391</v>
      </c>
      <c r="I648" s="25" t="s">
        <v>364</v>
      </c>
      <c r="J648" s="13"/>
      <c r="K648" s="13"/>
      <c r="L648" s="13"/>
      <c r="M648" s="9"/>
    </row>
    <row r="649" spans="1:13" s="3" customFormat="1" ht="12" customHeight="1" x14ac:dyDescent="0.15">
      <c r="F649" s="14" t="s">
        <v>310</v>
      </c>
      <c r="G649" s="13"/>
      <c r="H649" s="13"/>
      <c r="I649" s="13"/>
      <c r="J649" s="13"/>
      <c r="K649" s="13"/>
      <c r="L649" s="13"/>
      <c r="M649" s="9"/>
    </row>
    <row r="650" spans="1:13" s="3" customFormat="1" ht="12" customHeight="1" x14ac:dyDescent="0.15">
      <c r="A650" s="1" t="s">
        <v>139</v>
      </c>
      <c r="F650" s="19">
        <f>(L203+L282+L350)</f>
        <v>1066090.95</v>
      </c>
      <c r="G650" s="19">
        <f>(L221+L301+L351)</f>
        <v>290633.92000000004</v>
      </c>
      <c r="H650" s="19">
        <f>(L239+L320+L352)</f>
        <v>637737.14</v>
      </c>
      <c r="I650" s="19">
        <f>SUM(F650:H650)</f>
        <v>1994462.0100000002</v>
      </c>
      <c r="J650" s="13"/>
      <c r="K650" s="13"/>
      <c r="L650" s="13"/>
      <c r="M650" s="9"/>
    </row>
    <row r="651" spans="1:13" s="3" customFormat="1" ht="12" customHeight="1" x14ac:dyDescent="0.2">
      <c r="A651" s="1" t="s">
        <v>140</v>
      </c>
      <c r="F651" s="19">
        <f>(L350/IF(SUM(L350:L352)=0,1,SUM(L350:L352))*(SUM(G89:G102)))</f>
        <v>10348.11</v>
      </c>
      <c r="G651" s="19">
        <f>(L351/IF(SUM(L350:L352)=0,1,SUM(L350:L352))*(SUM(G89:G102)))</f>
        <v>0</v>
      </c>
      <c r="H651" s="19">
        <f>(L352/IF(SUM(L350:L352)=0,1,SUM(L350:L352))*(SUM(G89:G102)))</f>
        <v>0</v>
      </c>
      <c r="I651" s="19">
        <f>SUM(F651:H651)</f>
        <v>10348.11</v>
      </c>
      <c r="J651"/>
      <c r="K651" s="13"/>
      <c r="L651" s="13"/>
      <c r="M651" s="9"/>
    </row>
    <row r="652" spans="1:13" s="3" customFormat="1" ht="12" customHeight="1" x14ac:dyDescent="0.2">
      <c r="A652" s="1" t="s">
        <v>141</v>
      </c>
      <c r="F652" s="19">
        <f>(L200+L279)-(J200+J279)</f>
        <v>54053.38</v>
      </c>
      <c r="G652" s="19">
        <f>(L218+L298)-(J218+J298)</f>
        <v>17880.57</v>
      </c>
      <c r="H652" s="19">
        <f>(L236+L317)-(J236+J317)</f>
        <v>24383.759999999998</v>
      </c>
      <c r="I652" s="19">
        <f>SUM(F652:H652)</f>
        <v>96317.709999999992</v>
      </c>
      <c r="J652"/>
      <c r="K652" s="13"/>
      <c r="L652" s="13"/>
      <c r="M652" s="9"/>
    </row>
    <row r="653" spans="1:13" s="3" customFormat="1" ht="12" customHeight="1" x14ac:dyDescent="0.15">
      <c r="A653" s="199" t="s">
        <v>142</v>
      </c>
      <c r="B653" s="169"/>
      <c r="C653" s="169"/>
      <c r="D653" s="169"/>
      <c r="E653" s="169"/>
      <c r="F653" s="200">
        <f>SUM(F565:F577)+SUM(H592:H594)+SUM(L601)</f>
        <v>135733.31</v>
      </c>
      <c r="G653" s="200">
        <f>SUM(G565:G577)+SUM(I592:I594)+L602</f>
        <v>254538.21</v>
      </c>
      <c r="H653" s="200">
        <f>SUM(H565:H577)+SUM(J592:J594)+L603</f>
        <v>580851.64</v>
      </c>
      <c r="I653" s="19">
        <f>SUM(F653:H653)</f>
        <v>971123.16</v>
      </c>
      <c r="J653" s="13"/>
      <c r="K653" s="13"/>
      <c r="L653" s="13"/>
      <c r="M653" s="9"/>
    </row>
    <row r="654" spans="1:13" s="3" customFormat="1" ht="12" customHeight="1" x14ac:dyDescent="0.15">
      <c r="A654" s="1" t="s">
        <v>143</v>
      </c>
      <c r="F654" s="19">
        <f>F650-SUM(F651:F653)</f>
        <v>865956.14999999991</v>
      </c>
      <c r="G654" s="19">
        <f>G650-SUM(G651:G653)</f>
        <v>18215.140000000072</v>
      </c>
      <c r="H654" s="19">
        <f>H650-SUM(H651:H653)</f>
        <v>32501.739999999991</v>
      </c>
      <c r="I654" s="19">
        <f>I650-SUM(I651:I653)</f>
        <v>916673.03000000026</v>
      </c>
      <c r="J654" s="13"/>
      <c r="K654" s="13"/>
      <c r="L654" s="13"/>
      <c r="M654" s="8"/>
    </row>
    <row r="655" spans="1:13" s="3" customFormat="1" ht="12" customHeight="1" x14ac:dyDescent="0.2">
      <c r="A655" s="1" t="s">
        <v>144</v>
      </c>
      <c r="F655" s="248">
        <v>56.8</v>
      </c>
      <c r="G655" s="249"/>
      <c r="H655" s="249"/>
      <c r="I655" s="19">
        <f>SUM(F655:H655)</f>
        <v>56.8</v>
      </c>
      <c r="J655" s="13"/>
      <c r="K655" s="13"/>
      <c r="L655" s="13"/>
      <c r="M655" s="9"/>
    </row>
    <row r="656" spans="1:13" s="3" customFormat="1" ht="12" customHeight="1" x14ac:dyDescent="0.15">
      <c r="A656" s="1" t="s">
        <v>145</v>
      </c>
      <c r="F656" s="13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146</v>
      </c>
      <c r="F657" s="19">
        <f>ROUND(F654/F655,2)</f>
        <v>15245.71</v>
      </c>
      <c r="G657" s="19" t="e">
        <f>ROUND(G654/G655,2)</f>
        <v>#DIV/0!</v>
      </c>
      <c r="H657" s="19" t="e">
        <f>ROUND(H654/H655,2)</f>
        <v>#DIV/0!</v>
      </c>
      <c r="I657" s="19">
        <f>ROUND(I654/I655,2)</f>
        <v>16138.61</v>
      </c>
      <c r="J657" s="13"/>
      <c r="K657" s="13"/>
      <c r="L657" s="13"/>
      <c r="M657" s="8"/>
    </row>
    <row r="658" spans="1:13" s="3" customFormat="1" ht="12" customHeight="1" x14ac:dyDescent="0.15">
      <c r="F658" s="13"/>
      <c r="G658" s="13"/>
      <c r="H658" s="13"/>
      <c r="I658" s="13"/>
      <c r="J658" s="13"/>
      <c r="K658" s="13"/>
      <c r="L658" s="13"/>
      <c r="M658" s="10"/>
    </row>
    <row r="659" spans="1:13" s="3" customFormat="1" ht="12" customHeight="1" x14ac:dyDescent="0.15">
      <c r="A659" s="1" t="s">
        <v>147</v>
      </c>
      <c r="F659" s="18"/>
      <c r="G659" s="18">
        <v>-18215.14</v>
      </c>
      <c r="H659" s="18">
        <v>-32501.74</v>
      </c>
      <c r="I659" s="19">
        <f>SUM(F659:H659)</f>
        <v>-50716.880000000005</v>
      </c>
      <c r="J659" s="13"/>
      <c r="K659" s="13"/>
      <c r="L659" s="13"/>
      <c r="M659" s="9"/>
    </row>
    <row r="660" spans="1:13" s="3" customFormat="1" ht="12" customHeight="1" x14ac:dyDescent="0.15">
      <c r="A660" s="1" t="s">
        <v>148</v>
      </c>
      <c r="F660" s="18"/>
      <c r="G660" s="18"/>
      <c r="H660" s="18"/>
      <c r="I660" s="19">
        <f>SUM(F660:H660)</f>
        <v>0</v>
      </c>
      <c r="J660" s="13"/>
      <c r="K660" s="13"/>
      <c r="L660" s="13"/>
      <c r="M660" s="9"/>
    </row>
    <row r="661" spans="1:13" s="3" customFormat="1" ht="12" customHeight="1" x14ac:dyDescent="0.15">
      <c r="F661" s="13"/>
      <c r="G661" s="13"/>
      <c r="H661" s="13"/>
      <c r="I661" s="13"/>
      <c r="J661" s="13"/>
      <c r="K661" s="13"/>
      <c r="L661" s="13"/>
      <c r="M661" s="9"/>
    </row>
    <row r="662" spans="1:13" s="3" customFormat="1" ht="12" customHeight="1" x14ac:dyDescent="0.15">
      <c r="A662" s="1" t="s">
        <v>149</v>
      </c>
      <c r="B662" s="2" t="s">
        <v>150</v>
      </c>
      <c r="C662" s="2" t="s">
        <v>314</v>
      </c>
      <c r="D662" s="2"/>
      <c r="E662" s="2"/>
      <c r="F662" s="19">
        <f>ROUND((F654+F659)/(F655+F660),2)</f>
        <v>15245.71</v>
      </c>
      <c r="G662" s="19" t="e">
        <f>ROUND((G654+G659)/(G655+G660),2)</f>
        <v>#DIV/0!</v>
      </c>
      <c r="H662" s="19" t="e">
        <f>ROUND((H654+H659)/(H655+H660),2)</f>
        <v>#DIV/0!</v>
      </c>
      <c r="I662" s="19">
        <f>ROUND((I654+I659)/(I655+I660),2)</f>
        <v>15245.71</v>
      </c>
      <c r="J662" s="13"/>
      <c r="K662" s="13"/>
      <c r="L662" s="13"/>
      <c r="M662" s="9"/>
    </row>
    <row r="663" spans="1:13" s="3" customFormat="1" ht="12" customHeight="1" x14ac:dyDescent="0.15">
      <c r="C663" s="7"/>
      <c r="D663" s="7"/>
      <c r="E663" s="7"/>
      <c r="F663" s="13"/>
      <c r="G663" s="13"/>
      <c r="H663" s="13"/>
      <c r="I663" s="13"/>
      <c r="J663" s="13"/>
      <c r="K663" s="13"/>
      <c r="L663" s="13"/>
      <c r="M663" s="9"/>
    </row>
    <row r="664" spans="1:13" s="3" customFormat="1" ht="12" customHeight="1" x14ac:dyDescent="0.15">
      <c r="F664" s="13"/>
      <c r="G664" s="13"/>
      <c r="H664" s="13"/>
      <c r="I664" s="13"/>
      <c r="J664" s="13"/>
      <c r="K664" s="13"/>
      <c r="L664" s="13"/>
    </row>
    <row r="665" spans="1:13" s="3" customFormat="1" ht="12" customHeight="1" x14ac:dyDescent="0.15">
      <c r="F665" s="13"/>
      <c r="G665" s="13"/>
      <c r="H665" s="13"/>
      <c r="I665" s="13"/>
      <c r="J665" s="13"/>
      <c r="K665" s="13"/>
      <c r="L665" s="13"/>
    </row>
    <row r="666" spans="1:13" s="3" customFormat="1" ht="12" customHeight="1" x14ac:dyDescent="0.15">
      <c r="F666" s="13"/>
      <c r="G666" s="13"/>
      <c r="H666" s="13"/>
      <c r="I666" s="13"/>
      <c r="J666" s="13"/>
      <c r="K666" s="13"/>
      <c r="L666" s="13"/>
    </row>
  </sheetData>
  <sheetProtection password="B30A" sheet="1" objects="1" scenarios="1"/>
  <dataConsolidate/>
  <phoneticPr fontId="0" type="noConversion"/>
  <printOptions gridLines="1" gridLinesSet="0"/>
  <pageMargins left="0.3" right="0.3" top="0.75" bottom="0.75" header="0.5" footer="0.5"/>
  <pageSetup scale="90" orientation="landscape" r:id="rId1"/>
  <headerFooter alignWithMargins="0">
    <oddHeader xml:space="preserve">&amp;CDOE 25 for 2010-2011
</oddHeader>
    <oddFooter>&amp;L&amp;F&amp;CPage &amp;P&amp;R&amp;D&amp;T</oddFooter>
  </headerFooter>
  <rowBreaks count="24" manualBreakCount="24">
    <brk id="44" max="11" man="1"/>
    <brk id="71" max="11" man="1"/>
    <brk id="104" max="11" man="1"/>
    <brk id="132" max="9" man="1"/>
    <brk id="161" max="9" man="1"/>
    <brk id="185" max="9" man="1"/>
    <brk id="203" max="9" man="1"/>
    <brk id="221" max="9" man="1"/>
    <brk id="239" max="9" man="1"/>
    <brk id="263" max="9" man="1"/>
    <brk id="282" max="9" man="1"/>
    <brk id="301" max="9" man="1"/>
    <brk id="320" max="9" man="1"/>
    <brk id="344" max="11" man="1"/>
    <brk id="374" max="11" man="1"/>
    <brk id="400" max="11" man="1"/>
    <brk id="426" max="16383" man="1"/>
    <brk id="451" max="11" man="1"/>
    <brk id="475" max="11" man="1"/>
    <brk id="507" max="9" man="1"/>
    <brk id="542" max="11" man="1"/>
    <brk id="578" max="11" man="1"/>
    <brk id="605" max="9" man="1"/>
    <brk id="64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85DCC-60AC-4D9B-8AEE-2FCD71934B89}">
  <sheetPr>
    <tabColor indexed="20"/>
  </sheetPr>
  <dimension ref="A1:C52"/>
  <sheetViews>
    <sheetView workbookViewId="0">
      <selection activeCell="G45" sqref="G45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4" t="s">
        <v>816</v>
      </c>
      <c r="B1" s="233" t="str">
        <f>'DOE25'!A2</f>
        <v>BATH SCHOOL DISTRICT</v>
      </c>
      <c r="C1" s="239" t="s">
        <v>870</v>
      </c>
    </row>
    <row r="2" spans="1:3" x14ac:dyDescent="0.2">
      <c r="A2" s="234"/>
      <c r="B2" s="233"/>
    </row>
    <row r="3" spans="1:3" x14ac:dyDescent="0.2">
      <c r="A3" s="276" t="s">
        <v>815</v>
      </c>
      <c r="B3" s="276"/>
      <c r="C3" s="276"/>
    </row>
    <row r="4" spans="1:3" x14ac:dyDescent="0.2">
      <c r="A4" s="237"/>
      <c r="B4" s="238" t="str">
        <f>'DOE25'!H1</f>
        <v>DOE 25  2010-2011</v>
      </c>
      <c r="C4" s="237"/>
    </row>
    <row r="5" spans="1:3" x14ac:dyDescent="0.2">
      <c r="A5" s="234"/>
      <c r="B5" s="233"/>
    </row>
    <row r="6" spans="1:3" x14ac:dyDescent="0.2">
      <c r="A6" s="228"/>
      <c r="B6" s="275" t="s">
        <v>814</v>
      </c>
      <c r="C6" s="275"/>
    </row>
    <row r="7" spans="1:3" x14ac:dyDescent="0.2">
      <c r="A7" s="240" t="s">
        <v>817</v>
      </c>
      <c r="B7" s="273" t="s">
        <v>813</v>
      </c>
      <c r="C7" s="274"/>
    </row>
    <row r="8" spans="1:3" x14ac:dyDescent="0.2">
      <c r="B8" s="229" t="s">
        <v>54</v>
      </c>
      <c r="C8" s="229" t="s">
        <v>807</v>
      </c>
    </row>
    <row r="9" spans="1:3" x14ac:dyDescent="0.2">
      <c r="A9" s="33" t="s">
        <v>808</v>
      </c>
      <c r="B9" s="230">
        <f>'DOE25'!F189+'DOE25'!F207+'DOE25'!F225+'DOE25'!F268+'DOE25'!F287+'DOE25'!F306</f>
        <v>262516.71999999997</v>
      </c>
      <c r="C9" s="230">
        <f>'DOE25'!G189+'DOE25'!G207+'DOE25'!G225+'DOE25'!G268+'DOE25'!G287+'DOE25'!G306</f>
        <v>78615.47</v>
      </c>
    </row>
    <row r="10" spans="1:3" x14ac:dyDescent="0.2">
      <c r="A10" t="s">
        <v>810</v>
      </c>
      <c r="B10" s="241">
        <v>250428.09</v>
      </c>
      <c r="C10" s="241">
        <v>77690.69</v>
      </c>
    </row>
    <row r="11" spans="1:3" x14ac:dyDescent="0.2">
      <c r="A11" t="s">
        <v>811</v>
      </c>
      <c r="B11" s="241"/>
      <c r="C11" s="241"/>
    </row>
    <row r="12" spans="1:3" x14ac:dyDescent="0.2">
      <c r="A12" t="s">
        <v>812</v>
      </c>
      <c r="B12" s="241">
        <v>12088.63</v>
      </c>
      <c r="C12" s="241">
        <v>924.78</v>
      </c>
    </row>
    <row r="13" spans="1:3" x14ac:dyDescent="0.2">
      <c r="A13" t="str">
        <f>IF(B9=B13,IF(C9=C13,"Check Total OK","Check Total Error"),"Check Total Error")</f>
        <v>Check Total OK</v>
      </c>
      <c r="B13" s="232">
        <f>SUM(B10:B12)</f>
        <v>262516.71999999997</v>
      </c>
      <c r="C13" s="232">
        <f>SUM(C10:C12)</f>
        <v>78615.47</v>
      </c>
    </row>
    <row r="14" spans="1:3" x14ac:dyDescent="0.2">
      <c r="B14" s="231"/>
      <c r="C14" s="231"/>
    </row>
    <row r="15" spans="1:3" x14ac:dyDescent="0.2">
      <c r="B15" s="275" t="s">
        <v>814</v>
      </c>
      <c r="C15" s="275"/>
    </row>
    <row r="16" spans="1:3" x14ac:dyDescent="0.2">
      <c r="A16" s="240" t="s">
        <v>818</v>
      </c>
      <c r="B16" s="273" t="s">
        <v>738</v>
      </c>
      <c r="C16" s="274"/>
    </row>
    <row r="17" spans="1:3" x14ac:dyDescent="0.2">
      <c r="B17" s="229" t="s">
        <v>54</v>
      </c>
      <c r="C17" s="229" t="s">
        <v>807</v>
      </c>
    </row>
    <row r="18" spans="1:3" x14ac:dyDescent="0.2">
      <c r="A18" s="33" t="s">
        <v>808</v>
      </c>
      <c r="B18" s="230">
        <f>'DOE25'!F190+'DOE25'!F208+'DOE25'!F226+'DOE25'!F269+'DOE25'!F288+'DOE25'!F307</f>
        <v>57109.090000000004</v>
      </c>
      <c r="C18" s="230">
        <f>'DOE25'!G190+'DOE25'!G208+'DOE25'!G226+'DOE25'!G269+'DOE25'!G288+'DOE25'!G307</f>
        <v>15794.28</v>
      </c>
    </row>
    <row r="19" spans="1:3" x14ac:dyDescent="0.2">
      <c r="A19" t="s">
        <v>810</v>
      </c>
      <c r="B19" s="241">
        <v>55762.09</v>
      </c>
      <c r="C19" s="241">
        <f>C18-C21</f>
        <v>15691.2345</v>
      </c>
    </row>
    <row r="20" spans="1:3" x14ac:dyDescent="0.2">
      <c r="A20" t="s">
        <v>811</v>
      </c>
      <c r="B20" s="241"/>
      <c r="C20" s="241"/>
    </row>
    <row r="21" spans="1:3" x14ac:dyDescent="0.2">
      <c r="A21" t="s">
        <v>812</v>
      </c>
      <c r="B21" s="241">
        <v>1347</v>
      </c>
      <c r="C21" s="241">
        <f>B21*7.65%</f>
        <v>103.0455</v>
      </c>
    </row>
    <row r="22" spans="1:3" x14ac:dyDescent="0.2">
      <c r="A22" t="str">
        <f>IF(B18=B22,IF(C18=C22,"Check Total OK","Check Total Error"),"Check Total Error")</f>
        <v>Check Total OK</v>
      </c>
      <c r="B22" s="232">
        <f>SUM(B19:B21)</f>
        <v>57109.09</v>
      </c>
      <c r="C22" s="232">
        <f>SUM(C19:C21)</f>
        <v>15794.28</v>
      </c>
    </row>
    <row r="23" spans="1:3" x14ac:dyDescent="0.2">
      <c r="B23" s="231"/>
      <c r="C23" s="231"/>
    </row>
    <row r="24" spans="1:3" x14ac:dyDescent="0.2">
      <c r="B24" s="275" t="s">
        <v>814</v>
      </c>
      <c r="C24" s="275"/>
    </row>
    <row r="25" spans="1:3" x14ac:dyDescent="0.2">
      <c r="A25" s="240" t="s">
        <v>819</v>
      </c>
      <c r="B25" s="273" t="s">
        <v>739</v>
      </c>
      <c r="C25" s="274"/>
    </row>
    <row r="26" spans="1:3" x14ac:dyDescent="0.2">
      <c r="B26" s="229" t="s">
        <v>54</v>
      </c>
      <c r="C26" s="229" t="s">
        <v>807</v>
      </c>
    </row>
    <row r="27" spans="1:3" x14ac:dyDescent="0.2">
      <c r="A27" s="33" t="s">
        <v>808</v>
      </c>
      <c r="B27" s="235">
        <f>'DOE25'!F191+'DOE25'!F209+'DOE25'!F227+'DOE25'!F270+'DOE25'!F289+'DOE25'!F308</f>
        <v>0</v>
      </c>
      <c r="C27" s="235">
        <f>'DOE25'!G191+'DOE25'!G209+'DOE25'!G227+'DOE25'!G270+'DOE25'!G289+'DOE25'!G308</f>
        <v>0</v>
      </c>
    </row>
    <row r="28" spans="1:3" x14ac:dyDescent="0.2">
      <c r="A28" t="s">
        <v>810</v>
      </c>
      <c r="B28" s="241"/>
      <c r="C28" s="241"/>
    </row>
    <row r="29" spans="1:3" x14ac:dyDescent="0.2">
      <c r="A29" t="s">
        <v>811</v>
      </c>
      <c r="B29" s="241"/>
      <c r="C29" s="241"/>
    </row>
    <row r="30" spans="1:3" x14ac:dyDescent="0.2">
      <c r="A30" t="s">
        <v>812</v>
      </c>
      <c r="B30" s="241"/>
      <c r="C30" s="241"/>
    </row>
    <row r="31" spans="1:3" x14ac:dyDescent="0.2">
      <c r="A31" t="str">
        <f>IF(B27=B31,IF(C27=C31,"Check Total OK","Check Total Error"),"Check Total Error")</f>
        <v>Check Total OK</v>
      </c>
      <c r="B31" s="232">
        <f>SUM(B28:B30)</f>
        <v>0</v>
      </c>
      <c r="C31" s="232">
        <f>SUM(C28:C30)</f>
        <v>0</v>
      </c>
    </row>
    <row r="33" spans="1:3" x14ac:dyDescent="0.2">
      <c r="B33" s="275" t="s">
        <v>814</v>
      </c>
      <c r="C33" s="275"/>
    </row>
    <row r="34" spans="1:3" x14ac:dyDescent="0.2">
      <c r="A34" s="240" t="s">
        <v>820</v>
      </c>
      <c r="B34" s="273" t="s">
        <v>740</v>
      </c>
      <c r="C34" s="274"/>
    </row>
    <row r="35" spans="1:3" x14ac:dyDescent="0.2">
      <c r="B35" s="229" t="s">
        <v>54</v>
      </c>
      <c r="C35" s="229" t="s">
        <v>807</v>
      </c>
    </row>
    <row r="36" spans="1:3" x14ac:dyDescent="0.2">
      <c r="A36" s="33" t="s">
        <v>808</v>
      </c>
      <c r="B36" s="236">
        <f>'DOE25'!F192+'DOE25'!F210+'DOE25'!F228+'DOE25'!F271+'DOE25'!F290+'DOE25'!F309</f>
        <v>3925</v>
      </c>
      <c r="C36" s="236">
        <f>'DOE25'!G192+'DOE25'!G210+'DOE25'!G228+'DOE25'!G271+'DOE25'!G290+'DOE25'!G309</f>
        <v>548.88</v>
      </c>
    </row>
    <row r="37" spans="1:3" x14ac:dyDescent="0.2">
      <c r="A37" t="s">
        <v>810</v>
      </c>
      <c r="B37" s="241">
        <v>3100</v>
      </c>
      <c r="C37" s="241">
        <v>485.77</v>
      </c>
    </row>
    <row r="38" spans="1:3" x14ac:dyDescent="0.2">
      <c r="A38" t="s">
        <v>811</v>
      </c>
      <c r="B38" s="241"/>
      <c r="C38" s="241"/>
    </row>
    <row r="39" spans="1:3" x14ac:dyDescent="0.2">
      <c r="A39" t="s">
        <v>812</v>
      </c>
      <c r="B39" s="241">
        <v>825</v>
      </c>
      <c r="C39" s="241">
        <v>63.11</v>
      </c>
    </row>
    <row r="40" spans="1:3" x14ac:dyDescent="0.2">
      <c r="A40" t="str">
        <f>IF(B36=B40,IF(C36=C40,"Check Total OK","Check Total Error"),"Check Total Error")</f>
        <v>Check Total OK</v>
      </c>
      <c r="B40" s="232">
        <f>SUM(B37:B39)</f>
        <v>3925</v>
      </c>
      <c r="C40" s="232">
        <f>SUM(C37:C39)</f>
        <v>548.88</v>
      </c>
    </row>
    <row r="41" spans="1:3" x14ac:dyDescent="0.2">
      <c r="B41" s="231"/>
      <c r="C41" s="231"/>
    </row>
    <row r="42" spans="1:3" x14ac:dyDescent="0.2">
      <c r="A42" s="33" t="s">
        <v>868</v>
      </c>
      <c r="B42" s="231"/>
      <c r="C42" s="231"/>
    </row>
    <row r="43" spans="1:3" x14ac:dyDescent="0.2">
      <c r="A43" t="s">
        <v>872</v>
      </c>
      <c r="B43" s="231"/>
      <c r="C43" s="231"/>
    </row>
    <row r="44" spans="1:3" x14ac:dyDescent="0.2">
      <c r="A44" t="s">
        <v>873</v>
      </c>
    </row>
    <row r="45" spans="1:3" x14ac:dyDescent="0.2">
      <c r="A45" t="s">
        <v>874</v>
      </c>
    </row>
    <row r="48" spans="1:3" x14ac:dyDescent="0.2">
      <c r="A48" s="265" t="s">
        <v>809</v>
      </c>
    </row>
    <row r="49" spans="1:1" x14ac:dyDescent="0.2">
      <c r="A49" s="269" t="s">
        <v>875</v>
      </c>
    </row>
    <row r="50" spans="1:1" x14ac:dyDescent="0.2">
      <c r="A50" s="269" t="s">
        <v>869</v>
      </c>
    </row>
    <row r="51" spans="1:1" x14ac:dyDescent="0.2">
      <c r="A51" s="269" t="s">
        <v>876</v>
      </c>
    </row>
    <row r="52" spans="1:1" x14ac:dyDescent="0.2">
      <c r="A52" s="270" t="s">
        <v>871</v>
      </c>
    </row>
  </sheetData>
  <sheetProtection password="B3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CA1A2-3133-4495-8325-C534278093B8}">
  <sheetPr>
    <tabColor indexed="11"/>
  </sheetPr>
  <dimension ref="A1:I51"/>
  <sheetViews>
    <sheetView workbookViewId="0">
      <pane ySplit="4" topLeftCell="A32" activePane="bottomLeft" state="frozen"/>
      <selection pane="bottomLeft" activeCell="E39" sqref="E39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5" t="s">
        <v>821</v>
      </c>
      <c r="B1" s="280"/>
      <c r="C1" s="280"/>
      <c r="D1" s="280"/>
      <c r="E1" s="280"/>
      <c r="F1" s="280"/>
      <c r="G1" s="280"/>
      <c r="H1" s="280"/>
      <c r="I1" s="181"/>
    </row>
    <row r="2" spans="1:9" x14ac:dyDescent="0.2">
      <c r="A2" s="33" t="s">
        <v>748</v>
      </c>
      <c r="B2" s="266" t="str">
        <f>'DOE25'!A2</f>
        <v>BATH SCHOOL DISTRICT</v>
      </c>
      <c r="C2" s="181"/>
      <c r="D2" s="181" t="s">
        <v>823</v>
      </c>
      <c r="E2" s="181" t="s">
        <v>825</v>
      </c>
      <c r="F2" s="277" t="s">
        <v>852</v>
      </c>
      <c r="G2" s="278"/>
      <c r="H2" s="279"/>
      <c r="I2" s="181"/>
    </row>
    <row r="3" spans="1:9" x14ac:dyDescent="0.2">
      <c r="A3" s="181" t="s">
        <v>94</v>
      </c>
      <c r="B3" s="229" t="s">
        <v>10</v>
      </c>
      <c r="C3" s="181" t="s">
        <v>5</v>
      </c>
      <c r="D3" s="181" t="s">
        <v>824</v>
      </c>
      <c r="E3" s="181" t="s">
        <v>826</v>
      </c>
      <c r="F3" s="242" t="s">
        <v>866</v>
      </c>
      <c r="G3" s="218" t="s">
        <v>59</v>
      </c>
      <c r="H3" s="243" t="s">
        <v>829</v>
      </c>
    </row>
    <row r="4" spans="1:9" x14ac:dyDescent="0.2">
      <c r="A4" s="252" t="s">
        <v>831</v>
      </c>
      <c r="B4" s="252" t="s">
        <v>847</v>
      </c>
      <c r="C4" s="252" t="s">
        <v>822</v>
      </c>
      <c r="D4" s="252" t="s">
        <v>848</v>
      </c>
      <c r="E4" s="252" t="s">
        <v>848</v>
      </c>
      <c r="F4" s="251" t="s">
        <v>828</v>
      </c>
      <c r="G4" s="252" t="s">
        <v>842</v>
      </c>
      <c r="H4" s="253" t="s">
        <v>830</v>
      </c>
    </row>
    <row r="5" spans="1:9" x14ac:dyDescent="0.2">
      <c r="A5" s="32">
        <v>1000</v>
      </c>
      <c r="B5" t="s">
        <v>218</v>
      </c>
      <c r="C5" s="246">
        <f t="shared" ref="C5:C19" si="0">SUM(D5:H5)</f>
        <v>1390663.4</v>
      </c>
      <c r="D5" s="20">
        <f>SUM('DOE25'!L189:L192)+SUM('DOE25'!L207:L210)+SUM('DOE25'!L225:L228)-F5-G5</f>
        <v>1389798.65</v>
      </c>
      <c r="E5" s="244"/>
      <c r="F5" s="256">
        <f>SUM('DOE25'!J189:J192)+SUM('DOE25'!J207:J210)+SUM('DOE25'!J225:J228)</f>
        <v>0</v>
      </c>
      <c r="G5" s="53">
        <f>SUM('DOE25'!K189:K192)+SUM('DOE25'!K207:K210)+SUM('DOE25'!K225:K228)</f>
        <v>864.75</v>
      </c>
      <c r="H5" s="260"/>
    </row>
    <row r="6" spans="1:9" x14ac:dyDescent="0.2">
      <c r="A6" s="32">
        <v>2100</v>
      </c>
      <c r="B6" t="s">
        <v>832</v>
      </c>
      <c r="C6" s="246">
        <f t="shared" si="0"/>
        <v>45057.279999999999</v>
      </c>
      <c r="D6" s="20">
        <f>'DOE25'!L194+'DOE25'!L212+'DOE25'!L230-F6-G6</f>
        <v>44781.279999999999</v>
      </c>
      <c r="E6" s="244"/>
      <c r="F6" s="256">
        <f>'DOE25'!J194+'DOE25'!J212+'DOE25'!J230</f>
        <v>0</v>
      </c>
      <c r="G6" s="53">
        <f>'DOE25'!K194+'DOE25'!K212+'DOE25'!K230</f>
        <v>276</v>
      </c>
      <c r="H6" s="260"/>
    </row>
    <row r="7" spans="1:9" x14ac:dyDescent="0.2">
      <c r="A7" s="32">
        <v>2200</v>
      </c>
      <c r="B7" t="s">
        <v>865</v>
      </c>
      <c r="C7" s="246">
        <f t="shared" si="0"/>
        <v>20130.39</v>
      </c>
      <c r="D7" s="20">
        <f>'DOE25'!L195+'DOE25'!L213+'DOE25'!L231-F7-G7</f>
        <v>20130.39</v>
      </c>
      <c r="E7" s="244"/>
      <c r="F7" s="256">
        <f>'DOE25'!J195+'DOE25'!J213+'DOE25'!J231</f>
        <v>0</v>
      </c>
      <c r="G7" s="53">
        <f>'DOE25'!K195+'DOE25'!K213+'DOE25'!K231</f>
        <v>0</v>
      </c>
      <c r="H7" s="260"/>
    </row>
    <row r="8" spans="1:9" x14ac:dyDescent="0.2">
      <c r="A8" s="32">
        <v>2300</v>
      </c>
      <c r="B8" t="s">
        <v>833</v>
      </c>
      <c r="C8" s="246">
        <f t="shared" si="0"/>
        <v>57990.999999999985</v>
      </c>
      <c r="D8" s="244"/>
      <c r="E8" s="20">
        <f>'DOE25'!L196+'DOE25'!L214+'DOE25'!L232-F8-G8-D9-D11</f>
        <v>55714.169999999984</v>
      </c>
      <c r="F8" s="256">
        <f>'DOE25'!J196+'DOE25'!J214+'DOE25'!J232</f>
        <v>0</v>
      </c>
      <c r="G8" s="53">
        <f>'DOE25'!K196+'DOE25'!K214+'DOE25'!K232</f>
        <v>2276.83</v>
      </c>
      <c r="H8" s="260"/>
    </row>
    <row r="9" spans="1:9" x14ac:dyDescent="0.2">
      <c r="A9" s="32">
        <v>2310</v>
      </c>
      <c r="B9" t="s">
        <v>849</v>
      </c>
      <c r="C9" s="246">
        <f t="shared" si="0"/>
        <v>14830.3</v>
      </c>
      <c r="D9" s="245">
        <v>14830.3</v>
      </c>
      <c r="E9" s="244"/>
      <c r="F9" s="259"/>
      <c r="G9" s="257"/>
      <c r="H9" s="260"/>
    </row>
    <row r="10" spans="1:9" x14ac:dyDescent="0.2">
      <c r="A10" s="32">
        <v>2317</v>
      </c>
      <c r="B10" t="s">
        <v>850</v>
      </c>
      <c r="C10" s="246">
        <f t="shared" si="0"/>
        <v>6030.5</v>
      </c>
      <c r="D10" s="244"/>
      <c r="E10" s="245">
        <v>6030.5</v>
      </c>
      <c r="F10" s="259"/>
      <c r="G10" s="257"/>
      <c r="H10" s="260"/>
    </row>
    <row r="11" spans="1:9" x14ac:dyDescent="0.2">
      <c r="A11" s="32">
        <v>2321</v>
      </c>
      <c r="B11" t="s">
        <v>862</v>
      </c>
      <c r="C11" s="246">
        <f t="shared" si="0"/>
        <v>22327</v>
      </c>
      <c r="D11" s="245">
        <v>22327</v>
      </c>
      <c r="E11" s="244"/>
      <c r="F11" s="259"/>
      <c r="G11" s="257"/>
      <c r="H11" s="260"/>
    </row>
    <row r="12" spans="1:9" x14ac:dyDescent="0.2">
      <c r="A12" s="32">
        <v>2400</v>
      </c>
      <c r="B12" t="s">
        <v>746</v>
      </c>
      <c r="C12" s="246">
        <f t="shared" si="0"/>
        <v>105819.79999999999</v>
      </c>
      <c r="D12" s="20">
        <f>'DOE25'!L197+'DOE25'!L215+'DOE25'!L233-F12-G12</f>
        <v>104699.84999999999</v>
      </c>
      <c r="E12" s="244"/>
      <c r="F12" s="256">
        <f>'DOE25'!J197+'DOE25'!J215+'DOE25'!J233</f>
        <v>129.94999999999999</v>
      </c>
      <c r="G12" s="53">
        <f>'DOE25'!K197+'DOE25'!K215+'DOE25'!K233</f>
        <v>990</v>
      </c>
      <c r="H12" s="260"/>
    </row>
    <row r="13" spans="1:9" x14ac:dyDescent="0.2">
      <c r="A13" s="32">
        <v>2500</v>
      </c>
      <c r="B13" t="s">
        <v>834</v>
      </c>
      <c r="C13" s="246">
        <f t="shared" si="0"/>
        <v>0</v>
      </c>
      <c r="D13" s="244"/>
      <c r="E13" s="20">
        <f>'DOE25'!L198+'DOE25'!L216+'DOE25'!L234-F13-G13</f>
        <v>0</v>
      </c>
      <c r="F13" s="256">
        <f>'DOE25'!J198+'DOE25'!J216+'DOE25'!J234</f>
        <v>0</v>
      </c>
      <c r="G13" s="53">
        <f>'DOE25'!K198+'DOE25'!K216+'DOE25'!K234</f>
        <v>0</v>
      </c>
      <c r="H13" s="260"/>
    </row>
    <row r="14" spans="1:9" x14ac:dyDescent="0.2">
      <c r="A14" s="32">
        <v>2600</v>
      </c>
      <c r="B14" t="s">
        <v>863</v>
      </c>
      <c r="C14" s="246">
        <f t="shared" si="0"/>
        <v>105270.20000000001</v>
      </c>
      <c r="D14" s="20">
        <f>'DOE25'!L199+'DOE25'!L217+'DOE25'!L235-F14-G14</f>
        <v>102037.35</v>
      </c>
      <c r="E14" s="244"/>
      <c r="F14" s="256">
        <f>'DOE25'!J199+'DOE25'!J217+'DOE25'!J235</f>
        <v>3232.85</v>
      </c>
      <c r="G14" s="53">
        <f>'DOE25'!K199+'DOE25'!K217+'DOE25'!K235</f>
        <v>0</v>
      </c>
      <c r="H14" s="260"/>
    </row>
    <row r="15" spans="1:9" x14ac:dyDescent="0.2">
      <c r="A15" s="32">
        <v>2700</v>
      </c>
      <c r="B15" t="s">
        <v>835</v>
      </c>
      <c r="C15" s="246">
        <f t="shared" si="0"/>
        <v>96317.709999999992</v>
      </c>
      <c r="D15" s="20">
        <f>'DOE25'!L200+'DOE25'!L218+'DOE25'!L236-F15-G15</f>
        <v>96317.709999999992</v>
      </c>
      <c r="E15" s="244"/>
      <c r="F15" s="256">
        <f>'DOE25'!J200+'DOE25'!J218+'DOE25'!J236</f>
        <v>0</v>
      </c>
      <c r="G15" s="53">
        <f>'DOE25'!K200+'DOE25'!K218+'DOE25'!K236</f>
        <v>0</v>
      </c>
      <c r="H15" s="260"/>
    </row>
    <row r="16" spans="1:9" x14ac:dyDescent="0.2">
      <c r="A16" s="32">
        <v>2800</v>
      </c>
      <c r="B16" t="s">
        <v>836</v>
      </c>
      <c r="C16" s="246">
        <f t="shared" si="0"/>
        <v>4566.24</v>
      </c>
      <c r="D16" s="244"/>
      <c r="E16" s="20">
        <f>'DOE25'!L201+'DOE25'!L219+'DOE25'!L237-F16-G16</f>
        <v>4566.24</v>
      </c>
      <c r="F16" s="256">
        <f>'DOE25'!J201+'DOE25'!J219+'DOE25'!J237</f>
        <v>0</v>
      </c>
      <c r="G16" s="53">
        <f>'DOE25'!K201+'DOE25'!K219+'DOE25'!K237</f>
        <v>0</v>
      </c>
      <c r="H16" s="260"/>
    </row>
    <row r="17" spans="1:8" x14ac:dyDescent="0.2">
      <c r="A17" s="32">
        <v>1600</v>
      </c>
      <c r="B17" t="s">
        <v>837</v>
      </c>
      <c r="C17" s="246">
        <f t="shared" si="0"/>
        <v>0</v>
      </c>
      <c r="D17" s="20">
        <f>'DOE25'!L243-F17-G17</f>
        <v>0</v>
      </c>
      <c r="E17" s="244"/>
      <c r="F17" s="256">
        <f>'DOE25'!J243</f>
        <v>0</v>
      </c>
      <c r="G17" s="53">
        <f>'DOE25'!K243</f>
        <v>0</v>
      </c>
      <c r="H17" s="260"/>
    </row>
    <row r="18" spans="1:8" x14ac:dyDescent="0.2">
      <c r="A18" s="32">
        <v>1700</v>
      </c>
      <c r="B18" t="s">
        <v>838</v>
      </c>
      <c r="C18" s="246">
        <f t="shared" si="0"/>
        <v>0</v>
      </c>
      <c r="D18" s="20">
        <f>'DOE25'!L244-F18-G18</f>
        <v>0</v>
      </c>
      <c r="E18" s="244"/>
      <c r="F18" s="256">
        <f>'DOE25'!J244</f>
        <v>0</v>
      </c>
      <c r="G18" s="53">
        <f>'DOE25'!K244</f>
        <v>0</v>
      </c>
      <c r="H18" s="260"/>
    </row>
    <row r="19" spans="1:8" x14ac:dyDescent="0.2">
      <c r="A19" s="32">
        <v>1800</v>
      </c>
      <c r="B19" t="s">
        <v>839</v>
      </c>
      <c r="C19" s="246">
        <f t="shared" si="0"/>
        <v>0</v>
      </c>
      <c r="D19" s="20">
        <f>'DOE25'!L245-F19-G19</f>
        <v>0</v>
      </c>
      <c r="E19" s="244"/>
      <c r="F19" s="256">
        <f>'DOE25'!J245</f>
        <v>0</v>
      </c>
      <c r="G19" s="53">
        <f>'DOE25'!K245</f>
        <v>0</v>
      </c>
      <c r="H19" s="260"/>
    </row>
    <row r="20" spans="1:8" x14ac:dyDescent="0.2">
      <c r="F20" s="261"/>
      <c r="G20" s="52"/>
      <c r="H20" s="262"/>
    </row>
    <row r="21" spans="1:8" x14ac:dyDescent="0.2">
      <c r="B21" s="33" t="s">
        <v>827</v>
      </c>
      <c r="F21" s="261"/>
      <c r="G21" s="52"/>
      <c r="H21" s="262"/>
    </row>
    <row r="22" spans="1:8" x14ac:dyDescent="0.2">
      <c r="A22" s="32">
        <v>4000</v>
      </c>
      <c r="B22" t="s">
        <v>864</v>
      </c>
      <c r="C22" s="246">
        <f>SUM(D22:H22)</f>
        <v>0</v>
      </c>
      <c r="D22" s="244"/>
      <c r="E22" s="244"/>
      <c r="F22" s="256">
        <f>'DOE25'!L247+'DOE25'!L328</f>
        <v>0</v>
      </c>
      <c r="G22" s="257"/>
      <c r="H22" s="260"/>
    </row>
    <row r="23" spans="1:8" x14ac:dyDescent="0.2">
      <c r="A23" s="32"/>
      <c r="F23" s="261"/>
      <c r="G23" s="52"/>
      <c r="H23" s="262"/>
    </row>
    <row r="24" spans="1:8" x14ac:dyDescent="0.2">
      <c r="A24" s="32"/>
      <c r="B24" s="33" t="s">
        <v>487</v>
      </c>
      <c r="F24" s="261"/>
      <c r="G24" s="52"/>
      <c r="H24" s="262"/>
    </row>
    <row r="25" spans="1:8" x14ac:dyDescent="0.2">
      <c r="A25" s="32" t="s">
        <v>840</v>
      </c>
      <c r="B25" t="s">
        <v>841</v>
      </c>
      <c r="C25" s="246">
        <f>SUM(D25:H25)</f>
        <v>27212.720000000001</v>
      </c>
      <c r="D25" s="244"/>
      <c r="E25" s="244"/>
      <c r="F25" s="259"/>
      <c r="G25" s="257"/>
      <c r="H25" s="258">
        <f>'DOE25'!L252+'DOE25'!L253+'DOE25'!L333+'DOE25'!L334</f>
        <v>27212.720000000001</v>
      </c>
    </row>
    <row r="26" spans="1:8" x14ac:dyDescent="0.2">
      <c r="A26" s="32"/>
      <c r="F26" s="261"/>
      <c r="G26" s="52"/>
      <c r="H26" s="262"/>
    </row>
    <row r="27" spans="1:8" x14ac:dyDescent="0.2">
      <c r="A27" s="32"/>
      <c r="B27" s="33" t="s">
        <v>843</v>
      </c>
      <c r="F27" s="261"/>
      <c r="G27" s="52"/>
      <c r="H27" s="262"/>
    </row>
    <row r="28" spans="1:8" x14ac:dyDescent="0.2">
      <c r="A28" s="32">
        <v>3100</v>
      </c>
      <c r="B28" t="s">
        <v>856</v>
      </c>
      <c r="F28" s="261"/>
      <c r="G28" s="52"/>
      <c r="H28" s="262"/>
    </row>
    <row r="29" spans="1:8" x14ac:dyDescent="0.2">
      <c r="A29" s="32"/>
      <c r="B29" t="s">
        <v>844</v>
      </c>
      <c r="C29" s="246">
        <f>SUM(D29:H29)</f>
        <v>37919.57</v>
      </c>
      <c r="D29" s="20">
        <f>'DOE25'!L350+'DOE25'!L351+'DOE25'!L352-'DOE25'!I359-F29-G29</f>
        <v>37864.11</v>
      </c>
      <c r="E29" s="244"/>
      <c r="F29" s="256">
        <f>'DOE25'!J350+'DOE25'!J351+'DOE25'!J352</f>
        <v>5.46</v>
      </c>
      <c r="G29" s="53">
        <f>'DOE25'!K350+'DOE25'!K351+'DOE25'!K352</f>
        <v>50</v>
      </c>
      <c r="H29" s="260"/>
    </row>
    <row r="30" spans="1:8" x14ac:dyDescent="0.2">
      <c r="A30" s="32"/>
      <c r="D30" s="20"/>
      <c r="E30" s="244"/>
      <c r="F30" s="256"/>
      <c r="G30" s="53"/>
      <c r="H30" s="260"/>
    </row>
    <row r="31" spans="1:8" x14ac:dyDescent="0.2">
      <c r="A31" s="32" t="s">
        <v>858</v>
      </c>
      <c r="B31" t="s">
        <v>857</v>
      </c>
      <c r="C31" s="246">
        <f>SUM(D31:H31)</f>
        <v>79305.429999999993</v>
      </c>
      <c r="D31" s="20">
        <f>'DOE25'!L282+'DOE25'!L301+'DOE25'!L320+'DOE25'!L325+'DOE25'!L326+'DOE25'!L327-F31-G31</f>
        <v>38226.729999999996</v>
      </c>
      <c r="E31" s="244"/>
      <c r="F31" s="256">
        <f>'DOE25'!J282+'DOE25'!J301+'DOE25'!J320+'DOE25'!J325+'DOE25'!J326+'DOE25'!J327</f>
        <v>40477.25</v>
      </c>
      <c r="G31" s="53">
        <f>'DOE25'!K282+'DOE25'!K301+'DOE25'!K320+'DOE25'!K325+'DOE25'!K326+'DOE25'!K327</f>
        <v>601.45000000000005</v>
      </c>
      <c r="H31" s="260"/>
    </row>
    <row r="32" spans="1:8" ht="12" thickBot="1" x14ac:dyDescent="0.25">
      <c r="F32" s="263"/>
      <c r="G32" s="254"/>
      <c r="H32" s="264"/>
    </row>
    <row r="33" spans="2:8" ht="12" thickTop="1" x14ac:dyDescent="0.2">
      <c r="B33" t="s">
        <v>845</v>
      </c>
      <c r="D33" s="247">
        <f>SUM(D5:D31)</f>
        <v>1871013.37</v>
      </c>
      <c r="E33" s="247">
        <f>SUM(E5:E31)</f>
        <v>66310.909999999989</v>
      </c>
      <c r="F33" s="247">
        <f>SUM(F5:F31)</f>
        <v>43845.51</v>
      </c>
      <c r="G33" s="247">
        <f>SUM(G5:G31)</f>
        <v>5059.03</v>
      </c>
      <c r="H33" s="247">
        <f>SUM(H5:H31)</f>
        <v>27212.720000000001</v>
      </c>
    </row>
    <row r="35" spans="2:8" ht="12" thickBot="1" x14ac:dyDescent="0.25">
      <c r="B35" s="254" t="s">
        <v>878</v>
      </c>
      <c r="D35" s="255">
        <f>E33</f>
        <v>66310.909999999989</v>
      </c>
      <c r="E35" s="250"/>
    </row>
    <row r="36" spans="2:8" ht="12" thickTop="1" x14ac:dyDescent="0.2">
      <c r="B36" t="s">
        <v>846</v>
      </c>
      <c r="D36" s="20">
        <f>D33</f>
        <v>1871013.37</v>
      </c>
    </row>
    <row r="38" spans="2:8" x14ac:dyDescent="0.2">
      <c r="B38" s="187" t="s">
        <v>887</v>
      </c>
      <c r="C38" s="267"/>
      <c r="D38" s="268"/>
    </row>
    <row r="39" spans="2:8" x14ac:dyDescent="0.2">
      <c r="B39" t="s">
        <v>855</v>
      </c>
      <c r="D39" s="181" t="str">
        <f>IF(E10&gt;0,"Y","N")</f>
        <v>Y</v>
      </c>
    </row>
    <row r="41" spans="2:8" x14ac:dyDescent="0.2">
      <c r="B41" s="265" t="s">
        <v>802</v>
      </c>
    </row>
    <row r="42" spans="2:8" x14ac:dyDescent="0.2">
      <c r="B42" t="s">
        <v>859</v>
      </c>
    </row>
    <row r="43" spans="2:8" x14ac:dyDescent="0.2">
      <c r="B43" t="s">
        <v>853</v>
      </c>
    </row>
    <row r="45" spans="2:8" x14ac:dyDescent="0.2">
      <c r="B45" t="s">
        <v>851</v>
      </c>
    </row>
    <row r="47" spans="2:8" x14ac:dyDescent="0.2">
      <c r="B47" t="s">
        <v>861</v>
      </c>
    </row>
    <row r="48" spans="2:8" x14ac:dyDescent="0.2">
      <c r="B48" t="s">
        <v>877</v>
      </c>
    </row>
    <row r="49" spans="2:2" x14ac:dyDescent="0.2">
      <c r="B49" t="s">
        <v>867</v>
      </c>
    </row>
    <row r="50" spans="2:2" x14ac:dyDescent="0.2">
      <c r="B50" t="s">
        <v>860</v>
      </c>
    </row>
    <row r="51" spans="2:2" x14ac:dyDescent="0.2">
      <c r="B51" t="s">
        <v>854</v>
      </c>
    </row>
  </sheetData>
  <sheetProtection password="B3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30DF9-5CA6-4154-A2D4-1AD24A052241}">
  <sheetPr transitionEvaluation="1" codeName="Sheet2">
    <tabColor indexed="10"/>
  </sheetPr>
  <dimension ref="A1:I156"/>
  <sheetViews>
    <sheetView zoomScale="75" workbookViewId="0">
      <pane ySplit="2" topLeftCell="A117" activePane="bottomLeft" state="frozen"/>
      <selection pane="bottomLeft" activeCell="A60" sqref="A60"/>
    </sheetView>
  </sheetViews>
  <sheetFormatPr defaultRowHeight="11.25" x14ac:dyDescent="0.2"/>
  <cols>
    <col min="1" max="1" width="47.16406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BATH SCHOOL DISTRICT</v>
      </c>
      <c r="B2" s="126"/>
      <c r="C2" s="15" t="s">
        <v>288</v>
      </c>
      <c r="D2" s="15" t="s">
        <v>289</v>
      </c>
      <c r="E2" s="15" t="s">
        <v>290</v>
      </c>
      <c r="F2" s="15" t="s">
        <v>291</v>
      </c>
      <c r="G2" s="15" t="s">
        <v>292</v>
      </c>
      <c r="H2" s="125"/>
      <c r="I2" s="125"/>
    </row>
    <row r="3" spans="1:9" x14ac:dyDescent="0.2">
      <c r="A3" s="5" t="s">
        <v>294</v>
      </c>
      <c r="B3" s="6" t="s">
        <v>151</v>
      </c>
      <c r="C3" s="23" t="s">
        <v>297</v>
      </c>
      <c r="D3" s="23" t="s">
        <v>298</v>
      </c>
      <c r="E3" s="23" t="s">
        <v>299</v>
      </c>
      <c r="F3" s="23" t="s">
        <v>300</v>
      </c>
      <c r="G3" s="23" t="s">
        <v>301</v>
      </c>
      <c r="H3" s="4"/>
      <c r="I3" s="4"/>
    </row>
    <row r="4" spans="1:9" x14ac:dyDescent="0.2">
      <c r="A4" s="1" t="s">
        <v>302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1" t="s">
        <v>303</v>
      </c>
      <c r="B5" s="127"/>
      <c r="C5" s="3"/>
      <c r="D5" s="3"/>
      <c r="E5" s="3"/>
      <c r="F5" s="3"/>
      <c r="G5" s="3"/>
      <c r="H5" s="124"/>
      <c r="I5" s="124"/>
    </row>
    <row r="6" spans="1:9" x14ac:dyDescent="0.2">
      <c r="A6" s="3"/>
      <c r="B6" s="7"/>
      <c r="C6" s="25" t="s">
        <v>304</v>
      </c>
      <c r="D6" s="26" t="s">
        <v>305</v>
      </c>
      <c r="E6" s="25" t="s">
        <v>306</v>
      </c>
      <c r="F6" s="25" t="s">
        <v>307</v>
      </c>
      <c r="G6" s="25" t="s">
        <v>308</v>
      </c>
      <c r="H6" s="124"/>
      <c r="I6" s="124"/>
    </row>
    <row r="7" spans="1:9" x14ac:dyDescent="0.2">
      <c r="A7" s="1" t="s">
        <v>309</v>
      </c>
      <c r="B7" s="7"/>
      <c r="C7" s="14" t="s">
        <v>310</v>
      </c>
      <c r="D7" s="13"/>
      <c r="E7" s="13"/>
      <c r="F7" s="13"/>
      <c r="G7" s="13"/>
      <c r="H7" s="124"/>
      <c r="I7" s="124"/>
    </row>
    <row r="8" spans="1:9" x14ac:dyDescent="0.2">
      <c r="A8" s="29" t="s">
        <v>311</v>
      </c>
      <c r="B8" s="7"/>
      <c r="C8" s="24" t="s">
        <v>312</v>
      </c>
      <c r="D8" s="24" t="s">
        <v>312</v>
      </c>
      <c r="E8" s="24" t="s">
        <v>312</v>
      </c>
      <c r="F8" s="24" t="s">
        <v>312</v>
      </c>
      <c r="G8" s="24" t="s">
        <v>312</v>
      </c>
      <c r="H8" s="124"/>
      <c r="I8" s="124"/>
    </row>
    <row r="9" spans="1:9" x14ac:dyDescent="0.2">
      <c r="A9" s="1" t="s">
        <v>152</v>
      </c>
      <c r="B9" s="6">
        <v>100</v>
      </c>
      <c r="C9" s="95">
        <f>'DOE25'!F9</f>
        <v>21927.91</v>
      </c>
      <c r="D9" s="95">
        <f>'DOE25'!G9</f>
        <v>0</v>
      </c>
      <c r="E9" s="95">
        <f>'DOE25'!H9</f>
        <v>0</v>
      </c>
      <c r="F9" s="95">
        <f>'DOE25'!I9</f>
        <v>0</v>
      </c>
      <c r="G9" s="95">
        <f>'DOE25'!J9</f>
        <v>0</v>
      </c>
      <c r="H9" s="124"/>
      <c r="I9" s="124"/>
    </row>
    <row r="10" spans="1:9" x14ac:dyDescent="0.2">
      <c r="A10" s="1" t="s">
        <v>153</v>
      </c>
      <c r="B10" s="6">
        <v>110</v>
      </c>
      <c r="C10" s="95">
        <f>'DOE25'!F10</f>
        <v>0</v>
      </c>
      <c r="D10" s="95">
        <f>'DOE25'!G10</f>
        <v>0</v>
      </c>
      <c r="E10" s="95">
        <f>'DOE25'!H10</f>
        <v>0</v>
      </c>
      <c r="F10" s="95">
        <f>'DOE25'!I10</f>
        <v>0</v>
      </c>
      <c r="G10" s="95">
        <f>'DOE25'!J10</f>
        <v>49809.08</v>
      </c>
      <c r="H10" s="124"/>
      <c r="I10" s="124"/>
    </row>
    <row r="11" spans="1:9" x14ac:dyDescent="0.2">
      <c r="A11" s="1" t="s">
        <v>154</v>
      </c>
      <c r="B11" s="6">
        <v>120</v>
      </c>
      <c r="C11" s="95">
        <f>'DOE25'!F11</f>
        <v>0</v>
      </c>
      <c r="D11" s="24" t="s">
        <v>312</v>
      </c>
      <c r="E11" s="24" t="s">
        <v>312</v>
      </c>
      <c r="F11" s="24" t="s">
        <v>312</v>
      </c>
      <c r="G11" s="24" t="s">
        <v>312</v>
      </c>
      <c r="H11" s="124"/>
      <c r="I11" s="124"/>
    </row>
    <row r="12" spans="1:9" x14ac:dyDescent="0.2">
      <c r="A12" s="1" t="s">
        <v>155</v>
      </c>
      <c r="B12" s="6">
        <v>130</v>
      </c>
      <c r="C12" s="95">
        <f>'DOE25'!F12</f>
        <v>13024.08</v>
      </c>
      <c r="D12" s="95">
        <f>'DOE25'!G12</f>
        <v>0</v>
      </c>
      <c r="E12" s="95">
        <f>'DOE25'!H12</f>
        <v>0</v>
      </c>
      <c r="F12" s="95">
        <f>'DOE25'!I12</f>
        <v>0</v>
      </c>
      <c r="G12" s="95">
        <f>'DOE25'!J12</f>
        <v>0</v>
      </c>
      <c r="H12" s="124"/>
      <c r="I12" s="124"/>
    </row>
    <row r="13" spans="1:9" x14ac:dyDescent="0.2">
      <c r="A13" s="1" t="s">
        <v>156</v>
      </c>
      <c r="B13" s="6">
        <v>140</v>
      </c>
      <c r="C13" s="95">
        <f>'DOE25'!F13</f>
        <v>7139.11</v>
      </c>
      <c r="D13" s="95">
        <f>'DOE25'!G13</f>
        <v>3279.9</v>
      </c>
      <c r="E13" s="95">
        <f>'DOE25'!H13</f>
        <v>9744.18</v>
      </c>
      <c r="F13" s="95">
        <f>'DOE25'!I13</f>
        <v>0</v>
      </c>
      <c r="G13" s="95">
        <f>'DOE25'!J13</f>
        <v>0</v>
      </c>
      <c r="H13" s="124"/>
      <c r="I13" s="124"/>
    </row>
    <row r="14" spans="1:9" x14ac:dyDescent="0.2">
      <c r="A14" s="1" t="s">
        <v>157</v>
      </c>
      <c r="B14" s="6">
        <v>150</v>
      </c>
      <c r="C14" s="95">
        <f>'DOE25'!F14</f>
        <v>1672.59</v>
      </c>
      <c r="D14" s="95">
        <f>'DOE25'!G14</f>
        <v>0</v>
      </c>
      <c r="E14" s="95">
        <f>'DOE25'!H14</f>
        <v>0</v>
      </c>
      <c r="F14" s="95">
        <f>'DOE25'!I14</f>
        <v>0</v>
      </c>
      <c r="G14" s="95">
        <f>'DOE25'!J14</f>
        <v>0</v>
      </c>
      <c r="H14" s="124"/>
      <c r="I14" s="124"/>
    </row>
    <row r="15" spans="1:9" x14ac:dyDescent="0.2">
      <c r="A15" s="1" t="s">
        <v>158</v>
      </c>
      <c r="B15" s="6">
        <v>160</v>
      </c>
      <c r="C15" s="24" t="s">
        <v>312</v>
      </c>
      <c r="D15" s="24" t="s">
        <v>312</v>
      </c>
      <c r="E15" s="24" t="s">
        <v>312</v>
      </c>
      <c r="F15" s="95">
        <f>'DOE25'!I15</f>
        <v>0</v>
      </c>
      <c r="G15" s="24" t="s">
        <v>312</v>
      </c>
      <c r="H15" s="124"/>
      <c r="I15" s="124"/>
    </row>
    <row r="16" spans="1:9" x14ac:dyDescent="0.2">
      <c r="A16" s="1" t="s">
        <v>159</v>
      </c>
      <c r="B16" s="6">
        <v>170</v>
      </c>
      <c r="C16" s="95">
        <f>'DOE25'!F16</f>
        <v>0</v>
      </c>
      <c r="D16" s="95">
        <f>'DOE25'!G16</f>
        <v>0</v>
      </c>
      <c r="E16" s="95">
        <f>'DOE25'!H16</f>
        <v>0</v>
      </c>
      <c r="F16" s="95">
        <f>'DOE25'!I16</f>
        <v>0</v>
      </c>
      <c r="G16" s="24" t="s">
        <v>312</v>
      </c>
      <c r="H16" s="124"/>
      <c r="I16" s="124"/>
    </row>
    <row r="17" spans="1:9" x14ac:dyDescent="0.2">
      <c r="A17" s="1" t="s">
        <v>160</v>
      </c>
      <c r="B17" s="6">
        <v>180</v>
      </c>
      <c r="C17" s="95">
        <f>'DOE25'!F17</f>
        <v>0</v>
      </c>
      <c r="D17" s="95">
        <f>'DOE25'!G17</f>
        <v>0</v>
      </c>
      <c r="E17" s="95">
        <f>'DOE25'!H17</f>
        <v>0</v>
      </c>
      <c r="F17" s="95">
        <f>'DOE25'!I17</f>
        <v>0</v>
      </c>
      <c r="G17" s="95">
        <f>'DOE25'!J17</f>
        <v>0</v>
      </c>
      <c r="H17" s="124"/>
      <c r="I17" s="124"/>
    </row>
    <row r="18" spans="1:9" ht="12" thickBot="1" x14ac:dyDescent="0.25">
      <c r="A18" s="1" t="s">
        <v>161</v>
      </c>
      <c r="B18" s="6">
        <v>190</v>
      </c>
      <c r="C18" s="95">
        <f>'DOE25'!F18</f>
        <v>0</v>
      </c>
      <c r="D18" s="95">
        <f>'DOE25'!G18</f>
        <v>0</v>
      </c>
      <c r="E18" s="95">
        <f>'DOE25'!H18</f>
        <v>0</v>
      </c>
      <c r="F18" s="95">
        <f>'DOE25'!I18</f>
        <v>0</v>
      </c>
      <c r="G18" s="95">
        <f>'DOE25'!J18</f>
        <v>0</v>
      </c>
      <c r="H18" s="124"/>
      <c r="I18" s="124"/>
    </row>
    <row r="19" spans="1:9" ht="12" thickTop="1" x14ac:dyDescent="0.2">
      <c r="A19" s="38" t="s">
        <v>162</v>
      </c>
      <c r="B19" s="39"/>
      <c r="C19" s="41">
        <f>SUM(C9:C18)</f>
        <v>43763.689999999995</v>
      </c>
      <c r="D19" s="41">
        <f>SUM(D9:D18)</f>
        <v>3279.9</v>
      </c>
      <c r="E19" s="41">
        <f>SUM(E9:E18)</f>
        <v>9744.18</v>
      </c>
      <c r="F19" s="41">
        <f>SUM(F9:F18)</f>
        <v>0</v>
      </c>
      <c r="G19" s="41">
        <f>SUM(G9:G18)</f>
        <v>49809.08</v>
      </c>
      <c r="H19" s="124"/>
      <c r="I19" s="124"/>
    </row>
    <row r="20" spans="1:9" x14ac:dyDescent="0.2">
      <c r="A20" s="1" t="s">
        <v>326</v>
      </c>
      <c r="B20" s="127"/>
      <c r="C20" s="13"/>
      <c r="D20" s="13"/>
      <c r="E20" s="13"/>
      <c r="F20" s="13"/>
      <c r="G20" s="13"/>
      <c r="H20" s="124"/>
      <c r="I20" s="124"/>
    </row>
    <row r="21" spans="1:9" x14ac:dyDescent="0.2">
      <c r="A21" s="29" t="s">
        <v>327</v>
      </c>
      <c r="B21" s="7"/>
      <c r="C21" s="24" t="s">
        <v>312</v>
      </c>
      <c r="D21" s="24" t="s">
        <v>312</v>
      </c>
      <c r="E21" s="24" t="s">
        <v>312</v>
      </c>
      <c r="F21" s="24" t="s">
        <v>312</v>
      </c>
      <c r="G21" s="24" t="s">
        <v>312</v>
      </c>
      <c r="H21" s="124"/>
      <c r="I21" s="124"/>
    </row>
    <row r="22" spans="1:9" x14ac:dyDescent="0.2">
      <c r="A22" s="1" t="s">
        <v>163</v>
      </c>
      <c r="B22" s="6">
        <v>400</v>
      </c>
      <c r="C22" s="95">
        <f>'DOE25'!F23</f>
        <v>0</v>
      </c>
      <c r="D22" s="95">
        <f>'DOE25'!G23</f>
        <v>3279.9</v>
      </c>
      <c r="E22" s="95">
        <f>'DOE25'!H23</f>
        <v>9744.18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164</v>
      </c>
      <c r="B23" s="6">
        <v>410</v>
      </c>
      <c r="C23" s="95">
        <f>'DOE25'!F24</f>
        <v>0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165</v>
      </c>
      <c r="B24" s="6">
        <v>420</v>
      </c>
      <c r="C24" s="95">
        <f>'DOE25'!F25</f>
        <v>1957.2</v>
      </c>
      <c r="D24" s="95">
        <f>'DOE25'!G25</f>
        <v>0</v>
      </c>
      <c r="E24" s="95">
        <f>'DOE25'!H25</f>
        <v>0</v>
      </c>
      <c r="F24" s="95">
        <f>'DOE25'!I25</f>
        <v>0</v>
      </c>
      <c r="G24" s="95">
        <f>'DOE25'!J25</f>
        <v>0</v>
      </c>
      <c r="H24" s="124"/>
      <c r="I24" s="124"/>
    </row>
    <row r="25" spans="1:9" x14ac:dyDescent="0.2">
      <c r="A25" s="1" t="s">
        <v>166</v>
      </c>
      <c r="B25" s="6">
        <v>430</v>
      </c>
      <c r="C25" s="95">
        <f>'DOE25'!F26</f>
        <v>0</v>
      </c>
      <c r="D25" s="95">
        <f>'DOE25'!G26</f>
        <v>0</v>
      </c>
      <c r="E25" s="95">
        <f>'DOE25'!H26</f>
        <v>0</v>
      </c>
      <c r="F25" s="95">
        <f>'DOE25'!I26</f>
        <v>0</v>
      </c>
      <c r="G25" s="24" t="s">
        <v>312</v>
      </c>
      <c r="H25" s="124"/>
      <c r="I25" s="124"/>
    </row>
    <row r="26" spans="1:9" x14ac:dyDescent="0.2">
      <c r="A26" s="1" t="s">
        <v>167</v>
      </c>
      <c r="B26" s="6">
        <v>440</v>
      </c>
      <c r="C26" s="95">
        <f>'DOE25'!F27</f>
        <v>0</v>
      </c>
      <c r="D26" s="24" t="s">
        <v>312</v>
      </c>
      <c r="E26" s="24" t="s">
        <v>312</v>
      </c>
      <c r="F26" s="95">
        <f>'DOE25'!I27</f>
        <v>0</v>
      </c>
      <c r="G26" s="24" t="s">
        <v>312</v>
      </c>
      <c r="H26" s="124"/>
      <c r="I26" s="124"/>
    </row>
    <row r="27" spans="1:9" x14ac:dyDescent="0.2">
      <c r="A27" s="1" t="s">
        <v>168</v>
      </c>
      <c r="B27" s="6">
        <v>450</v>
      </c>
      <c r="C27" s="95">
        <f>'DOE25'!F28</f>
        <v>0</v>
      </c>
      <c r="D27" s="24" t="s">
        <v>312</v>
      </c>
      <c r="E27" s="24" t="s">
        <v>312</v>
      </c>
      <c r="F27" s="95">
        <f>'DOE25'!I28</f>
        <v>0</v>
      </c>
      <c r="G27" s="24" t="s">
        <v>312</v>
      </c>
      <c r="H27" s="124"/>
      <c r="I27" s="124"/>
    </row>
    <row r="28" spans="1:9" x14ac:dyDescent="0.2">
      <c r="A28" s="1" t="s">
        <v>169</v>
      </c>
      <c r="B28" s="6">
        <v>460</v>
      </c>
      <c r="C28" s="95">
        <f>'DOE25'!F29</f>
        <v>507.66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312</v>
      </c>
      <c r="H28" s="124"/>
      <c r="I28" s="124"/>
    </row>
    <row r="29" spans="1:9" x14ac:dyDescent="0.2">
      <c r="A29" s="1" t="s">
        <v>170</v>
      </c>
      <c r="B29" s="6">
        <v>470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312</v>
      </c>
      <c r="H29" s="124"/>
      <c r="I29" s="124"/>
    </row>
    <row r="30" spans="1:9" x14ac:dyDescent="0.2">
      <c r="A30" s="1" t="s">
        <v>171</v>
      </c>
      <c r="B30" s="6">
        <v>480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24" t="s">
        <v>312</v>
      </c>
      <c r="H30" s="124"/>
      <c r="I30" s="124"/>
    </row>
    <row r="31" spans="1:9" ht="12" thickBot="1" x14ac:dyDescent="0.25">
      <c r="A31" s="1" t="s">
        <v>172</v>
      </c>
      <c r="B31" s="71">
        <v>490</v>
      </c>
      <c r="C31" s="95">
        <f>'DOE25'!F32</f>
        <v>0</v>
      </c>
      <c r="D31" s="95">
        <f>'DOE25'!G32</f>
        <v>0</v>
      </c>
      <c r="E31" s="95">
        <f>'DOE25'!H32</f>
        <v>0</v>
      </c>
      <c r="F31" s="95">
        <f>'DOE25'!I32</f>
        <v>0</v>
      </c>
      <c r="G31" s="95">
        <f>'DOE25'!J32</f>
        <v>0</v>
      </c>
      <c r="H31" s="124"/>
      <c r="I31" s="124"/>
    </row>
    <row r="32" spans="1:9" ht="12" thickTop="1" x14ac:dyDescent="0.2">
      <c r="A32" s="38" t="s">
        <v>173</v>
      </c>
      <c r="B32" s="2"/>
      <c r="C32" s="41">
        <f>SUM(C22:C31)</f>
        <v>2464.86</v>
      </c>
      <c r="D32" s="41">
        <f>SUM(D22:D31)</f>
        <v>3279.9</v>
      </c>
      <c r="E32" s="41">
        <f>SUM(E22:E31)</f>
        <v>9744.18</v>
      </c>
      <c r="F32" s="41">
        <f>SUM(F22:F31)</f>
        <v>0</v>
      </c>
      <c r="G32" s="41">
        <f>SUM(G22:G31)</f>
        <v>0</v>
      </c>
      <c r="H32" s="124"/>
      <c r="I32" s="124"/>
    </row>
    <row r="33" spans="1:9" x14ac:dyDescent="0.2">
      <c r="A33" s="29" t="s">
        <v>328</v>
      </c>
      <c r="B33" s="2" t="s">
        <v>310</v>
      </c>
      <c r="C33" s="24" t="s">
        <v>312</v>
      </c>
      <c r="D33" s="24" t="s">
        <v>312</v>
      </c>
      <c r="E33" s="24" t="s">
        <v>312</v>
      </c>
      <c r="F33" s="24" t="s">
        <v>312</v>
      </c>
      <c r="G33" s="24" t="s">
        <v>312</v>
      </c>
      <c r="H33" s="124"/>
      <c r="I33" s="124"/>
    </row>
    <row r="34" spans="1:9" x14ac:dyDescent="0.2">
      <c r="A34" s="1" t="s">
        <v>174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312</v>
      </c>
      <c r="H34" s="124"/>
      <c r="I34" s="124"/>
    </row>
    <row r="35" spans="1:9" x14ac:dyDescent="0.2">
      <c r="A35" s="1" t="s">
        <v>175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312</v>
      </c>
      <c r="H35" s="124"/>
      <c r="I35" s="124"/>
    </row>
    <row r="36" spans="1:9" x14ac:dyDescent="0.2">
      <c r="A36" s="1" t="s">
        <v>176</v>
      </c>
      <c r="B36" s="6">
        <v>753</v>
      </c>
      <c r="C36" s="95">
        <f>'DOE25'!F37</f>
        <v>10978.48</v>
      </c>
      <c r="D36" s="95">
        <f>'DOE25'!G37</f>
        <v>0</v>
      </c>
      <c r="E36" s="95">
        <f>'DOE25'!H37</f>
        <v>336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1" t="s">
        <v>177</v>
      </c>
      <c r="B37" s="6">
        <v>754</v>
      </c>
      <c r="C37" s="95">
        <f>'DOE25'!F38</f>
        <v>0</v>
      </c>
      <c r="D37" s="95">
        <f>'DOE25'!G38</f>
        <v>0</v>
      </c>
      <c r="E37" s="95">
        <f>'DOE25'!H38</f>
        <v>0</v>
      </c>
      <c r="F37" s="95">
        <f>'DOE25'!I38</f>
        <v>0</v>
      </c>
      <c r="G37" s="95">
        <f>'DOE25'!J38</f>
        <v>0</v>
      </c>
      <c r="H37" s="124"/>
      <c r="I37" s="124"/>
    </row>
    <row r="38" spans="1:9" x14ac:dyDescent="0.2">
      <c r="A38" s="1" t="s">
        <v>178</v>
      </c>
      <c r="B38" s="6">
        <v>755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24" t="s">
        <v>312</v>
      </c>
      <c r="H38" s="124"/>
      <c r="I38" s="124"/>
    </row>
    <row r="39" spans="1:9" x14ac:dyDescent="0.2">
      <c r="A39" s="1" t="s">
        <v>179</v>
      </c>
      <c r="B39" s="6">
        <v>756</v>
      </c>
      <c r="C39" s="24" t="s">
        <v>312</v>
      </c>
      <c r="D39" s="24" t="s">
        <v>312</v>
      </c>
      <c r="E39" s="24" t="s">
        <v>312</v>
      </c>
      <c r="F39" s="24" t="s">
        <v>312</v>
      </c>
      <c r="G39" s="95">
        <f>'DOE25'!J40</f>
        <v>0</v>
      </c>
      <c r="H39" s="124"/>
      <c r="I39" s="124"/>
    </row>
    <row r="40" spans="1:9" x14ac:dyDescent="0.2">
      <c r="A40" s="1" t="s">
        <v>180</v>
      </c>
      <c r="B40" s="6">
        <v>760</v>
      </c>
      <c r="C40" s="95">
        <f>'DOE25'!F41</f>
        <v>0</v>
      </c>
      <c r="D40" s="95">
        <f>'DOE25'!G41</f>
        <v>0</v>
      </c>
      <c r="E40" s="95">
        <f>'DOE25'!H41</f>
        <v>-336</v>
      </c>
      <c r="F40" s="95">
        <f>'DOE25'!I41</f>
        <v>0</v>
      </c>
      <c r="G40" s="95">
        <f>'DOE25'!J41</f>
        <v>49809.08</v>
      </c>
      <c r="H40" s="124"/>
      <c r="I40" s="124"/>
    </row>
    <row r="41" spans="1:9" ht="12" thickBot="1" x14ac:dyDescent="0.25">
      <c r="A41" s="1" t="s">
        <v>181</v>
      </c>
      <c r="B41" s="71">
        <v>770</v>
      </c>
      <c r="C41" s="95">
        <f>'DOE25'!F42</f>
        <v>30320.35</v>
      </c>
      <c r="D41" s="95" t="str">
        <f>'DOE25'!G42</f>
        <v>............</v>
      </c>
      <c r="E41" s="95" t="str">
        <f>'DOE25'!H42</f>
        <v>............</v>
      </c>
      <c r="F41" s="95" t="str">
        <f>'DOE25'!I42</f>
        <v>............</v>
      </c>
      <c r="G41" s="24" t="s">
        <v>312</v>
      </c>
      <c r="H41" s="124"/>
      <c r="I41" s="124"/>
    </row>
    <row r="42" spans="1:9" ht="12.75" thickTop="1" thickBot="1" x14ac:dyDescent="0.25">
      <c r="A42" s="38" t="s">
        <v>182</v>
      </c>
      <c r="B42" s="48"/>
      <c r="C42" s="41">
        <f>SUM(C34:C41)</f>
        <v>41298.83</v>
      </c>
      <c r="D42" s="41">
        <f>SUM(D34:D41)</f>
        <v>0</v>
      </c>
      <c r="E42" s="41">
        <f>SUM(E34:E41)</f>
        <v>0</v>
      </c>
      <c r="F42" s="41">
        <f>SUM(F34:F41)</f>
        <v>0</v>
      </c>
      <c r="G42" s="41">
        <f>SUM(G34:G41)</f>
        <v>49809.08</v>
      </c>
      <c r="H42" s="124"/>
      <c r="I42" s="124"/>
    </row>
    <row r="43" spans="1:9" ht="12" thickTop="1" x14ac:dyDescent="0.2">
      <c r="A43" s="38" t="s">
        <v>183</v>
      </c>
      <c r="B43" s="2"/>
      <c r="C43" s="41">
        <f>C42+C32</f>
        <v>43763.69</v>
      </c>
      <c r="D43" s="41">
        <f>D42+D32</f>
        <v>3279.9</v>
      </c>
      <c r="E43" s="41">
        <f>E42+E32</f>
        <v>9744.18</v>
      </c>
      <c r="F43" s="41">
        <f>F42+F32</f>
        <v>0</v>
      </c>
      <c r="G43" s="41">
        <f>G42+G32</f>
        <v>49809.08</v>
      </c>
      <c r="H43" s="124"/>
      <c r="I43" s="124"/>
    </row>
    <row r="45" spans="1:9" x14ac:dyDescent="0.2">
      <c r="B45" s="3"/>
      <c r="C45" s="16" t="s">
        <v>304</v>
      </c>
      <c r="D45" s="16" t="s">
        <v>305</v>
      </c>
      <c r="E45" s="16" t="s">
        <v>306</v>
      </c>
      <c r="F45" s="16" t="s">
        <v>307</v>
      </c>
      <c r="G45" s="16" t="s">
        <v>330</v>
      </c>
      <c r="H45" s="20"/>
      <c r="I45" s="20"/>
    </row>
    <row r="46" spans="1:9" x14ac:dyDescent="0.2">
      <c r="A46" s="1" t="s">
        <v>343</v>
      </c>
      <c r="B46" s="127"/>
      <c r="C46" s="24" t="s">
        <v>312</v>
      </c>
      <c r="D46" s="24" t="s">
        <v>312</v>
      </c>
      <c r="E46" s="24" t="s">
        <v>312</v>
      </c>
      <c r="F46" s="24" t="s">
        <v>312</v>
      </c>
      <c r="G46" s="24" t="s">
        <v>312</v>
      </c>
      <c r="H46"/>
      <c r="I46"/>
    </row>
    <row r="47" spans="1:9" x14ac:dyDescent="0.2">
      <c r="A47" s="128" t="s">
        <v>184</v>
      </c>
      <c r="B47" s="127"/>
      <c r="C47" s="24" t="s">
        <v>312</v>
      </c>
      <c r="D47" s="24" t="s">
        <v>312</v>
      </c>
      <c r="E47" s="24" t="s">
        <v>312</v>
      </c>
      <c r="F47" s="24" t="s">
        <v>312</v>
      </c>
      <c r="G47" s="24" t="s">
        <v>312</v>
      </c>
      <c r="H47"/>
      <c r="I47"/>
    </row>
    <row r="48" spans="1:9" x14ac:dyDescent="0.2">
      <c r="A48" s="1" t="s">
        <v>185</v>
      </c>
      <c r="B48" s="6" t="s">
        <v>186</v>
      </c>
      <c r="C48" s="95">
        <f>'DOE25'!F52</f>
        <v>1161837</v>
      </c>
      <c r="D48" s="95">
        <f>'DOE25'!G52</f>
        <v>0</v>
      </c>
      <c r="E48" s="95">
        <f>'DOE25'!H52</f>
        <v>0</v>
      </c>
      <c r="F48" s="95">
        <f>'DOE25'!I52</f>
        <v>0</v>
      </c>
      <c r="G48" s="95">
        <f>'DOE25'!J52</f>
        <v>0</v>
      </c>
      <c r="H48"/>
      <c r="I48"/>
    </row>
    <row r="49" spans="1:9" x14ac:dyDescent="0.2">
      <c r="A49" s="1" t="s">
        <v>187</v>
      </c>
      <c r="B49" s="6" t="s">
        <v>188</v>
      </c>
      <c r="C49" s="95">
        <f>'DOE25'!F71</f>
        <v>0</v>
      </c>
      <c r="D49" s="24" t="s">
        <v>312</v>
      </c>
      <c r="E49" s="95">
        <f>'DOE25'!H71</f>
        <v>0</v>
      </c>
      <c r="F49" s="24" t="s">
        <v>312</v>
      </c>
      <c r="G49" s="24" t="s">
        <v>312</v>
      </c>
      <c r="H49"/>
      <c r="I49"/>
    </row>
    <row r="50" spans="1:9" x14ac:dyDescent="0.2">
      <c r="A50" s="1" t="s">
        <v>189</v>
      </c>
      <c r="B50" s="6" t="s">
        <v>190</v>
      </c>
      <c r="C50" s="95">
        <f>'DOE25'!F86</f>
        <v>0</v>
      </c>
      <c r="D50" s="24" t="s">
        <v>312</v>
      </c>
      <c r="E50" s="95">
        <f>'DOE25'!H86</f>
        <v>0</v>
      </c>
      <c r="F50" s="24" t="s">
        <v>312</v>
      </c>
      <c r="G50" s="24" t="s">
        <v>312</v>
      </c>
      <c r="H50"/>
      <c r="I50"/>
    </row>
    <row r="51" spans="1:9" x14ac:dyDescent="0.2">
      <c r="A51" s="69" t="s">
        <v>191</v>
      </c>
      <c r="B51" s="37" t="s">
        <v>192</v>
      </c>
      <c r="C51" s="95">
        <f>'DOE25'!F88</f>
        <v>421.03</v>
      </c>
      <c r="D51" s="95">
        <f>'DOE25'!G88</f>
        <v>0</v>
      </c>
      <c r="E51" s="95">
        <f>'DOE25'!H88</f>
        <v>0</v>
      </c>
      <c r="F51" s="95">
        <f>'DOE25'!I88</f>
        <v>0</v>
      </c>
      <c r="G51" s="95">
        <f>'DOE25'!J88</f>
        <v>80.790000000000006</v>
      </c>
      <c r="H51"/>
      <c r="I51"/>
    </row>
    <row r="52" spans="1:9" x14ac:dyDescent="0.2">
      <c r="A52" s="1" t="s">
        <v>193</v>
      </c>
      <c r="B52" s="118" t="s">
        <v>194</v>
      </c>
      <c r="C52" s="24" t="s">
        <v>312</v>
      </c>
      <c r="D52" s="95">
        <f>'DOE25'!G89</f>
        <v>10348.11</v>
      </c>
      <c r="E52" s="24" t="s">
        <v>312</v>
      </c>
      <c r="F52" s="24" t="s">
        <v>312</v>
      </c>
      <c r="G52" s="24" t="s">
        <v>312</v>
      </c>
      <c r="H52"/>
      <c r="I52"/>
    </row>
    <row r="53" spans="1:9" ht="12" thickBot="1" x14ac:dyDescent="0.25">
      <c r="A53" s="1" t="s">
        <v>195</v>
      </c>
      <c r="B53" s="118" t="s">
        <v>196</v>
      </c>
      <c r="C53" s="95">
        <f>SUM('DOE25'!F90:F102)</f>
        <v>2687.5</v>
      </c>
      <c r="D53" s="95">
        <f>SUM('DOE25'!G90:G102)</f>
        <v>0</v>
      </c>
      <c r="E53" s="95">
        <f>SUM('DOE25'!H90:H102)</f>
        <v>0</v>
      </c>
      <c r="F53" s="95">
        <f>SUM('DOE25'!I90:I102)</f>
        <v>0</v>
      </c>
      <c r="G53" s="95">
        <f>SUM('DOE25'!J90:J102)</f>
        <v>0</v>
      </c>
      <c r="H53"/>
      <c r="I53"/>
    </row>
    <row r="54" spans="1:9" ht="12.75" thickTop="1" thickBot="1" x14ac:dyDescent="0.25">
      <c r="A54" s="29" t="s">
        <v>197</v>
      </c>
      <c r="B54" s="6"/>
      <c r="C54" s="130">
        <f>SUM(C49:C53)</f>
        <v>3108.5299999999997</v>
      </c>
      <c r="D54" s="130">
        <f>SUM(D49:D53)</f>
        <v>10348.11</v>
      </c>
      <c r="E54" s="130">
        <f>SUM(E49:E53)</f>
        <v>0</v>
      </c>
      <c r="F54" s="130">
        <f>SUM(F49:F53)</f>
        <v>0</v>
      </c>
      <c r="G54" s="130">
        <f>SUM(G49:G53)</f>
        <v>80.790000000000006</v>
      </c>
      <c r="H54"/>
      <c r="I54"/>
    </row>
    <row r="55" spans="1:9" ht="12" thickTop="1" x14ac:dyDescent="0.2">
      <c r="A55" s="29" t="s">
        <v>198</v>
      </c>
      <c r="B55" s="6"/>
      <c r="C55" s="22">
        <f>C48+C54</f>
        <v>1164945.53</v>
      </c>
      <c r="D55" s="22">
        <f>D48+D54</f>
        <v>10348.11</v>
      </c>
      <c r="E55" s="22">
        <f>E48+E54</f>
        <v>0</v>
      </c>
      <c r="F55" s="22">
        <f>F48+F54</f>
        <v>0</v>
      </c>
      <c r="G55" s="22">
        <f>G48+G54</f>
        <v>80.790000000000006</v>
      </c>
      <c r="H55"/>
      <c r="I55"/>
    </row>
    <row r="56" spans="1:9" x14ac:dyDescent="0.2">
      <c r="A56" s="29" t="s">
        <v>344</v>
      </c>
      <c r="B56" s="6"/>
      <c r="C56" s="24" t="s">
        <v>312</v>
      </c>
      <c r="D56" s="24" t="s">
        <v>312</v>
      </c>
      <c r="E56" s="24" t="s">
        <v>312</v>
      </c>
      <c r="F56" s="24" t="s">
        <v>312</v>
      </c>
      <c r="G56" s="24" t="s">
        <v>312</v>
      </c>
      <c r="H56"/>
      <c r="I56"/>
    </row>
    <row r="57" spans="1:9" x14ac:dyDescent="0.2">
      <c r="A57" s="29" t="s">
        <v>199</v>
      </c>
      <c r="B57" s="6"/>
      <c r="C57" s="24" t="s">
        <v>312</v>
      </c>
      <c r="D57" s="24" t="s">
        <v>312</v>
      </c>
      <c r="E57" s="24" t="s">
        <v>312</v>
      </c>
      <c r="F57" s="24" t="s">
        <v>312</v>
      </c>
      <c r="G57" s="24" t="s">
        <v>312</v>
      </c>
      <c r="H57"/>
      <c r="I57"/>
    </row>
    <row r="58" spans="1:9" x14ac:dyDescent="0.2">
      <c r="A58" s="1" t="s">
        <v>888</v>
      </c>
      <c r="B58" s="6">
        <v>3111</v>
      </c>
      <c r="C58" s="95">
        <f>'DOE25'!F109</f>
        <v>435285.32</v>
      </c>
      <c r="D58" s="24" t="s">
        <v>312</v>
      </c>
      <c r="E58" s="24" t="s">
        <v>312</v>
      </c>
      <c r="F58" s="24" t="s">
        <v>312</v>
      </c>
      <c r="G58" s="24" t="s">
        <v>312</v>
      </c>
      <c r="H58"/>
      <c r="I58"/>
    </row>
    <row r="59" spans="1:9" x14ac:dyDescent="0.2">
      <c r="A59" s="1" t="s">
        <v>805</v>
      </c>
      <c r="B59" s="6">
        <v>3112</v>
      </c>
      <c r="C59" s="95">
        <f>'DOE25'!F110</f>
        <v>252150</v>
      </c>
      <c r="D59" s="24"/>
      <c r="E59" s="24"/>
      <c r="F59" s="24"/>
      <c r="G59" s="24"/>
      <c r="H59"/>
      <c r="I59"/>
    </row>
    <row r="60" spans="1:9" x14ac:dyDescent="0.2">
      <c r="A60" s="1" t="s">
        <v>889</v>
      </c>
      <c r="B60" s="6">
        <v>3119</v>
      </c>
      <c r="C60" s="95">
        <f>'DOE25'!F111</f>
        <v>15787.68</v>
      </c>
      <c r="D60" s="24" t="s">
        <v>312</v>
      </c>
      <c r="E60" s="24" t="s">
        <v>312</v>
      </c>
      <c r="F60" s="24" t="s">
        <v>312</v>
      </c>
      <c r="G60" s="24" t="s">
        <v>312</v>
      </c>
      <c r="H60"/>
      <c r="I60"/>
    </row>
    <row r="61" spans="1:9" ht="12" thickBot="1" x14ac:dyDescent="0.25">
      <c r="A61" s="1" t="s">
        <v>274</v>
      </c>
      <c r="B61" s="6" t="s">
        <v>200</v>
      </c>
      <c r="C61" s="95">
        <f>'DOE25'!F112</f>
        <v>0</v>
      </c>
      <c r="D61" s="95">
        <f>'DOE25'!G112</f>
        <v>0</v>
      </c>
      <c r="E61" s="95">
        <f>'DOE25'!H112</f>
        <v>0</v>
      </c>
      <c r="F61" s="95">
        <f>'DOE25'!I112</f>
        <v>0</v>
      </c>
      <c r="G61" s="95">
        <f>'DOE25'!J112</f>
        <v>0</v>
      </c>
      <c r="H61"/>
      <c r="I61"/>
    </row>
    <row r="62" spans="1:9" ht="12" thickTop="1" x14ac:dyDescent="0.2">
      <c r="A62" s="29" t="s">
        <v>275</v>
      </c>
      <c r="B62" s="2"/>
      <c r="C62" s="139">
        <f>SUM(C58:C61)</f>
        <v>703223.00000000012</v>
      </c>
      <c r="D62" s="139">
        <f>D61</f>
        <v>0</v>
      </c>
      <c r="E62" s="139">
        <f>E61</f>
        <v>0</v>
      </c>
      <c r="F62" s="139">
        <f>F61</f>
        <v>0</v>
      </c>
      <c r="G62" s="139">
        <f>G61</f>
        <v>0</v>
      </c>
      <c r="H62"/>
      <c r="I62"/>
    </row>
    <row r="63" spans="1:9" x14ac:dyDescent="0.2">
      <c r="A63" s="29" t="s">
        <v>201</v>
      </c>
      <c r="B63" s="2"/>
      <c r="C63" s="24" t="s">
        <v>312</v>
      </c>
      <c r="D63" s="24" t="s">
        <v>312</v>
      </c>
      <c r="E63" s="24" t="s">
        <v>312</v>
      </c>
      <c r="F63" s="24" t="s">
        <v>312</v>
      </c>
      <c r="G63" s="24" t="s">
        <v>312</v>
      </c>
      <c r="H63"/>
      <c r="I63"/>
    </row>
    <row r="64" spans="1:9" x14ac:dyDescent="0.2">
      <c r="A64" s="1" t="s">
        <v>276</v>
      </c>
      <c r="B64" s="6">
        <v>3210</v>
      </c>
      <c r="C64" s="95">
        <f>'DOE25'!F115</f>
        <v>0</v>
      </c>
      <c r="D64" s="24" t="s">
        <v>312</v>
      </c>
      <c r="E64" s="24" t="s">
        <v>312</v>
      </c>
      <c r="F64" s="95">
        <f>'DOE25'!I115</f>
        <v>0</v>
      </c>
      <c r="G64" s="24" t="s">
        <v>312</v>
      </c>
      <c r="H64"/>
      <c r="I64"/>
    </row>
    <row r="65" spans="1:9" x14ac:dyDescent="0.2">
      <c r="A65" s="1" t="s">
        <v>277</v>
      </c>
      <c r="B65" s="6">
        <v>3215</v>
      </c>
      <c r="C65" s="95">
        <f>'DOE25'!F116</f>
        <v>0</v>
      </c>
      <c r="D65" s="24" t="s">
        <v>312</v>
      </c>
      <c r="E65" s="24" t="s">
        <v>312</v>
      </c>
      <c r="F65" s="95">
        <f>'DOE25'!I116</f>
        <v>0</v>
      </c>
      <c r="G65" s="24" t="s">
        <v>312</v>
      </c>
      <c r="H65"/>
      <c r="I65"/>
    </row>
    <row r="66" spans="1:9" x14ac:dyDescent="0.2">
      <c r="A66" s="1" t="s">
        <v>278</v>
      </c>
      <c r="B66" s="6">
        <v>3220</v>
      </c>
      <c r="C66" s="95">
        <f>'DOE25'!F117</f>
        <v>0</v>
      </c>
      <c r="D66" s="24"/>
      <c r="E66" s="24"/>
      <c r="F66" s="24"/>
      <c r="G66" s="24"/>
      <c r="H66"/>
      <c r="I66"/>
    </row>
    <row r="67" spans="1:9" x14ac:dyDescent="0.2">
      <c r="A67" s="1" t="s">
        <v>279</v>
      </c>
      <c r="B67" s="6">
        <v>3230</v>
      </c>
      <c r="C67" s="95">
        <f>'DOE25'!F118</f>
        <v>17128.77</v>
      </c>
      <c r="D67" s="24" t="s">
        <v>312</v>
      </c>
      <c r="E67" s="24" t="s">
        <v>312</v>
      </c>
      <c r="F67" s="24" t="s">
        <v>312</v>
      </c>
      <c r="G67" s="24" t="s">
        <v>312</v>
      </c>
      <c r="H67"/>
      <c r="I67"/>
    </row>
    <row r="68" spans="1:9" x14ac:dyDescent="0.2">
      <c r="A68" s="1" t="s">
        <v>280</v>
      </c>
      <c r="B68" s="6" t="s">
        <v>202</v>
      </c>
      <c r="C68" s="95">
        <f>SUM('DOE25'!F119:F122)</f>
        <v>9542.85</v>
      </c>
      <c r="D68" s="24" t="s">
        <v>312</v>
      </c>
      <c r="E68" s="95">
        <f>SUM('DOE25'!H119:H122)</f>
        <v>0</v>
      </c>
      <c r="F68" s="95">
        <f>SUM('DOE25'!I119:I122)</f>
        <v>0</v>
      </c>
      <c r="G68" s="24" t="s">
        <v>312</v>
      </c>
      <c r="H68"/>
      <c r="I68"/>
    </row>
    <row r="69" spans="1:9" ht="12" thickBot="1" x14ac:dyDescent="0.25">
      <c r="A69" s="1" t="s">
        <v>281</v>
      </c>
      <c r="B69" s="6" t="s">
        <v>203</v>
      </c>
      <c r="C69" s="95">
        <f>SUM('DOE25'!F123:F127)</f>
        <v>0</v>
      </c>
      <c r="D69" s="95">
        <f>SUM('DOE25'!G123:G127)</f>
        <v>431.01</v>
      </c>
      <c r="E69" s="95">
        <f>SUM('DOE25'!H123:H127)</f>
        <v>0</v>
      </c>
      <c r="F69" s="95">
        <f>SUM('DOE25'!I123:I127)</f>
        <v>0</v>
      </c>
      <c r="G69" s="95">
        <f>SUM('DOE25'!J123:J127)</f>
        <v>0</v>
      </c>
      <c r="H69"/>
      <c r="I69"/>
    </row>
    <row r="70" spans="1:9" ht="12.75" thickTop="1" thickBot="1" x14ac:dyDescent="0.25">
      <c r="A70" s="29" t="s">
        <v>282</v>
      </c>
      <c r="B70" s="6"/>
      <c r="C70" s="130">
        <f>SUM(C64:C69)</f>
        <v>26671.620000000003</v>
      </c>
      <c r="D70" s="130">
        <f>SUM(D64:D69)</f>
        <v>431.01</v>
      </c>
      <c r="E70" s="130">
        <f>SUM(E64:E69)</f>
        <v>0</v>
      </c>
      <c r="F70" s="130">
        <f>SUM(F64:F69)</f>
        <v>0</v>
      </c>
      <c r="G70" s="130">
        <f>SUM(G64:G69)</f>
        <v>0</v>
      </c>
      <c r="H70"/>
      <c r="I70"/>
    </row>
    <row r="71" spans="1:9" ht="12" thickTop="1" x14ac:dyDescent="0.2">
      <c r="A71" s="1" t="s">
        <v>283</v>
      </c>
      <c r="B71" s="6">
        <v>3700</v>
      </c>
      <c r="C71" s="95">
        <f>'DOE25'!F129</f>
        <v>0</v>
      </c>
      <c r="D71" s="95">
        <f>'DOE25'!G129</f>
        <v>0</v>
      </c>
      <c r="E71" s="95">
        <f>'DOE25'!H129</f>
        <v>0</v>
      </c>
      <c r="F71" s="24" t="s">
        <v>312</v>
      </c>
      <c r="G71" s="24" t="s">
        <v>312</v>
      </c>
      <c r="H71"/>
      <c r="I71"/>
    </row>
    <row r="72" spans="1:9" ht="12" thickBot="1" x14ac:dyDescent="0.25">
      <c r="A72" s="1" t="s">
        <v>284</v>
      </c>
      <c r="B72" s="6">
        <v>3800</v>
      </c>
      <c r="C72" s="95">
        <f>'DOE25'!F130</f>
        <v>0</v>
      </c>
      <c r="D72" s="24" t="s">
        <v>312</v>
      </c>
      <c r="E72" s="95">
        <f>'DOE25'!H130</f>
        <v>0</v>
      </c>
      <c r="F72" s="24" t="s">
        <v>312</v>
      </c>
      <c r="G72" s="24" t="s">
        <v>312</v>
      </c>
      <c r="H72"/>
      <c r="I72"/>
    </row>
    <row r="73" spans="1:9" ht="12.75" thickTop="1" thickBot="1" x14ac:dyDescent="0.25">
      <c r="A73" s="29" t="s">
        <v>779</v>
      </c>
      <c r="B73" s="2"/>
      <c r="C73" s="130">
        <f>SUM(C71:C72)+C70+C62</f>
        <v>729894.62000000011</v>
      </c>
      <c r="D73" s="130">
        <f>SUM(D71:D72)+D70+D62</f>
        <v>431.01</v>
      </c>
      <c r="E73" s="130">
        <f>SUM(E71:E72)+E70+E62</f>
        <v>0</v>
      </c>
      <c r="F73" s="130">
        <f>SUM(F71:F72)+F70+F62</f>
        <v>0</v>
      </c>
      <c r="G73" s="130">
        <f>SUM(G71:G72)+G70+G62</f>
        <v>0</v>
      </c>
      <c r="H73"/>
      <c r="I73"/>
    </row>
    <row r="74" spans="1:9" ht="12" thickTop="1" x14ac:dyDescent="0.2">
      <c r="B74" s="3"/>
      <c r="C74" s="16" t="s">
        <v>304</v>
      </c>
      <c r="D74" s="16" t="s">
        <v>305</v>
      </c>
      <c r="E74" s="16" t="s">
        <v>306</v>
      </c>
      <c r="F74" s="16" t="s">
        <v>307</v>
      </c>
      <c r="G74" s="16" t="s">
        <v>330</v>
      </c>
      <c r="H74"/>
      <c r="I74"/>
    </row>
    <row r="75" spans="1:9" x14ac:dyDescent="0.2">
      <c r="A75" s="1" t="s">
        <v>343</v>
      </c>
      <c r="B75" s="127"/>
      <c r="C75" s="24" t="s">
        <v>312</v>
      </c>
      <c r="D75" s="24" t="s">
        <v>312</v>
      </c>
      <c r="E75" s="24" t="s">
        <v>312</v>
      </c>
      <c r="F75" s="24" t="s">
        <v>312</v>
      </c>
      <c r="G75" s="24" t="s">
        <v>312</v>
      </c>
      <c r="H75"/>
      <c r="I75"/>
    </row>
    <row r="76" spans="1:9" x14ac:dyDescent="0.2">
      <c r="A76" s="128" t="s">
        <v>204</v>
      </c>
      <c r="B76" s="127"/>
      <c r="C76" s="24" t="s">
        <v>312</v>
      </c>
      <c r="D76" s="24" t="s">
        <v>312</v>
      </c>
      <c r="E76" s="24" t="s">
        <v>312</v>
      </c>
      <c r="F76" s="24" t="s">
        <v>312</v>
      </c>
      <c r="G76" s="24" t="s">
        <v>312</v>
      </c>
      <c r="H76"/>
      <c r="I76"/>
    </row>
    <row r="77" spans="1:9" x14ac:dyDescent="0.2">
      <c r="A77" t="s">
        <v>780</v>
      </c>
      <c r="B77" s="32" t="s">
        <v>205</v>
      </c>
      <c r="C77" s="95">
        <f>'DOE25'!F139</f>
        <v>0</v>
      </c>
      <c r="D77" s="95">
        <f>'DOE25'!G139</f>
        <v>0</v>
      </c>
      <c r="E77" s="95">
        <f>'DOE25'!H139</f>
        <v>0</v>
      </c>
      <c r="F77" s="95">
        <f>'DOE25'!I139</f>
        <v>0</v>
      </c>
      <c r="G77" s="24" t="s">
        <v>312</v>
      </c>
    </row>
    <row r="78" spans="1:9" x14ac:dyDescent="0.2">
      <c r="A78" s="33" t="s">
        <v>201</v>
      </c>
      <c r="B78" s="32"/>
      <c r="C78" s="24" t="s">
        <v>312</v>
      </c>
      <c r="D78" s="24" t="s">
        <v>312</v>
      </c>
      <c r="E78" s="24" t="s">
        <v>312</v>
      </c>
      <c r="F78" s="24" t="s">
        <v>312</v>
      </c>
      <c r="G78" s="24" t="s">
        <v>312</v>
      </c>
    </row>
    <row r="79" spans="1:9" x14ac:dyDescent="0.2">
      <c r="A79" t="s">
        <v>781</v>
      </c>
      <c r="B79" s="32" t="s">
        <v>206</v>
      </c>
      <c r="C79" s="95">
        <f>SUM('DOE25'!F141:F144)</f>
        <v>0</v>
      </c>
      <c r="D79" s="24" t="s">
        <v>312</v>
      </c>
      <c r="E79" s="95">
        <f>SUM('DOE25'!H141:H144)</f>
        <v>0</v>
      </c>
      <c r="F79" s="95">
        <f>SUM('DOE25'!I141:I144)</f>
        <v>0</v>
      </c>
      <c r="G79" s="24" t="s">
        <v>312</v>
      </c>
    </row>
    <row r="80" spans="1:9" x14ac:dyDescent="0.2">
      <c r="A80" t="s">
        <v>782</v>
      </c>
      <c r="B80" s="32" t="s">
        <v>207</v>
      </c>
      <c r="C80" s="95">
        <f>SUM('DOE25'!F145:F153)</f>
        <v>37673.33</v>
      </c>
      <c r="D80" s="95">
        <f>SUM('DOE25'!G145:G153)</f>
        <v>16770.72</v>
      </c>
      <c r="E80" s="95">
        <f>SUM('DOE25'!H145:H153)</f>
        <v>79689.02</v>
      </c>
      <c r="F80" s="95">
        <f>SUM('DOE25'!I145:I153)</f>
        <v>0</v>
      </c>
      <c r="G80" s="24" t="s">
        <v>312</v>
      </c>
    </row>
    <row r="81" spans="1:7" x14ac:dyDescent="0.2">
      <c r="A81" t="s">
        <v>783</v>
      </c>
      <c r="B81" s="32" t="s">
        <v>208</v>
      </c>
      <c r="C81" s="95">
        <f>'DOE25'!F155+'DOE25'!F158+'DOE25'!F160</f>
        <v>0</v>
      </c>
      <c r="D81" s="95">
        <f>'DOE25'!G155+'DOE25'!G160</f>
        <v>0</v>
      </c>
      <c r="E81" s="95">
        <f>'DOE25'!H155+'DOE25'!H160</f>
        <v>0</v>
      </c>
      <c r="F81" s="95">
        <f>'DOE25'!I155</f>
        <v>0</v>
      </c>
      <c r="G81" s="24" t="s">
        <v>312</v>
      </c>
    </row>
    <row r="82" spans="1:7" ht="12" thickBot="1" x14ac:dyDescent="0.25">
      <c r="A82" t="s">
        <v>784</v>
      </c>
      <c r="B82" s="32">
        <v>4810</v>
      </c>
      <c r="C82" s="95">
        <f>'DOE25'!F157</f>
        <v>212.77</v>
      </c>
      <c r="D82" s="24" t="s">
        <v>312</v>
      </c>
      <c r="E82" s="24" t="s">
        <v>312</v>
      </c>
      <c r="F82" s="24" t="s">
        <v>312</v>
      </c>
      <c r="G82" s="24" t="s">
        <v>312</v>
      </c>
    </row>
    <row r="83" spans="1:7" ht="12.75" thickTop="1" thickBot="1" x14ac:dyDescent="0.25">
      <c r="A83" s="33" t="s">
        <v>785</v>
      </c>
      <c r="C83" s="131">
        <f>SUM(C77:C82)</f>
        <v>37886.1</v>
      </c>
      <c r="D83" s="131">
        <f>SUM(D77:D82)</f>
        <v>16770.72</v>
      </c>
      <c r="E83" s="131">
        <f>SUM(E77:E82)</f>
        <v>79689.02</v>
      </c>
      <c r="F83" s="131">
        <f>SUM(F77:F82)</f>
        <v>0</v>
      </c>
      <c r="G83" s="24" t="s">
        <v>312</v>
      </c>
    </row>
    <row r="84" spans="1:7" ht="12" thickTop="1" x14ac:dyDescent="0.2">
      <c r="A84" s="33" t="s">
        <v>209</v>
      </c>
      <c r="C84" s="24" t="s">
        <v>312</v>
      </c>
      <c r="D84" s="24" t="s">
        <v>312</v>
      </c>
      <c r="E84" s="24" t="s">
        <v>312</v>
      </c>
      <c r="F84" s="24" t="s">
        <v>312</v>
      </c>
      <c r="G84" s="24" t="s">
        <v>312</v>
      </c>
    </row>
    <row r="85" spans="1:7" x14ac:dyDescent="0.2">
      <c r="A85" t="s">
        <v>786</v>
      </c>
      <c r="B85" s="32" t="s">
        <v>210</v>
      </c>
      <c r="C85" s="95">
        <f>SUM('DOE25'!F165:F167)</f>
        <v>0</v>
      </c>
      <c r="D85" s="24" t="s">
        <v>312</v>
      </c>
      <c r="E85" s="24" t="s">
        <v>312</v>
      </c>
      <c r="F85" s="95">
        <f>SUM('DOE25'!I165:I167)</f>
        <v>0</v>
      </c>
      <c r="G85" s="24" t="s">
        <v>312</v>
      </c>
    </row>
    <row r="86" spans="1:7" x14ac:dyDescent="0.2">
      <c r="A86" t="s">
        <v>787</v>
      </c>
      <c r="B86" s="32">
        <v>5140</v>
      </c>
      <c r="C86" s="95">
        <f>'DOE25'!F168</f>
        <v>0</v>
      </c>
      <c r="D86" s="24" t="s">
        <v>312</v>
      </c>
      <c r="E86" s="24" t="s">
        <v>312</v>
      </c>
      <c r="F86" s="95">
        <f>'DOE25'!I168</f>
        <v>0</v>
      </c>
      <c r="G86" s="24" t="s">
        <v>312</v>
      </c>
    </row>
    <row r="87" spans="1:7" x14ac:dyDescent="0.2">
      <c r="A87" s="33" t="s">
        <v>355</v>
      </c>
      <c r="B87" s="32"/>
      <c r="C87" s="24" t="s">
        <v>312</v>
      </c>
      <c r="D87" s="24" t="s">
        <v>312</v>
      </c>
      <c r="E87" s="24" t="s">
        <v>312</v>
      </c>
      <c r="F87" s="24" t="s">
        <v>312</v>
      </c>
      <c r="G87" s="24" t="s">
        <v>312</v>
      </c>
    </row>
    <row r="88" spans="1:7" x14ac:dyDescent="0.2">
      <c r="A88" t="s">
        <v>788</v>
      </c>
      <c r="B88" s="32">
        <v>5210</v>
      </c>
      <c r="C88" s="24" t="s">
        <v>312</v>
      </c>
      <c r="D88" s="95">
        <f>'DOE25'!G171</f>
        <v>24633.42</v>
      </c>
      <c r="E88" s="95">
        <f>'DOE25'!H171</f>
        <v>0</v>
      </c>
      <c r="F88" s="95">
        <f>'DOE25'!I171</f>
        <v>0</v>
      </c>
      <c r="G88" s="95">
        <f>'DOE25'!J171</f>
        <v>0</v>
      </c>
    </row>
    <row r="89" spans="1:7" x14ac:dyDescent="0.2">
      <c r="A89" t="s">
        <v>789</v>
      </c>
      <c r="B89" s="32" t="s">
        <v>211</v>
      </c>
      <c r="C89" s="95">
        <f>SUM('DOE25'!F172:F173)</f>
        <v>383.59</v>
      </c>
      <c r="D89" s="95">
        <f>SUM('DOE25'!G172:G173)</f>
        <v>0</v>
      </c>
      <c r="E89" s="95">
        <f>SUM('DOE25'!H172:H173)</f>
        <v>0</v>
      </c>
      <c r="F89" s="95">
        <f>SUM('DOE25'!I172:I173)</f>
        <v>0</v>
      </c>
      <c r="G89" s="95">
        <f>SUM('DOE25'!J172:J173)</f>
        <v>0</v>
      </c>
    </row>
    <row r="90" spans="1:7" x14ac:dyDescent="0.2">
      <c r="A90" t="s">
        <v>790</v>
      </c>
      <c r="B90" s="32" t="s">
        <v>212</v>
      </c>
      <c r="C90" s="95">
        <f>'DOE25'!F174</f>
        <v>0</v>
      </c>
      <c r="D90" s="95">
        <f>'DOE25'!G174</f>
        <v>0</v>
      </c>
      <c r="E90" s="95">
        <f>'DOE25'!H174</f>
        <v>0</v>
      </c>
      <c r="F90" s="24" t="s">
        <v>312</v>
      </c>
      <c r="G90" s="95">
        <f>'DOE25'!J174</f>
        <v>0</v>
      </c>
    </row>
    <row r="91" spans="1:7" x14ac:dyDescent="0.2">
      <c r="A91" t="s">
        <v>791</v>
      </c>
      <c r="B91" s="32">
        <v>5251</v>
      </c>
      <c r="C91" s="95">
        <f>'DOE25'!F177</f>
        <v>0</v>
      </c>
      <c r="D91" s="95">
        <f>'DOE25'!G177</f>
        <v>0</v>
      </c>
      <c r="E91" s="95">
        <f>'DOE25'!H177</f>
        <v>0</v>
      </c>
      <c r="F91" s="95">
        <f>'DOE25'!I177</f>
        <v>0</v>
      </c>
      <c r="G91" s="24" t="s">
        <v>312</v>
      </c>
    </row>
    <row r="92" spans="1:7" x14ac:dyDescent="0.2">
      <c r="A92" t="s">
        <v>792</v>
      </c>
      <c r="B92" s="32" t="s">
        <v>213</v>
      </c>
      <c r="C92" s="95">
        <f>SUM('DOE25'!F178:F179)</f>
        <v>0</v>
      </c>
      <c r="D92" s="95">
        <f>SUM('DOE25'!G178:G179)</f>
        <v>0</v>
      </c>
      <c r="E92" s="95">
        <f>SUM('DOE25'!H178:H179)</f>
        <v>0</v>
      </c>
      <c r="F92" s="95">
        <f>SUM('DOE25'!I178:I179)</f>
        <v>0</v>
      </c>
      <c r="G92" s="24" t="s">
        <v>312</v>
      </c>
    </row>
    <row r="93" spans="1:7" x14ac:dyDescent="0.2">
      <c r="A93" t="s">
        <v>793</v>
      </c>
      <c r="B93" s="32" t="s">
        <v>214</v>
      </c>
      <c r="C93" s="95">
        <f>'DOE25'!F181</f>
        <v>0</v>
      </c>
      <c r="D93" s="95">
        <f>'DOE25'!G181</f>
        <v>0</v>
      </c>
      <c r="E93" s="95">
        <f>'DOE25'!H181</f>
        <v>0</v>
      </c>
      <c r="F93" s="95">
        <f>'DOE25'!I181</f>
        <v>0</v>
      </c>
      <c r="G93" s="24" t="s">
        <v>312</v>
      </c>
    </row>
    <row r="94" spans="1:7" ht="12" thickBot="1" x14ac:dyDescent="0.25">
      <c r="A94" t="s">
        <v>794</v>
      </c>
      <c r="B94" s="32" t="s">
        <v>215</v>
      </c>
      <c r="C94" s="95">
        <f>SUM('DOE25'!F182:F183)</f>
        <v>0</v>
      </c>
      <c r="D94" s="95">
        <f>SUM('DOE25'!G182:G183)</f>
        <v>0</v>
      </c>
      <c r="E94" s="95">
        <f>SUM('DOE25'!H182:H183)</f>
        <v>0</v>
      </c>
      <c r="F94" s="95">
        <f>SUM('DOE25'!I182:I183)</f>
        <v>0</v>
      </c>
      <c r="G94" s="24" t="s">
        <v>312</v>
      </c>
    </row>
    <row r="95" spans="1:7" ht="12.75" thickTop="1" thickBot="1" x14ac:dyDescent="0.25">
      <c r="A95" s="33" t="s">
        <v>795</v>
      </c>
      <c r="C95" s="86">
        <f>SUM(C85:C94)</f>
        <v>383.59</v>
      </c>
      <c r="D95" s="86">
        <f>SUM(D85:D94)</f>
        <v>24633.42</v>
      </c>
      <c r="E95" s="86">
        <f>SUM(E85:E94)</f>
        <v>0</v>
      </c>
      <c r="F95" s="86">
        <f>SUM(F85:F94)</f>
        <v>0</v>
      </c>
      <c r="G95" s="86">
        <f>SUM(G85:G94)</f>
        <v>0</v>
      </c>
    </row>
    <row r="96" spans="1:7" ht="12.75" thickTop="1" thickBot="1" x14ac:dyDescent="0.25">
      <c r="A96" s="33" t="s">
        <v>796</v>
      </c>
      <c r="C96" s="86">
        <f>C55+C73+C83+C95</f>
        <v>1933109.8400000003</v>
      </c>
      <c r="D96" s="86">
        <f>D55+D73+D83+D95</f>
        <v>52183.26</v>
      </c>
      <c r="E96" s="86">
        <f>E55+E73+E83+E95</f>
        <v>79689.02</v>
      </c>
      <c r="F96" s="86">
        <f>F55+F73+F83+F95</f>
        <v>0</v>
      </c>
      <c r="G96" s="86">
        <f>G55+G73+G95</f>
        <v>80.790000000000006</v>
      </c>
    </row>
    <row r="97" spans="1:7" ht="12" thickTop="1" x14ac:dyDescent="0.2"/>
    <row r="98" spans="1:7" x14ac:dyDescent="0.2">
      <c r="B98" s="3"/>
      <c r="C98" s="16" t="s">
        <v>304</v>
      </c>
      <c r="D98" s="16" t="s">
        <v>305</v>
      </c>
      <c r="E98" s="16" t="s">
        <v>216</v>
      </c>
      <c r="F98" s="16" t="s">
        <v>307</v>
      </c>
      <c r="G98" s="16" t="s">
        <v>308</v>
      </c>
    </row>
    <row r="99" spans="1:7" x14ac:dyDescent="0.2">
      <c r="A99" s="29" t="s">
        <v>217</v>
      </c>
      <c r="B99" s="127"/>
      <c r="C99" s="24" t="s">
        <v>312</v>
      </c>
      <c r="D99" s="24" t="s">
        <v>312</v>
      </c>
      <c r="E99" s="24" t="s">
        <v>312</v>
      </c>
      <c r="F99" s="24" t="s">
        <v>312</v>
      </c>
      <c r="G99" s="24" t="s">
        <v>312</v>
      </c>
    </row>
    <row r="100" spans="1:7" x14ac:dyDescent="0.2">
      <c r="A100" s="128" t="s">
        <v>218</v>
      </c>
      <c r="B100" s="127"/>
      <c r="C100" s="24" t="s">
        <v>312</v>
      </c>
      <c r="D100" s="24" t="s">
        <v>312</v>
      </c>
      <c r="E100" s="24" t="s">
        <v>312</v>
      </c>
      <c r="F100" s="24" t="s">
        <v>312</v>
      </c>
      <c r="G100" s="24" t="s">
        <v>312</v>
      </c>
    </row>
    <row r="101" spans="1:7" x14ac:dyDescent="0.2">
      <c r="A101" t="s">
        <v>219</v>
      </c>
      <c r="B101" s="32" t="s">
        <v>220</v>
      </c>
      <c r="C101" s="95">
        <f>('DOE25'!L189)+('DOE25'!L207)+('DOE25'!L225)</f>
        <v>1119816.08</v>
      </c>
      <c r="D101" s="24" t="s">
        <v>312</v>
      </c>
      <c r="E101" s="95">
        <f>('DOE25'!L268)+('DOE25'!L287)+('DOE25'!L306)</f>
        <v>42789.25</v>
      </c>
      <c r="F101" s="24" t="s">
        <v>312</v>
      </c>
      <c r="G101" s="24" t="s">
        <v>312</v>
      </c>
    </row>
    <row r="102" spans="1:7" x14ac:dyDescent="0.2">
      <c r="A102" t="s">
        <v>221</v>
      </c>
      <c r="B102" s="32" t="s">
        <v>222</v>
      </c>
      <c r="C102" s="95">
        <f>('DOE25'!L190)+('DOE25'!L208)+('DOE25'!L226)</f>
        <v>226898.08000000002</v>
      </c>
      <c r="D102" s="24" t="s">
        <v>312</v>
      </c>
      <c r="E102" s="95">
        <f>('DOE25'!L269)+('DOE25'!L288)+('DOE25'!L307)</f>
        <v>23829.58</v>
      </c>
      <c r="F102" s="24" t="s">
        <v>312</v>
      </c>
      <c r="G102" s="24" t="s">
        <v>312</v>
      </c>
    </row>
    <row r="103" spans="1:7" x14ac:dyDescent="0.2">
      <c r="A103" t="s">
        <v>223</v>
      </c>
      <c r="B103" s="32" t="s">
        <v>188</v>
      </c>
      <c r="C103" s="95">
        <f>('DOE25'!L191)+('DOE25'!L209)+('DOE25'!L227)</f>
        <v>37344.400000000001</v>
      </c>
      <c r="D103" s="24" t="s">
        <v>312</v>
      </c>
      <c r="E103" s="95">
        <f>('DOE25'!L270)+('DOE25'!L289)+('DOE25'!L308)</f>
        <v>0</v>
      </c>
      <c r="F103" s="24" t="s">
        <v>312</v>
      </c>
      <c r="G103" s="24" t="s">
        <v>312</v>
      </c>
    </row>
    <row r="104" spans="1:7" x14ac:dyDescent="0.2">
      <c r="A104" t="s">
        <v>224</v>
      </c>
      <c r="B104" s="32" t="s">
        <v>190</v>
      </c>
      <c r="C104" s="95">
        <f>('DOE25'!L192)+('DOE25'!L210)+('DOE25'!L228)</f>
        <v>6604.84</v>
      </c>
      <c r="D104" s="24" t="s">
        <v>312</v>
      </c>
      <c r="E104" s="95">
        <f>+('DOE25'!L271)+('DOE25'!L290)+('DOE25'!L309)</f>
        <v>0</v>
      </c>
      <c r="F104" s="24" t="s">
        <v>312</v>
      </c>
      <c r="G104" s="24" t="s">
        <v>312</v>
      </c>
    </row>
    <row r="105" spans="1:7" x14ac:dyDescent="0.2">
      <c r="A105" t="s">
        <v>225</v>
      </c>
      <c r="B105" s="32" t="s">
        <v>192</v>
      </c>
      <c r="C105" s="95">
        <f>'DOE25'!L242</f>
        <v>0</v>
      </c>
      <c r="D105" s="24" t="s">
        <v>312</v>
      </c>
      <c r="E105" s="95">
        <f>+'DOE25'!L324</f>
        <v>0</v>
      </c>
      <c r="F105" s="24" t="s">
        <v>312</v>
      </c>
      <c r="G105" s="24" t="s">
        <v>312</v>
      </c>
    </row>
    <row r="106" spans="1:7" ht="12" thickBot="1" x14ac:dyDescent="0.25">
      <c r="A106" t="s">
        <v>226</v>
      </c>
      <c r="B106" s="32" t="s">
        <v>227</v>
      </c>
      <c r="C106" s="95">
        <f>SUM('DOE25'!L243:L245)</f>
        <v>0</v>
      </c>
      <c r="D106" s="24" t="s">
        <v>312</v>
      </c>
      <c r="E106" s="95">
        <f>+ SUM('DOE25'!L325:L327)</f>
        <v>0</v>
      </c>
      <c r="F106" s="24" t="s">
        <v>312</v>
      </c>
      <c r="G106" s="24" t="s">
        <v>312</v>
      </c>
    </row>
    <row r="107" spans="1:7" ht="12.75" thickTop="1" thickBot="1" x14ac:dyDescent="0.25">
      <c r="A107" s="33" t="s">
        <v>228</v>
      </c>
      <c r="C107" s="86">
        <f>SUM(C101:C106)</f>
        <v>1390663.4000000001</v>
      </c>
      <c r="D107" s="86">
        <f>SUM(D101:D106)</f>
        <v>0</v>
      </c>
      <c r="E107" s="86">
        <f>SUM(E101:E106)</f>
        <v>66618.83</v>
      </c>
      <c r="F107" s="86">
        <f>SUM(F101:F106)</f>
        <v>0</v>
      </c>
      <c r="G107" s="86">
        <f>SUM(G101:G106)</f>
        <v>0</v>
      </c>
    </row>
    <row r="108" spans="1:7" ht="12" thickTop="1" x14ac:dyDescent="0.2">
      <c r="C108" s="24" t="s">
        <v>312</v>
      </c>
      <c r="D108" s="24" t="s">
        <v>312</v>
      </c>
      <c r="E108" s="24" t="s">
        <v>312</v>
      </c>
      <c r="F108" s="24" t="s">
        <v>312</v>
      </c>
      <c r="G108" s="24" t="s">
        <v>312</v>
      </c>
    </row>
    <row r="109" spans="1:7" x14ac:dyDescent="0.2">
      <c r="A109" s="33" t="s">
        <v>366</v>
      </c>
      <c r="C109" s="24" t="s">
        <v>312</v>
      </c>
      <c r="D109" s="24" t="s">
        <v>312</v>
      </c>
      <c r="E109" s="24" t="s">
        <v>312</v>
      </c>
      <c r="F109" s="24" t="s">
        <v>312</v>
      </c>
      <c r="G109" s="24" t="s">
        <v>312</v>
      </c>
    </row>
    <row r="110" spans="1:7" x14ac:dyDescent="0.2">
      <c r="A110" t="s">
        <v>229</v>
      </c>
      <c r="B110" s="32" t="s">
        <v>230</v>
      </c>
      <c r="C110" s="95">
        <f>('DOE25'!L194)+('DOE25'!L212)+('DOE25'!L230)</f>
        <v>45057.279999999999</v>
      </c>
      <c r="D110" s="24" t="s">
        <v>312</v>
      </c>
      <c r="E110" s="95">
        <f>+('DOE25'!L273)+('DOE25'!L292)+('DOE25'!L311)</f>
        <v>0</v>
      </c>
      <c r="F110" s="24" t="s">
        <v>312</v>
      </c>
      <c r="G110" s="24" t="s">
        <v>312</v>
      </c>
    </row>
    <row r="111" spans="1:7" x14ac:dyDescent="0.2">
      <c r="A111" t="s">
        <v>231</v>
      </c>
      <c r="B111" s="32" t="s">
        <v>232</v>
      </c>
      <c r="C111" s="95">
        <f>('DOE25'!L195)+('DOE25'!L213)+('DOE25'!L231)</f>
        <v>20130.39</v>
      </c>
      <c r="D111" s="24" t="s">
        <v>312</v>
      </c>
      <c r="E111" s="95">
        <f>+('DOE25'!L274)+('DOE25'!L293)+('DOE25'!L312)</f>
        <v>12085.149999999998</v>
      </c>
      <c r="F111" s="24" t="s">
        <v>312</v>
      </c>
      <c r="G111" s="24" t="s">
        <v>312</v>
      </c>
    </row>
    <row r="112" spans="1:7" x14ac:dyDescent="0.2">
      <c r="A112" t="s">
        <v>233</v>
      </c>
      <c r="B112" s="32" t="s">
        <v>234</v>
      </c>
      <c r="C112" s="95">
        <f>('DOE25'!L196)+('DOE25'!L214)+('DOE25'!L232)</f>
        <v>95148.299999999988</v>
      </c>
      <c r="D112" s="24" t="s">
        <v>312</v>
      </c>
      <c r="E112" s="95">
        <f>+('DOE25'!L275)+('DOE25'!L294)+('DOE25'!L313)</f>
        <v>601.45000000000005</v>
      </c>
      <c r="F112" s="24" t="s">
        <v>312</v>
      </c>
      <c r="G112" s="24" t="s">
        <v>312</v>
      </c>
    </row>
    <row r="113" spans="1:7" x14ac:dyDescent="0.2">
      <c r="A113" t="s">
        <v>235</v>
      </c>
      <c r="B113" s="32" t="s">
        <v>236</v>
      </c>
      <c r="C113" s="95">
        <f>('DOE25'!L197)+('DOE25'!L215)+('DOE25'!L233)</f>
        <v>105819.79999999999</v>
      </c>
      <c r="D113" s="24" t="s">
        <v>312</v>
      </c>
      <c r="E113" s="95">
        <f>+('DOE25'!L276)+('DOE25'!L295)+('DOE25'!L314)</f>
        <v>0</v>
      </c>
      <c r="F113" s="24" t="s">
        <v>312</v>
      </c>
      <c r="G113" s="24" t="s">
        <v>312</v>
      </c>
    </row>
    <row r="114" spans="1:7" x14ac:dyDescent="0.2">
      <c r="A114" t="s">
        <v>237</v>
      </c>
      <c r="B114" s="32" t="s">
        <v>238</v>
      </c>
      <c r="C114" s="95">
        <f>('DOE25'!L198)+('DOE25'!L216)+('DOE25'!L234)</f>
        <v>0</v>
      </c>
      <c r="D114" s="24" t="s">
        <v>312</v>
      </c>
      <c r="E114" s="95">
        <f>+('DOE25'!L277)+('DOE25'!L296)+('DOE25'!L315)</f>
        <v>0</v>
      </c>
      <c r="F114" s="24" t="s">
        <v>312</v>
      </c>
      <c r="G114" s="24" t="s">
        <v>312</v>
      </c>
    </row>
    <row r="115" spans="1:7" x14ac:dyDescent="0.2">
      <c r="A115" t="s">
        <v>239</v>
      </c>
      <c r="B115" s="32" t="s">
        <v>240</v>
      </c>
      <c r="C115" s="95">
        <f>('DOE25'!L199)+('DOE25'!L217)+('DOE25'!L235)</f>
        <v>105270.20000000001</v>
      </c>
      <c r="D115" s="24" t="s">
        <v>312</v>
      </c>
      <c r="E115" s="95">
        <f>+('DOE25'!L278)+('DOE25'!L297)+('DOE25'!L316)</f>
        <v>0</v>
      </c>
      <c r="F115" s="24" t="s">
        <v>312</v>
      </c>
      <c r="G115" s="24" t="s">
        <v>312</v>
      </c>
    </row>
    <row r="116" spans="1:7" x14ac:dyDescent="0.2">
      <c r="A116" t="s">
        <v>241</v>
      </c>
      <c r="B116" s="32" t="s">
        <v>242</v>
      </c>
      <c r="C116" s="95">
        <f>('DOE25'!L200)+('DOE25'!L218)+('DOE25'!L236+'DOE25'!L246)</f>
        <v>96317.709999999992</v>
      </c>
      <c r="D116" s="24" t="s">
        <v>312</v>
      </c>
      <c r="E116" s="95">
        <f>+('DOE25'!L279)+('DOE25'!L298)+('DOE25'!L317)</f>
        <v>0</v>
      </c>
      <c r="F116" s="24" t="s">
        <v>312</v>
      </c>
      <c r="G116" s="24" t="s">
        <v>312</v>
      </c>
    </row>
    <row r="117" spans="1:7" x14ac:dyDescent="0.2">
      <c r="A117" t="s">
        <v>243</v>
      </c>
      <c r="B117" s="32" t="s">
        <v>244</v>
      </c>
      <c r="C117" s="95">
        <f>('DOE25'!L201)+('DOE25'!L219)+('DOE25'!L237)</f>
        <v>4566.24</v>
      </c>
      <c r="D117" s="24" t="s">
        <v>312</v>
      </c>
      <c r="E117" s="95">
        <f>+('DOE25'!L280)+('DOE25'!L299)+('DOE25'!L318)</f>
        <v>0</v>
      </c>
      <c r="F117" s="24" t="s">
        <v>312</v>
      </c>
      <c r="G117" s="24" t="s">
        <v>312</v>
      </c>
    </row>
    <row r="118" spans="1:7" x14ac:dyDescent="0.2">
      <c r="A118" t="s">
        <v>245</v>
      </c>
      <c r="B118" s="32" t="s">
        <v>246</v>
      </c>
      <c r="C118" s="24" t="s">
        <v>312</v>
      </c>
      <c r="D118" s="24" t="s">
        <v>312</v>
      </c>
      <c r="E118" s="24" t="s">
        <v>312</v>
      </c>
      <c r="F118" s="24" t="s">
        <v>312</v>
      </c>
      <c r="G118" s="24" t="s">
        <v>312</v>
      </c>
    </row>
    <row r="119" spans="1:7" ht="12" thickBot="1" x14ac:dyDescent="0.25">
      <c r="A119" t="s">
        <v>247</v>
      </c>
      <c r="B119" s="32" t="s">
        <v>248</v>
      </c>
      <c r="C119" s="24" t="s">
        <v>312</v>
      </c>
      <c r="D119" s="95">
        <f>('DOE25'!L350)+('DOE25'!L351)+('DOE25'!L352)</f>
        <v>52183.26</v>
      </c>
      <c r="E119" s="24" t="s">
        <v>312</v>
      </c>
      <c r="F119" s="24" t="s">
        <v>312</v>
      </c>
      <c r="G119" s="24" t="s">
        <v>312</v>
      </c>
    </row>
    <row r="120" spans="1:7" ht="12.75" thickTop="1" thickBot="1" x14ac:dyDescent="0.25">
      <c r="A120" s="33" t="s">
        <v>249</v>
      </c>
      <c r="C120" s="86">
        <f>SUM(C110:C119)</f>
        <v>472309.91999999993</v>
      </c>
      <c r="D120" s="86">
        <f>SUM(D110:D119)</f>
        <v>52183.26</v>
      </c>
      <c r="E120" s="86">
        <f>SUM(E110:E119)</f>
        <v>12686.599999999999</v>
      </c>
      <c r="F120" s="86">
        <f>SUM(F110:F119)</f>
        <v>0</v>
      </c>
      <c r="G120" s="86">
        <f>SUM(G110:G119)</f>
        <v>0</v>
      </c>
    </row>
    <row r="121" spans="1:7" ht="12" thickTop="1" x14ac:dyDescent="0.2">
      <c r="A121" s="33" t="s">
        <v>386</v>
      </c>
      <c r="C121" s="24" t="s">
        <v>312</v>
      </c>
      <c r="D121" s="24" t="s">
        <v>312</v>
      </c>
      <c r="E121" s="24" t="s">
        <v>312</v>
      </c>
      <c r="F121" s="24" t="s">
        <v>312</v>
      </c>
      <c r="G121" s="24" t="s">
        <v>312</v>
      </c>
    </row>
    <row r="122" spans="1:7" x14ac:dyDescent="0.2">
      <c r="A122" t="s">
        <v>250</v>
      </c>
      <c r="B122" s="32" t="s">
        <v>251</v>
      </c>
      <c r="C122" s="95">
        <f>'DOE25'!L247</f>
        <v>0</v>
      </c>
      <c r="D122" s="24" t="s">
        <v>312</v>
      </c>
      <c r="E122" s="129">
        <f>'DOE25'!L328</f>
        <v>0</v>
      </c>
      <c r="F122" s="129">
        <f>SUM('DOE25'!L366:'DOE25'!L372)</f>
        <v>0</v>
      </c>
      <c r="G122" s="24" t="s">
        <v>312</v>
      </c>
    </row>
    <row r="123" spans="1:7" x14ac:dyDescent="0.2">
      <c r="A123" t="s">
        <v>252</v>
      </c>
      <c r="B123" s="32">
        <v>5110</v>
      </c>
      <c r="C123" s="95">
        <f>'DOE25'!L252</f>
        <v>23602.54</v>
      </c>
      <c r="D123" s="24" t="s">
        <v>312</v>
      </c>
      <c r="E123" s="129">
        <f>'DOE25'!L333</f>
        <v>0</v>
      </c>
      <c r="F123" s="24" t="s">
        <v>312</v>
      </c>
      <c r="G123" s="24" t="s">
        <v>312</v>
      </c>
    </row>
    <row r="124" spans="1:7" x14ac:dyDescent="0.2">
      <c r="A124" t="s">
        <v>253</v>
      </c>
      <c r="B124" s="32">
        <v>5120</v>
      </c>
      <c r="C124" s="95">
        <f>'DOE25'!L253</f>
        <v>3610.18</v>
      </c>
      <c r="D124" s="24" t="s">
        <v>312</v>
      </c>
      <c r="E124" s="129">
        <f>'DOE25'!L334</f>
        <v>0</v>
      </c>
      <c r="F124" s="24" t="s">
        <v>312</v>
      </c>
      <c r="G124" s="24" t="s">
        <v>312</v>
      </c>
    </row>
    <row r="125" spans="1:7" x14ac:dyDescent="0.2">
      <c r="A125" s="33" t="s">
        <v>254</v>
      </c>
      <c r="C125" s="24" t="s">
        <v>312</v>
      </c>
      <c r="D125" s="24" t="s">
        <v>312</v>
      </c>
      <c r="E125" s="24" t="s">
        <v>312</v>
      </c>
      <c r="F125" s="24" t="s">
        <v>312</v>
      </c>
      <c r="G125" s="24" t="s">
        <v>312</v>
      </c>
    </row>
    <row r="126" spans="1:7" x14ac:dyDescent="0.2">
      <c r="A126" t="s">
        <v>255</v>
      </c>
      <c r="B126" s="32">
        <v>5210</v>
      </c>
      <c r="C126" s="24" t="s">
        <v>312</v>
      </c>
      <c r="D126" s="95">
        <f>'DOE25'!K353</f>
        <v>0</v>
      </c>
      <c r="E126" s="95">
        <f>'DOE25'!L336</f>
        <v>383.59</v>
      </c>
      <c r="F126" s="95">
        <f>'DOE25'!K373</f>
        <v>0</v>
      </c>
      <c r="G126" s="95">
        <f>'DOE25'!K426</f>
        <v>0</v>
      </c>
    </row>
    <row r="127" spans="1:7" x14ac:dyDescent="0.2">
      <c r="A127" t="s">
        <v>256</v>
      </c>
      <c r="B127" s="32" t="s">
        <v>257</v>
      </c>
      <c r="C127" s="95">
        <f>'DOE25'!L255</f>
        <v>24633.42</v>
      </c>
      <c r="D127" s="24" t="s">
        <v>312</v>
      </c>
      <c r="E127" s="129">
        <f>'DOE25'!L337</f>
        <v>0</v>
      </c>
      <c r="F127" s="24" t="s">
        <v>312</v>
      </c>
      <c r="G127" s="24" t="s">
        <v>312</v>
      </c>
    </row>
    <row r="128" spans="1:7" x14ac:dyDescent="0.2">
      <c r="A128" t="s">
        <v>258</v>
      </c>
      <c r="B128" s="32" t="s">
        <v>259</v>
      </c>
      <c r="C128" s="95">
        <f>'DOE25'!L256</f>
        <v>0</v>
      </c>
      <c r="D128" s="24" t="s">
        <v>312</v>
      </c>
      <c r="E128" s="24" t="s">
        <v>312</v>
      </c>
      <c r="F128" s="24" t="s">
        <v>312</v>
      </c>
      <c r="G128" s="24" t="s">
        <v>312</v>
      </c>
    </row>
    <row r="129" spans="1:9" x14ac:dyDescent="0.2">
      <c r="A129" t="s">
        <v>260</v>
      </c>
      <c r="B129" s="32" t="s">
        <v>212</v>
      </c>
      <c r="C129" s="95">
        <f>'DOE25'!L257</f>
        <v>0</v>
      </c>
      <c r="D129" s="24" t="s">
        <v>312</v>
      </c>
      <c r="E129" s="129">
        <f>'DOE25'!L338</f>
        <v>0</v>
      </c>
      <c r="F129" s="24" t="s">
        <v>312</v>
      </c>
      <c r="G129" s="24" t="s">
        <v>312</v>
      </c>
    </row>
    <row r="130" spans="1:9" x14ac:dyDescent="0.2">
      <c r="A130" t="s">
        <v>261</v>
      </c>
      <c r="B130" s="32">
        <v>5251</v>
      </c>
      <c r="C130" s="95">
        <f>'DOE25'!L385</f>
        <v>0</v>
      </c>
      <c r="D130" s="24" t="s">
        <v>312</v>
      </c>
      <c r="E130" s="24" t="s">
        <v>312</v>
      </c>
      <c r="F130" s="24" t="s">
        <v>312</v>
      </c>
      <c r="G130" s="24" t="s">
        <v>312</v>
      </c>
    </row>
    <row r="131" spans="1:9" x14ac:dyDescent="0.2">
      <c r="A131" t="s">
        <v>262</v>
      </c>
      <c r="B131" s="32">
        <v>5252</v>
      </c>
      <c r="C131" s="95">
        <f>'DOE25'!L393</f>
        <v>80.789999999999992</v>
      </c>
      <c r="D131" s="24" t="s">
        <v>312</v>
      </c>
      <c r="E131" s="24" t="s">
        <v>312</v>
      </c>
      <c r="F131" s="24" t="s">
        <v>312</v>
      </c>
      <c r="G131" s="24" t="s">
        <v>312</v>
      </c>
    </row>
    <row r="132" spans="1:9" x14ac:dyDescent="0.2">
      <c r="A132" t="s">
        <v>263</v>
      </c>
      <c r="B132" s="32">
        <v>5253</v>
      </c>
      <c r="C132" s="95">
        <f>'DOE25'!L399</f>
        <v>0</v>
      </c>
      <c r="D132" s="24" t="s">
        <v>312</v>
      </c>
      <c r="E132" s="24" t="s">
        <v>312</v>
      </c>
      <c r="F132" s="24" t="s">
        <v>312</v>
      </c>
      <c r="G132" s="24" t="s">
        <v>312</v>
      </c>
    </row>
    <row r="133" spans="1:9" x14ac:dyDescent="0.2">
      <c r="A133" t="s">
        <v>797</v>
      </c>
      <c r="B133" s="32">
        <v>5254</v>
      </c>
      <c r="C133" s="95">
        <f>('DOE25'!L258+'DOE25'!K339) - (C130+C131+C132)</f>
        <v>-80.789999999999992</v>
      </c>
      <c r="D133" s="24" t="s">
        <v>312</v>
      </c>
      <c r="E133" s="24" t="s">
        <v>312</v>
      </c>
      <c r="F133" s="24" t="s">
        <v>312</v>
      </c>
      <c r="G133" s="24" t="s">
        <v>312</v>
      </c>
    </row>
    <row r="134" spans="1:9" x14ac:dyDescent="0.2">
      <c r="A134" t="s">
        <v>264</v>
      </c>
      <c r="B134" s="32">
        <v>5310</v>
      </c>
      <c r="C134" s="129">
        <f>'DOE25'!L260</f>
        <v>0</v>
      </c>
      <c r="D134" s="24" t="s">
        <v>312</v>
      </c>
      <c r="E134" s="129">
        <f>'DOE25'!L341</f>
        <v>0</v>
      </c>
      <c r="F134" s="24" t="s">
        <v>312</v>
      </c>
      <c r="G134" s="24" t="s">
        <v>312</v>
      </c>
    </row>
    <row r="135" spans="1:9" ht="12" thickBot="1" x14ac:dyDescent="0.25">
      <c r="A135" t="s">
        <v>265</v>
      </c>
      <c r="B135" s="32">
        <v>5390</v>
      </c>
      <c r="C135" s="129">
        <f>'DOE25'!L261</f>
        <v>0</v>
      </c>
      <c r="D135" s="24" t="s">
        <v>312</v>
      </c>
      <c r="E135" s="129">
        <f>'DOE25'!L342</f>
        <v>0</v>
      </c>
      <c r="F135" s="24" t="s">
        <v>312</v>
      </c>
      <c r="G135" s="24" t="s">
        <v>312</v>
      </c>
    </row>
    <row r="136" spans="1:9" ht="12" thickBot="1" x14ac:dyDescent="0.25">
      <c r="A136" s="33" t="s">
        <v>266</v>
      </c>
      <c r="C136" s="141">
        <f>SUM(C122:C135)</f>
        <v>51846.14</v>
      </c>
      <c r="D136" s="141">
        <f>SUM(D122:D135)</f>
        <v>0</v>
      </c>
      <c r="E136" s="141">
        <f>SUM(E122:E135)</f>
        <v>383.59</v>
      </c>
      <c r="F136" s="141">
        <f>SUM(F122:F135)</f>
        <v>0</v>
      </c>
      <c r="G136" s="141">
        <f>SUM(G122:G135)</f>
        <v>0</v>
      </c>
    </row>
    <row r="137" spans="1:9" ht="12.75" thickTop="1" thickBot="1" x14ac:dyDescent="0.25">
      <c r="A137" s="33" t="s">
        <v>267</v>
      </c>
      <c r="C137" s="86">
        <f>(C107+C120+C136)</f>
        <v>1914819.46</v>
      </c>
      <c r="D137" s="86">
        <f>(D107+D120+D136)</f>
        <v>52183.26</v>
      </c>
      <c r="E137" s="86">
        <f>(E107+E120+E136)</f>
        <v>79689.01999999999</v>
      </c>
      <c r="F137" s="86">
        <f>(F107+F120+F136)</f>
        <v>0</v>
      </c>
      <c r="G137" s="86">
        <f>(G107+G120+G136)</f>
        <v>0</v>
      </c>
    </row>
    <row r="138" spans="1:9" ht="12" thickTop="1" x14ac:dyDescent="0.2">
      <c r="A138" s="33"/>
    </row>
    <row r="140" spans="1:9" x14ac:dyDescent="0.2">
      <c r="A140" s="135" t="s">
        <v>268</v>
      </c>
      <c r="B140" s="132"/>
      <c r="C140" s="115"/>
      <c r="D140" s="116"/>
      <c r="E140" s="116"/>
      <c r="F140" s="116"/>
      <c r="G140" s="116"/>
      <c r="H140" s="116"/>
      <c r="I140" s="116"/>
    </row>
    <row r="141" spans="1:9" x14ac:dyDescent="0.2">
      <c r="A141" s="136" t="s">
        <v>20</v>
      </c>
      <c r="B141" s="32" t="s">
        <v>288</v>
      </c>
      <c r="C141" s="32" t="s">
        <v>289</v>
      </c>
      <c r="D141" s="32" t="s">
        <v>290</v>
      </c>
      <c r="E141" s="32" t="s">
        <v>291</v>
      </c>
      <c r="F141" s="32" t="s">
        <v>292</v>
      </c>
      <c r="G141" s="32" t="s">
        <v>293</v>
      </c>
    </row>
    <row r="142" spans="1:9" x14ac:dyDescent="0.2">
      <c r="A142" s="135" t="s">
        <v>21</v>
      </c>
      <c r="B142" s="32" t="s">
        <v>22</v>
      </c>
      <c r="C142" s="32" t="s">
        <v>23</v>
      </c>
      <c r="D142" s="32" t="s">
        <v>24</v>
      </c>
      <c r="E142" s="32" t="s">
        <v>25</v>
      </c>
      <c r="F142" s="32" t="s">
        <v>26</v>
      </c>
      <c r="G142" s="32" t="s">
        <v>364</v>
      </c>
    </row>
    <row r="143" spans="1:9" x14ac:dyDescent="0.2">
      <c r="A143" s="136" t="s">
        <v>27</v>
      </c>
      <c r="B143" s="153">
        <f>'DOE25'!F480</f>
        <v>5</v>
      </c>
      <c r="C143" s="153">
        <f>'DOE25'!G480</f>
        <v>4</v>
      </c>
      <c r="D143" s="153">
        <f>'DOE25'!H480</f>
        <v>0</v>
      </c>
      <c r="E143" s="153">
        <f>'DOE25'!I480</f>
        <v>0</v>
      </c>
      <c r="F143" s="153">
        <f>'DOE25'!J480</f>
        <v>0</v>
      </c>
      <c r="G143" s="24" t="s">
        <v>312</v>
      </c>
    </row>
    <row r="144" spans="1:9" x14ac:dyDescent="0.2">
      <c r="A144" s="136" t="s">
        <v>28</v>
      </c>
      <c r="B144" s="152" t="str">
        <f>'DOE25'!F481</f>
        <v>10/2008</v>
      </c>
      <c r="C144" s="152" t="str">
        <f>'DOE25'!G481</f>
        <v>9/2009</v>
      </c>
      <c r="D144" s="152">
        <f>'DOE25'!H481</f>
        <v>0</v>
      </c>
      <c r="E144" s="152">
        <f>'DOE25'!I481</f>
        <v>0</v>
      </c>
      <c r="F144" s="152">
        <f>'DOE25'!J481</f>
        <v>0</v>
      </c>
      <c r="G144" s="24" t="s">
        <v>312</v>
      </c>
    </row>
    <row r="145" spans="1:7" x14ac:dyDescent="0.2">
      <c r="A145" s="136" t="s">
        <v>29</v>
      </c>
      <c r="B145" s="152" t="str">
        <f>'DOE25'!F482</f>
        <v>10/2013</v>
      </c>
      <c r="C145" s="152" t="str">
        <f>'DOE25'!G482</f>
        <v>11/2013</v>
      </c>
      <c r="D145" s="152">
        <f>'DOE25'!H482</f>
        <v>0</v>
      </c>
      <c r="E145" s="152">
        <f>'DOE25'!I482</f>
        <v>0</v>
      </c>
      <c r="F145" s="152">
        <f>'DOE25'!J482</f>
        <v>0</v>
      </c>
      <c r="G145" s="24" t="s">
        <v>312</v>
      </c>
    </row>
    <row r="146" spans="1:7" x14ac:dyDescent="0.2">
      <c r="A146" s="136" t="s">
        <v>30</v>
      </c>
      <c r="B146" s="137">
        <f>'DOE25'!F483</f>
        <v>32000</v>
      </c>
      <c r="C146" s="137">
        <f>'DOE25'!G483</f>
        <v>69830</v>
      </c>
      <c r="D146" s="137">
        <f>'DOE25'!H483</f>
        <v>0</v>
      </c>
      <c r="E146" s="137">
        <f>'DOE25'!I483</f>
        <v>0</v>
      </c>
      <c r="F146" s="137">
        <f>'DOE25'!J483</f>
        <v>0</v>
      </c>
      <c r="G146" s="24" t="s">
        <v>312</v>
      </c>
    </row>
    <row r="147" spans="1:7" x14ac:dyDescent="0.2">
      <c r="A147" s="136" t="s">
        <v>31</v>
      </c>
      <c r="B147" s="137">
        <f>'DOE25'!F484</f>
        <v>0</v>
      </c>
      <c r="C147" s="137">
        <f>'DOE25'!G484</f>
        <v>0</v>
      </c>
      <c r="D147" s="137">
        <f>'DOE25'!H484</f>
        <v>0</v>
      </c>
      <c r="E147" s="137">
        <f>'DOE25'!I484</f>
        <v>0</v>
      </c>
      <c r="F147" s="137">
        <f>'DOE25'!J484</f>
        <v>0</v>
      </c>
      <c r="G147" s="24" t="s">
        <v>312</v>
      </c>
    </row>
    <row r="148" spans="1:7" x14ac:dyDescent="0.2">
      <c r="A148" s="22" t="s">
        <v>32</v>
      </c>
      <c r="B148" s="137">
        <f>'DOE25'!F485</f>
        <v>26091.02</v>
      </c>
      <c r="C148" s="137">
        <f>'DOE25'!G485</f>
        <v>69830</v>
      </c>
      <c r="D148" s="137">
        <f>'DOE25'!H485</f>
        <v>0</v>
      </c>
      <c r="E148" s="137">
        <f>'DOE25'!I485</f>
        <v>0</v>
      </c>
      <c r="F148" s="137">
        <f>'DOE25'!J485</f>
        <v>0</v>
      </c>
      <c r="G148" s="138">
        <f>SUM(B148:F148)</f>
        <v>95921.02</v>
      </c>
    </row>
    <row r="149" spans="1:7" x14ac:dyDescent="0.2">
      <c r="A149" s="22" t="s">
        <v>33</v>
      </c>
      <c r="B149" s="137">
        <f>'DOE25'!F486</f>
        <v>0</v>
      </c>
      <c r="C149" s="137">
        <f>'DOE25'!G486</f>
        <v>0</v>
      </c>
      <c r="D149" s="137">
        <f>'DOE25'!H486</f>
        <v>0</v>
      </c>
      <c r="E149" s="137">
        <f>'DOE25'!I486</f>
        <v>0</v>
      </c>
      <c r="F149" s="137">
        <f>'DOE25'!J486</f>
        <v>0</v>
      </c>
      <c r="G149" s="138">
        <f t="shared" ref="G149:G156" si="0">SUM(B149:F149)</f>
        <v>0</v>
      </c>
    </row>
    <row r="150" spans="1:7" x14ac:dyDescent="0.2">
      <c r="A150" s="22" t="s">
        <v>34</v>
      </c>
      <c r="B150" s="137">
        <f>'DOE25'!F487</f>
        <v>6145.03</v>
      </c>
      <c r="C150" s="137">
        <f>'DOE25'!G487</f>
        <v>17457.5</v>
      </c>
      <c r="D150" s="137">
        <f>'DOE25'!H487</f>
        <v>0</v>
      </c>
      <c r="E150" s="137">
        <f>'DOE25'!I487</f>
        <v>0</v>
      </c>
      <c r="F150" s="137">
        <f>'DOE25'!J487</f>
        <v>0</v>
      </c>
      <c r="G150" s="138">
        <f t="shared" si="0"/>
        <v>23602.53</v>
      </c>
    </row>
    <row r="151" spans="1:7" x14ac:dyDescent="0.2">
      <c r="A151" s="22" t="s">
        <v>35</v>
      </c>
      <c r="B151" s="137">
        <f>'DOE25'!F488</f>
        <v>19945.990000000002</v>
      </c>
      <c r="C151" s="137">
        <f>'DOE25'!G488</f>
        <v>52372.5</v>
      </c>
      <c r="D151" s="137">
        <f>'DOE25'!H488</f>
        <v>0</v>
      </c>
      <c r="E151" s="137">
        <f>'DOE25'!I488</f>
        <v>0</v>
      </c>
      <c r="F151" s="137">
        <f>'DOE25'!J488</f>
        <v>0</v>
      </c>
      <c r="G151" s="138">
        <f t="shared" si="0"/>
        <v>72318.490000000005</v>
      </c>
    </row>
    <row r="152" spans="1:7" x14ac:dyDescent="0.2">
      <c r="A152" s="22" t="s">
        <v>36</v>
      </c>
      <c r="B152" s="137">
        <f>'DOE25'!F489</f>
        <v>1615.86</v>
      </c>
      <c r="C152" s="137">
        <f>'DOE25'!G489</f>
        <v>3407.33</v>
      </c>
      <c r="D152" s="137">
        <f>'DOE25'!H489</f>
        <v>0</v>
      </c>
      <c r="E152" s="137">
        <f>'DOE25'!I489</f>
        <v>0</v>
      </c>
      <c r="F152" s="137">
        <f>'DOE25'!J489</f>
        <v>0</v>
      </c>
      <c r="G152" s="138">
        <f t="shared" si="0"/>
        <v>5023.1899999999996</v>
      </c>
    </row>
    <row r="153" spans="1:7" x14ac:dyDescent="0.2">
      <c r="A153" s="22" t="s">
        <v>37</v>
      </c>
      <c r="B153" s="137">
        <f>'DOE25'!F490</f>
        <v>21561.850000000002</v>
      </c>
      <c r="C153" s="137">
        <f>'DOE25'!G490</f>
        <v>55779.83</v>
      </c>
      <c r="D153" s="137">
        <f>'DOE25'!H490</f>
        <v>0</v>
      </c>
      <c r="E153" s="137">
        <f>'DOE25'!I490</f>
        <v>0</v>
      </c>
      <c r="F153" s="137">
        <f>'DOE25'!J490</f>
        <v>0</v>
      </c>
      <c r="G153" s="138">
        <f t="shared" si="0"/>
        <v>77341.680000000008</v>
      </c>
    </row>
    <row r="154" spans="1:7" x14ac:dyDescent="0.2">
      <c r="A154" s="22" t="s">
        <v>38</v>
      </c>
      <c r="B154" s="137">
        <f>'DOE25'!F491</f>
        <v>6390.5</v>
      </c>
      <c r="C154" s="137">
        <f>'DOE25'!G491</f>
        <v>17457.5</v>
      </c>
      <c r="D154" s="137">
        <f>'DOE25'!H491</f>
        <v>0</v>
      </c>
      <c r="E154" s="137">
        <f>'DOE25'!I491</f>
        <v>0</v>
      </c>
      <c r="F154" s="137">
        <f>'DOE25'!J491</f>
        <v>0</v>
      </c>
      <c r="G154" s="138">
        <f t="shared" si="0"/>
        <v>23848</v>
      </c>
    </row>
    <row r="155" spans="1:7" x14ac:dyDescent="0.2">
      <c r="A155" s="22" t="s">
        <v>39</v>
      </c>
      <c r="B155" s="137">
        <f>'DOE25'!F492</f>
        <v>796.79</v>
      </c>
      <c r="C155" s="137">
        <f>'DOE25'!G492</f>
        <v>1702.11</v>
      </c>
      <c r="D155" s="137">
        <f>'DOE25'!H492</f>
        <v>0</v>
      </c>
      <c r="E155" s="137">
        <f>'DOE25'!I492</f>
        <v>0</v>
      </c>
      <c r="F155" s="137">
        <f>'DOE25'!J492</f>
        <v>0</v>
      </c>
      <c r="G155" s="138">
        <f t="shared" si="0"/>
        <v>2498.8999999999996</v>
      </c>
    </row>
    <row r="156" spans="1:7" x14ac:dyDescent="0.2">
      <c r="A156" s="22" t="s">
        <v>269</v>
      </c>
      <c r="B156" s="137">
        <f>'DOE25'!F493</f>
        <v>7187.29</v>
      </c>
      <c r="C156" s="137">
        <f>'DOE25'!G493</f>
        <v>19159.61</v>
      </c>
      <c r="D156" s="137">
        <f>'DOE25'!H493</f>
        <v>0</v>
      </c>
      <c r="E156" s="137">
        <f>'DOE25'!I493</f>
        <v>0</v>
      </c>
      <c r="F156" s="137">
        <f>'DOE25'!J493</f>
        <v>0</v>
      </c>
      <c r="G156" s="138">
        <f t="shared" si="0"/>
        <v>26346.9</v>
      </c>
    </row>
  </sheetData>
  <sheetProtection password="B3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2010-2011</oddHeader>
    <oddFooter>&amp;CPage &amp;P&amp;R&amp;D&amp;T</oddFooter>
  </headerFooter>
  <rowBreaks count="4" manualBreakCount="4">
    <brk id="43" max="65535" man="1"/>
    <brk id="73" max="16383" man="1"/>
    <brk id="96" max="16383" man="1"/>
    <brk id="137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A6879-B2AE-4542-959F-1A9B7532B76F}">
  <sheetPr codeName="Sheet3">
    <tabColor indexed="43"/>
  </sheetPr>
  <dimension ref="A1:D42"/>
  <sheetViews>
    <sheetView topLeftCell="A25" workbookViewId="0">
      <selection activeCell="E39" sqref="E39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1" t="s">
        <v>771</v>
      </c>
      <c r="B1" s="281"/>
      <c r="C1" s="281"/>
      <c r="D1" s="281"/>
    </row>
    <row r="2" spans="1:4" x14ac:dyDescent="0.2">
      <c r="A2" s="187" t="s">
        <v>748</v>
      </c>
      <c r="B2" s="186" t="str">
        <f>'DOE25'!A2</f>
        <v>BATH SCHOOL DISTRICT</v>
      </c>
    </row>
    <row r="3" spans="1:4" x14ac:dyDescent="0.2">
      <c r="B3" s="188" t="s">
        <v>891</v>
      </c>
    </row>
    <row r="4" spans="1:4" x14ac:dyDescent="0.2">
      <c r="B4" t="s">
        <v>61</v>
      </c>
      <c r="C4" s="179">
        <f>IF('DOE25'!F655+'DOE25'!F660=0,0,ROUND('DOE25'!F662,0))</f>
        <v>15246</v>
      </c>
    </row>
    <row r="5" spans="1:4" x14ac:dyDescent="0.2">
      <c r="B5" t="s">
        <v>735</v>
      </c>
      <c r="C5" s="179">
        <f>IF('DOE25'!G655+'DOE25'!G660=0,0,ROUND('DOE25'!G662,0))</f>
        <v>0</v>
      </c>
    </row>
    <row r="6" spans="1:4" x14ac:dyDescent="0.2">
      <c r="B6" t="s">
        <v>62</v>
      </c>
      <c r="C6" s="179">
        <f>IF('DOE25'!H655+'DOE25'!H660=0,0,ROUND('DOE25'!H662,0))</f>
        <v>0</v>
      </c>
    </row>
    <row r="7" spans="1:4" x14ac:dyDescent="0.2">
      <c r="B7" t="s">
        <v>736</v>
      </c>
      <c r="C7" s="179">
        <f>IF('DOE25'!I655+'DOE25'!I660=0,0,ROUND('DOE25'!I662,0))</f>
        <v>15246</v>
      </c>
    </row>
    <row r="9" spans="1:4" x14ac:dyDescent="0.2">
      <c r="A9" s="187" t="s">
        <v>94</v>
      </c>
      <c r="B9" s="188" t="s">
        <v>892</v>
      </c>
      <c r="C9" s="181" t="s">
        <v>755</v>
      </c>
      <c r="D9" s="181" t="s">
        <v>756</v>
      </c>
    </row>
    <row r="10" spans="1:4" x14ac:dyDescent="0.2">
      <c r="A10">
        <v>1100</v>
      </c>
      <c r="B10" t="s">
        <v>737</v>
      </c>
      <c r="C10" s="179">
        <f>ROUND('DOE25'!L189+'DOE25'!L207+'DOE25'!L225+'DOE25'!L268+'DOE25'!L287+'DOE25'!L306,0)</f>
        <v>1162605</v>
      </c>
      <c r="D10" s="182">
        <f>ROUND((C10/$C$28)*100,1)</f>
        <v>58.5</v>
      </c>
    </row>
    <row r="11" spans="1:4" x14ac:dyDescent="0.2">
      <c r="A11">
        <v>1200</v>
      </c>
      <c r="B11" t="s">
        <v>738</v>
      </c>
      <c r="C11" s="179">
        <f>ROUND('DOE25'!L190+'DOE25'!L208+'DOE25'!L226+'DOE25'!L269+'DOE25'!L288+'DOE25'!L307,0)</f>
        <v>250728</v>
      </c>
      <c r="D11" s="182">
        <f>ROUND((C11/$C$28)*100,1)</f>
        <v>12.6</v>
      </c>
    </row>
    <row r="12" spans="1:4" x14ac:dyDescent="0.2">
      <c r="A12">
        <v>1300</v>
      </c>
      <c r="B12" t="s">
        <v>739</v>
      </c>
      <c r="C12" s="179">
        <f>ROUND('DOE25'!L191+'DOE25'!L209+'DOE25'!L227+'DOE25'!L270+'DOE25'!L289+'DOE25'!L308,0)</f>
        <v>37344</v>
      </c>
      <c r="D12" s="182">
        <f>ROUND((C12/$C$28)*100,1)</f>
        <v>1.9</v>
      </c>
    </row>
    <row r="13" spans="1:4" x14ac:dyDescent="0.2">
      <c r="A13">
        <v>1400</v>
      </c>
      <c r="B13" t="s">
        <v>740</v>
      </c>
      <c r="C13" s="179">
        <f>ROUND('DOE25'!L192+'DOE25'!L210+'DOE25'!L228+'DOE25'!L271+'DOE25'!L290+'DOE25'!L309,0)</f>
        <v>6605</v>
      </c>
      <c r="D13" s="182">
        <f>ROUND((C13/$C$28)*100,1)</f>
        <v>0.3</v>
      </c>
    </row>
    <row r="14" spans="1:4" x14ac:dyDescent="0.2">
      <c r="D14" s="182"/>
    </row>
    <row r="15" spans="1:4" x14ac:dyDescent="0.2">
      <c r="A15">
        <v>2100</v>
      </c>
      <c r="B15" t="s">
        <v>741</v>
      </c>
      <c r="C15" s="179">
        <f>ROUND('DOE25'!L194+'DOE25'!L212+'DOE25'!L230+'DOE25'!L273+'DOE25'!L292+'DOE25'!L311,0)</f>
        <v>45057</v>
      </c>
      <c r="D15" s="182">
        <f t="shared" ref="D15:D27" si="0">ROUND((C15/$C$28)*100,1)</f>
        <v>2.2999999999999998</v>
      </c>
    </row>
    <row r="16" spans="1:4" x14ac:dyDescent="0.2">
      <c r="A16">
        <v>2200</v>
      </c>
      <c r="B16" t="s">
        <v>742</v>
      </c>
      <c r="C16" s="179">
        <f>ROUND('DOE25'!L195+'DOE25'!L213+'DOE25'!L231+'DOE25'!L274+'DOE25'!L293+'DOE25'!L312,0)</f>
        <v>32216</v>
      </c>
      <c r="D16" s="182">
        <f t="shared" si="0"/>
        <v>1.6</v>
      </c>
    </row>
    <row r="17" spans="1:4" x14ac:dyDescent="0.2">
      <c r="A17" s="183" t="s">
        <v>758</v>
      </c>
      <c r="B17" t="s">
        <v>773</v>
      </c>
      <c r="C17" s="179">
        <f>ROUND('DOE25'!L196+'DOE25'!L201+'DOE25'!L214+'DOE25'!L219+'DOE25'!L232+'DOE25'!L237+'DOE25'!L275+'DOE25'!L280+'DOE25'!L294+'DOE25'!L299+'DOE25'!L313+'DOE25'!L318,0)</f>
        <v>100316</v>
      </c>
      <c r="D17" s="182">
        <f t="shared" si="0"/>
        <v>5</v>
      </c>
    </row>
    <row r="18" spans="1:4" x14ac:dyDescent="0.2">
      <c r="A18">
        <v>2400</v>
      </c>
      <c r="B18" t="s">
        <v>746</v>
      </c>
      <c r="C18" s="179">
        <f>ROUND('DOE25'!L197+'DOE25'!L215+'DOE25'!L233+'DOE25'!L276+'DOE25'!L295+'DOE25'!L314,0)</f>
        <v>105820</v>
      </c>
      <c r="D18" s="182">
        <f t="shared" si="0"/>
        <v>5.3</v>
      </c>
    </row>
    <row r="19" spans="1:4" x14ac:dyDescent="0.2">
      <c r="A19">
        <v>2500</v>
      </c>
      <c r="B19" t="s">
        <v>743</v>
      </c>
      <c r="C19" s="179">
        <f>ROUND('DOE25'!L198+'DOE25'!L216+'DOE25'!L234+'DOE25'!L277+'DOE25'!L296+'DOE25'!L315,0)</f>
        <v>0</v>
      </c>
      <c r="D19" s="182">
        <f t="shared" si="0"/>
        <v>0</v>
      </c>
    </row>
    <row r="20" spans="1:4" x14ac:dyDescent="0.2">
      <c r="A20">
        <v>2600</v>
      </c>
      <c r="B20" t="s">
        <v>744</v>
      </c>
      <c r="C20" s="179">
        <f>ROUND('DOE25'!L199+'DOE25'!L217+'DOE25'!L235+'DOE25'!L278+'DOE25'!L297+'DOE25'!L316,0)</f>
        <v>105270</v>
      </c>
      <c r="D20" s="182">
        <f t="shared" si="0"/>
        <v>5.3</v>
      </c>
    </row>
    <row r="21" spans="1:4" x14ac:dyDescent="0.2">
      <c r="A21">
        <v>2700</v>
      </c>
      <c r="B21" t="s">
        <v>745</v>
      </c>
      <c r="C21" s="179">
        <f>ROUND('DOE25'!L200+'DOE25'!L218+'DOE25'!L236+'DOE25'!L279+'DOE25'!L298+'DOE25'!L317,0)</f>
        <v>96318</v>
      </c>
      <c r="D21" s="182">
        <f t="shared" si="0"/>
        <v>4.8</v>
      </c>
    </row>
    <row r="22" spans="1:4" x14ac:dyDescent="0.2">
      <c r="A22">
        <v>2900</v>
      </c>
      <c r="B22" t="s">
        <v>747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749</v>
      </c>
      <c r="C23" s="179">
        <f>ROUND('DOE25'!L242+'DOE25'!L324,0)</f>
        <v>0</v>
      </c>
      <c r="D23" s="182">
        <f t="shared" si="0"/>
        <v>0</v>
      </c>
    </row>
    <row r="24" spans="1:4" x14ac:dyDescent="0.2">
      <c r="A24" s="183" t="s">
        <v>757</v>
      </c>
      <c r="B24" t="s">
        <v>750</v>
      </c>
      <c r="C24" s="179">
        <f>ROUND('DOE25'!L243+'DOE25'!L244+'DOE25'!L245+'DOE25'!L246+'DOE25'!L325+'DOE25'!L326+'DOE25'!L327,0)</f>
        <v>0</v>
      </c>
      <c r="D24" s="182">
        <f t="shared" si="0"/>
        <v>0</v>
      </c>
    </row>
    <row r="25" spans="1:4" x14ac:dyDescent="0.2">
      <c r="A25">
        <v>5120</v>
      </c>
      <c r="B25" t="s">
        <v>751</v>
      </c>
      <c r="C25" s="179">
        <f>ROUND('DOE25'!L253+'DOE25'!L334,0)</f>
        <v>3610</v>
      </c>
      <c r="D25" s="182">
        <f t="shared" si="0"/>
        <v>0.2</v>
      </c>
    </row>
    <row r="26" spans="1:4" x14ac:dyDescent="0.2">
      <c r="A26" s="183" t="s">
        <v>752</v>
      </c>
      <c r="B26" t="s">
        <v>753</v>
      </c>
      <c r="C26" s="179">
        <f>'DOE25'!L260+'DOE25'!L261+'DOE25'!L341+'DOE25'!L342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ROUND('DOE25'!L354-'DOE25'!L353,0)-SUM('DOE25'!G89:G102)</f>
        <v>41834.89</v>
      </c>
      <c r="D27" s="182">
        <f t="shared" si="0"/>
        <v>2.1</v>
      </c>
    </row>
    <row r="28" spans="1:4" x14ac:dyDescent="0.2">
      <c r="B28" s="187" t="s">
        <v>754</v>
      </c>
      <c r="C28" s="180">
        <f>SUM(C10:C27)</f>
        <v>1987723.89</v>
      </c>
      <c r="D28" s="184">
        <f>ROUND(SUM(D10:D27),0)</f>
        <v>100</v>
      </c>
    </row>
    <row r="29" spans="1:4" x14ac:dyDescent="0.2">
      <c r="A29">
        <v>4000</v>
      </c>
      <c r="B29" t="s">
        <v>759</v>
      </c>
      <c r="C29" s="179">
        <f>ROUND('DOE25'!L247+'DOE25'!L328+'DOE25'!L366+'DOE25'!L367+'DOE25'!L368+'DOE25'!L369+'DOE25'!L370+'DOE25'!L371+'DOE25'!L372,0)</f>
        <v>0</v>
      </c>
    </row>
    <row r="30" spans="1:4" x14ac:dyDescent="0.2">
      <c r="B30" s="187" t="s">
        <v>760</v>
      </c>
      <c r="C30" s="180">
        <f>SUM(C28:C29)</f>
        <v>1987723.89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761</v>
      </c>
      <c r="C32" s="180">
        <f>ROUND('DOE25'!L252+'DOE25'!L333,0)</f>
        <v>23603</v>
      </c>
    </row>
    <row r="34" spans="1:4" x14ac:dyDescent="0.2">
      <c r="A34" s="187" t="s">
        <v>94</v>
      </c>
      <c r="B34" s="188" t="s">
        <v>893</v>
      </c>
      <c r="C34" s="181" t="s">
        <v>755</v>
      </c>
      <c r="D34" s="181" t="s">
        <v>756</v>
      </c>
    </row>
    <row r="35" spans="1:4" x14ac:dyDescent="0.2">
      <c r="A35">
        <v>1100</v>
      </c>
      <c r="B35" s="185" t="s">
        <v>762</v>
      </c>
      <c r="C35" s="179">
        <f>ROUND('DOE25'!F52+'DOE25'!G52+'DOE25'!H52+'DOE25'!I52+'DOE25'!J52,0)</f>
        <v>1161837</v>
      </c>
      <c r="D35" s="182">
        <f t="shared" ref="D35:D40" si="1">ROUND((C35/$C$41)*100,1)</f>
        <v>57.2</v>
      </c>
    </row>
    <row r="36" spans="1:4" x14ac:dyDescent="0.2">
      <c r="B36" s="185" t="s">
        <v>774</v>
      </c>
      <c r="C36" s="179">
        <f>SUM('DOE25'!F104:J104)-SUM('DOE25'!G89:G102)+('DOE25'!F166+'DOE25'!F167+'DOE25'!I166+'DOE25'!I167)-C35</f>
        <v>3189.3200000000652</v>
      </c>
      <c r="D36" s="182">
        <f t="shared" si="1"/>
        <v>0.2</v>
      </c>
    </row>
    <row r="37" spans="1:4" x14ac:dyDescent="0.2">
      <c r="A37" s="183" t="s">
        <v>890</v>
      </c>
      <c r="B37" s="185" t="s">
        <v>763</v>
      </c>
      <c r="C37" s="179">
        <f>ROUND('DOE25'!F109+'DOE25'!F110+'DOE25'!F111,0)</f>
        <v>703223</v>
      </c>
      <c r="D37" s="182">
        <f t="shared" si="1"/>
        <v>34.6</v>
      </c>
    </row>
    <row r="38" spans="1:4" x14ac:dyDescent="0.2">
      <c r="A38" s="183" t="s">
        <v>769</v>
      </c>
      <c r="B38" s="185" t="s">
        <v>764</v>
      </c>
      <c r="C38" s="179">
        <f>ROUND(SUM('DOE25'!F132:J132)-SUM('DOE25'!F109:F111),0)</f>
        <v>27103</v>
      </c>
      <c r="D38" s="182">
        <f t="shared" si="1"/>
        <v>1.3</v>
      </c>
    </row>
    <row r="39" spans="1:4" x14ac:dyDescent="0.2">
      <c r="A39">
        <v>4000</v>
      </c>
      <c r="B39" s="185" t="s">
        <v>765</v>
      </c>
      <c r="C39" s="179">
        <f>ROUND('DOE25'!F161+'DOE25'!G161+'DOE25'!H161+'DOE25'!I161,0)</f>
        <v>134346</v>
      </c>
      <c r="D39" s="182">
        <f t="shared" si="1"/>
        <v>6.6</v>
      </c>
    </row>
    <row r="40" spans="1:4" x14ac:dyDescent="0.2">
      <c r="A40" s="183" t="s">
        <v>770</v>
      </c>
      <c r="B40" s="185" t="s">
        <v>766</v>
      </c>
      <c r="C40" s="179">
        <f>ROUND(SUM('DOE25'!F181:F183)+SUM('DOE25'!G181:G183)+SUM('DOE25'!H181:H183)+SUM('DOE25'!I181:I183),0)</f>
        <v>0</v>
      </c>
      <c r="D40" s="182">
        <f t="shared" si="1"/>
        <v>0</v>
      </c>
    </row>
    <row r="41" spans="1:4" x14ac:dyDescent="0.2">
      <c r="B41" s="187" t="s">
        <v>767</v>
      </c>
      <c r="C41" s="180">
        <f>SUM(C35:C40)</f>
        <v>2029698.32</v>
      </c>
      <c r="D41" s="184">
        <f>SUM(D35:D40)</f>
        <v>99.899999999999991</v>
      </c>
    </row>
    <row r="42" spans="1:4" x14ac:dyDescent="0.2">
      <c r="A42" s="183" t="s">
        <v>772</v>
      </c>
      <c r="B42" s="185" t="s">
        <v>768</v>
      </c>
      <c r="C42" s="179">
        <f>ROUND('DOE25'!F165+'DOE25'!I165+'DOE25'!F168+'DOE25'!I168,0)</f>
        <v>0</v>
      </c>
    </row>
  </sheetData>
  <sheetProtection password="B3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2C356-DB60-4648-A674-BDCA22E405E4}">
  <sheetPr>
    <tabColor indexed="17"/>
  </sheetPr>
  <dimension ref="A1:IV90"/>
  <sheetViews>
    <sheetView workbookViewId="0">
      <pane ySplit="3" topLeftCell="A4" activePane="bottomLeft" state="frozen"/>
      <selection pane="bottomLeft" activeCell="B6" sqref="B6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2" t="s">
        <v>801</v>
      </c>
      <c r="B1" s="293"/>
      <c r="C1" s="293"/>
      <c r="D1" s="293"/>
      <c r="E1" s="293"/>
      <c r="F1" s="293"/>
      <c r="G1" s="293"/>
      <c r="H1" s="293"/>
      <c r="I1" s="293"/>
      <c r="J1" s="214"/>
      <c r="K1" s="214"/>
      <c r="L1" s="214"/>
      <c r="M1" s="215"/>
    </row>
    <row r="2" spans="1:26" ht="12.75" x14ac:dyDescent="0.2">
      <c r="A2" s="290" t="s">
        <v>798</v>
      </c>
      <c r="B2" s="291"/>
      <c r="C2" s="291"/>
      <c r="D2" s="291"/>
      <c r="E2" s="291"/>
      <c r="F2" s="296" t="str">
        <f>'DOE25'!A2</f>
        <v>BATH SCHOOL DISTRICT</v>
      </c>
      <c r="G2" s="297"/>
      <c r="H2" s="297"/>
      <c r="I2" s="297"/>
      <c r="J2" s="52"/>
      <c r="K2" s="52"/>
      <c r="L2" s="52"/>
      <c r="M2" s="216"/>
    </row>
    <row r="3" spans="1:26" x14ac:dyDescent="0.2">
      <c r="A3" s="217" t="s">
        <v>799</v>
      </c>
      <c r="B3" s="218" t="s">
        <v>800</v>
      </c>
      <c r="C3" s="294" t="s">
        <v>802</v>
      </c>
      <c r="D3" s="294"/>
      <c r="E3" s="294"/>
      <c r="F3" s="294"/>
      <c r="G3" s="294"/>
      <c r="H3" s="294"/>
      <c r="I3" s="294"/>
      <c r="J3" s="294"/>
      <c r="K3" s="294"/>
      <c r="L3" s="294"/>
      <c r="M3" s="295"/>
    </row>
    <row r="4" spans="1:26" x14ac:dyDescent="0.2">
      <c r="A4" s="219"/>
      <c r="B4" s="220"/>
      <c r="C4" s="282"/>
      <c r="D4" s="282"/>
      <c r="E4" s="282"/>
      <c r="F4" s="282"/>
      <c r="G4" s="282"/>
      <c r="H4" s="282"/>
      <c r="I4" s="282"/>
      <c r="J4" s="282"/>
      <c r="K4" s="282"/>
      <c r="L4" s="282"/>
      <c r="M4" s="283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71" t="s">
        <v>899</v>
      </c>
      <c r="B5" s="272" t="s">
        <v>901</v>
      </c>
      <c r="C5" s="288" t="s">
        <v>900</v>
      </c>
      <c r="D5" s="288"/>
      <c r="E5" s="288"/>
      <c r="F5" s="288"/>
      <c r="G5" s="288"/>
      <c r="H5" s="288"/>
      <c r="I5" s="288"/>
      <c r="J5" s="288"/>
      <c r="K5" s="288"/>
      <c r="L5" s="288"/>
      <c r="M5" s="289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9"/>
      <c r="B6" s="220"/>
      <c r="C6" s="282"/>
      <c r="D6" s="282"/>
      <c r="E6" s="282"/>
      <c r="F6" s="282"/>
      <c r="G6" s="282"/>
      <c r="H6" s="282"/>
      <c r="I6" s="282"/>
      <c r="J6" s="282"/>
      <c r="K6" s="282"/>
      <c r="L6" s="282"/>
      <c r="M6" s="283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9"/>
      <c r="B7" s="220"/>
      <c r="C7" s="282"/>
      <c r="D7" s="282"/>
      <c r="E7" s="282"/>
      <c r="F7" s="282"/>
      <c r="G7" s="282"/>
      <c r="H7" s="282"/>
      <c r="I7" s="282"/>
      <c r="J7" s="282"/>
      <c r="K7" s="282"/>
      <c r="L7" s="282"/>
      <c r="M7" s="283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9"/>
      <c r="B8" s="220"/>
      <c r="C8" s="282"/>
      <c r="D8" s="282"/>
      <c r="E8" s="282"/>
      <c r="F8" s="282"/>
      <c r="G8" s="282"/>
      <c r="H8" s="282"/>
      <c r="I8" s="282"/>
      <c r="J8" s="282"/>
      <c r="K8" s="282"/>
      <c r="L8" s="282"/>
      <c r="M8" s="283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9"/>
      <c r="B9" s="220"/>
      <c r="C9" s="282"/>
      <c r="D9" s="282"/>
      <c r="E9" s="282"/>
      <c r="F9" s="282"/>
      <c r="G9" s="282"/>
      <c r="H9" s="282"/>
      <c r="I9" s="282"/>
      <c r="J9" s="282"/>
      <c r="K9" s="282"/>
      <c r="L9" s="282"/>
      <c r="M9" s="283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9"/>
      <c r="B10" s="220"/>
      <c r="C10" s="282"/>
      <c r="D10" s="282"/>
      <c r="E10" s="282"/>
      <c r="F10" s="282"/>
      <c r="G10" s="282"/>
      <c r="H10" s="282"/>
      <c r="I10" s="282"/>
      <c r="J10" s="282"/>
      <c r="K10" s="282"/>
      <c r="L10" s="282"/>
      <c r="M10" s="283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9"/>
      <c r="B11" s="220"/>
      <c r="C11" s="282"/>
      <c r="D11" s="282"/>
      <c r="E11" s="282"/>
      <c r="F11" s="282"/>
      <c r="G11" s="282"/>
      <c r="H11" s="282"/>
      <c r="I11" s="282"/>
      <c r="J11" s="282"/>
      <c r="K11" s="282"/>
      <c r="L11" s="282"/>
      <c r="M11" s="283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9"/>
      <c r="B12" s="220"/>
      <c r="C12" s="282"/>
      <c r="D12" s="282"/>
      <c r="E12" s="282"/>
      <c r="F12" s="282"/>
      <c r="G12" s="282"/>
      <c r="H12" s="282"/>
      <c r="I12" s="282"/>
      <c r="J12" s="282"/>
      <c r="K12" s="282"/>
      <c r="L12" s="282"/>
      <c r="M12" s="283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9"/>
      <c r="B13" s="220"/>
      <c r="C13" s="282"/>
      <c r="D13" s="282"/>
      <c r="E13" s="282"/>
      <c r="F13" s="282"/>
      <c r="G13" s="282"/>
      <c r="H13" s="282"/>
      <c r="I13" s="282"/>
      <c r="J13" s="282"/>
      <c r="K13" s="282"/>
      <c r="L13" s="282"/>
      <c r="M13" s="283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9"/>
      <c r="B14" s="220"/>
      <c r="C14" s="282"/>
      <c r="D14" s="282"/>
      <c r="E14" s="282"/>
      <c r="F14" s="282"/>
      <c r="G14" s="282"/>
      <c r="H14" s="282"/>
      <c r="I14" s="282"/>
      <c r="J14" s="282"/>
      <c r="K14" s="282"/>
      <c r="L14" s="282"/>
      <c r="M14" s="283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9"/>
      <c r="B15" s="220"/>
      <c r="C15" s="282"/>
      <c r="D15" s="282"/>
      <c r="E15" s="282"/>
      <c r="F15" s="282"/>
      <c r="G15" s="282"/>
      <c r="H15" s="282"/>
      <c r="I15" s="282"/>
      <c r="J15" s="282"/>
      <c r="K15" s="282"/>
      <c r="L15" s="282"/>
      <c r="M15" s="283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9"/>
      <c r="B16" s="220"/>
      <c r="C16" s="282"/>
      <c r="D16" s="282"/>
      <c r="E16" s="282"/>
      <c r="F16" s="282"/>
      <c r="G16" s="282"/>
      <c r="H16" s="282"/>
      <c r="I16" s="282"/>
      <c r="J16" s="282"/>
      <c r="K16" s="282"/>
      <c r="L16" s="282"/>
      <c r="M16" s="283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9"/>
      <c r="B17" s="220"/>
      <c r="C17" s="282"/>
      <c r="D17" s="282"/>
      <c r="E17" s="282"/>
      <c r="F17" s="282"/>
      <c r="G17" s="282"/>
      <c r="H17" s="282"/>
      <c r="I17" s="282"/>
      <c r="J17" s="282"/>
      <c r="K17" s="282"/>
      <c r="L17" s="282"/>
      <c r="M17" s="283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9"/>
      <c r="B18" s="220"/>
      <c r="C18" s="282"/>
      <c r="D18" s="282"/>
      <c r="E18" s="282"/>
      <c r="F18" s="282"/>
      <c r="G18" s="282"/>
      <c r="H18" s="282"/>
      <c r="I18" s="282"/>
      <c r="J18" s="282"/>
      <c r="K18" s="282"/>
      <c r="L18" s="282"/>
      <c r="M18" s="283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9"/>
      <c r="B19" s="220"/>
      <c r="C19" s="282"/>
      <c r="D19" s="282"/>
      <c r="E19" s="282"/>
      <c r="F19" s="282"/>
      <c r="G19" s="282"/>
      <c r="H19" s="282"/>
      <c r="I19" s="282"/>
      <c r="J19" s="282"/>
      <c r="K19" s="282"/>
      <c r="L19" s="282"/>
      <c r="M19" s="283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9"/>
      <c r="B20" s="220"/>
      <c r="C20" s="282"/>
      <c r="D20" s="282"/>
      <c r="E20" s="282"/>
      <c r="F20" s="282"/>
      <c r="G20" s="282"/>
      <c r="H20" s="282"/>
      <c r="I20" s="282"/>
      <c r="J20" s="282"/>
      <c r="K20" s="282"/>
      <c r="L20" s="282"/>
      <c r="M20" s="283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9"/>
      <c r="B21" s="220"/>
      <c r="C21" s="282"/>
      <c r="D21" s="282"/>
      <c r="E21" s="282"/>
      <c r="F21" s="282"/>
      <c r="G21" s="282"/>
      <c r="H21" s="282"/>
      <c r="I21" s="282"/>
      <c r="J21" s="282"/>
      <c r="K21" s="282"/>
      <c r="L21" s="282"/>
      <c r="M21" s="283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9"/>
      <c r="B22" s="220"/>
      <c r="C22" s="282"/>
      <c r="D22" s="282"/>
      <c r="E22" s="282"/>
      <c r="F22" s="282"/>
      <c r="G22" s="282"/>
      <c r="H22" s="282"/>
      <c r="I22" s="282"/>
      <c r="J22" s="282"/>
      <c r="K22" s="282"/>
      <c r="L22" s="282"/>
      <c r="M22" s="283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9"/>
      <c r="B23" s="220"/>
      <c r="C23" s="282"/>
      <c r="D23" s="282"/>
      <c r="E23" s="282"/>
      <c r="F23" s="282"/>
      <c r="G23" s="282"/>
      <c r="H23" s="282"/>
      <c r="I23" s="282"/>
      <c r="J23" s="282"/>
      <c r="K23" s="282"/>
      <c r="L23" s="282"/>
      <c r="M23" s="283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9"/>
      <c r="B24" s="220"/>
      <c r="C24" s="282"/>
      <c r="D24" s="282"/>
      <c r="E24" s="282"/>
      <c r="F24" s="282"/>
      <c r="G24" s="282"/>
      <c r="H24" s="282"/>
      <c r="I24" s="282"/>
      <c r="J24" s="282"/>
      <c r="K24" s="282"/>
      <c r="L24" s="282"/>
      <c r="M24" s="283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9"/>
      <c r="B25" s="220"/>
      <c r="C25" s="282"/>
      <c r="D25" s="282"/>
      <c r="E25" s="282"/>
      <c r="F25" s="282"/>
      <c r="G25" s="282"/>
      <c r="H25" s="282"/>
      <c r="I25" s="282"/>
      <c r="J25" s="282"/>
      <c r="K25" s="282"/>
      <c r="L25" s="282"/>
      <c r="M25" s="283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9"/>
      <c r="B26" s="220"/>
      <c r="C26" s="282"/>
      <c r="D26" s="282"/>
      <c r="E26" s="282"/>
      <c r="F26" s="282"/>
      <c r="G26" s="282"/>
      <c r="H26" s="282"/>
      <c r="I26" s="282"/>
      <c r="J26" s="282"/>
      <c r="K26" s="282"/>
      <c r="L26" s="282"/>
      <c r="M26" s="283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9"/>
      <c r="B27" s="220"/>
      <c r="C27" s="282"/>
      <c r="D27" s="282"/>
      <c r="E27" s="282"/>
      <c r="F27" s="282"/>
      <c r="G27" s="282"/>
      <c r="H27" s="282"/>
      <c r="I27" s="282"/>
      <c r="J27" s="282"/>
      <c r="K27" s="282"/>
      <c r="L27" s="282"/>
      <c r="M27" s="283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9"/>
      <c r="B28" s="220"/>
      <c r="C28" s="282"/>
      <c r="D28" s="282"/>
      <c r="E28" s="282"/>
      <c r="F28" s="282"/>
      <c r="G28" s="282"/>
      <c r="H28" s="282"/>
      <c r="I28" s="282"/>
      <c r="J28" s="282"/>
      <c r="K28" s="282"/>
      <c r="L28" s="282"/>
      <c r="M28" s="283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9"/>
      <c r="B29" s="220"/>
      <c r="C29" s="282"/>
      <c r="D29" s="282"/>
      <c r="E29" s="282"/>
      <c r="F29" s="282"/>
      <c r="G29" s="282"/>
      <c r="H29" s="282"/>
      <c r="I29" s="282"/>
      <c r="J29" s="282"/>
      <c r="K29" s="282"/>
      <c r="L29" s="282"/>
      <c r="M29" s="283"/>
      <c r="N29" s="212"/>
      <c r="O29" s="212"/>
      <c r="P29" s="285"/>
      <c r="Q29" s="285"/>
      <c r="R29" s="285"/>
      <c r="S29" s="285"/>
      <c r="T29" s="285"/>
      <c r="U29" s="285"/>
      <c r="V29" s="285"/>
      <c r="W29" s="285"/>
      <c r="X29" s="285"/>
      <c r="Y29" s="285"/>
      <c r="Z29" s="285"/>
      <c r="AA29" s="208"/>
      <c r="AB29" s="208"/>
      <c r="AC29" s="284"/>
      <c r="AD29" s="284"/>
      <c r="AE29" s="284"/>
      <c r="AF29" s="284"/>
      <c r="AG29" s="284"/>
      <c r="AH29" s="284"/>
      <c r="AI29" s="284"/>
      <c r="AJ29" s="284"/>
      <c r="AK29" s="284"/>
      <c r="AL29" s="284"/>
      <c r="AM29" s="284"/>
      <c r="AN29" s="208"/>
      <c r="AO29" s="208"/>
      <c r="AP29" s="284"/>
      <c r="AQ29" s="284"/>
      <c r="AR29" s="284"/>
      <c r="AS29" s="284"/>
      <c r="AT29" s="284"/>
      <c r="AU29" s="284"/>
      <c r="AV29" s="284"/>
      <c r="AW29" s="284"/>
      <c r="AX29" s="284"/>
      <c r="AY29" s="284"/>
      <c r="AZ29" s="284"/>
      <c r="BA29" s="208"/>
      <c r="BB29" s="208"/>
      <c r="BC29" s="284"/>
      <c r="BD29" s="284"/>
      <c r="BE29" s="284"/>
      <c r="BF29" s="284"/>
      <c r="BG29" s="284"/>
      <c r="BH29" s="284"/>
      <c r="BI29" s="284"/>
      <c r="BJ29" s="284"/>
      <c r="BK29" s="284"/>
      <c r="BL29" s="284"/>
      <c r="BM29" s="284"/>
      <c r="BN29" s="208"/>
      <c r="BO29" s="208"/>
      <c r="BP29" s="284"/>
      <c r="BQ29" s="284"/>
      <c r="BR29" s="284"/>
      <c r="BS29" s="284"/>
      <c r="BT29" s="284"/>
      <c r="BU29" s="284"/>
      <c r="BV29" s="284"/>
      <c r="BW29" s="284"/>
      <c r="BX29" s="284"/>
      <c r="BY29" s="284"/>
      <c r="BZ29" s="284"/>
      <c r="CA29" s="208"/>
      <c r="CB29" s="208"/>
      <c r="CC29" s="284"/>
      <c r="CD29" s="284"/>
      <c r="CE29" s="284"/>
      <c r="CF29" s="284"/>
      <c r="CG29" s="284"/>
      <c r="CH29" s="284"/>
      <c r="CI29" s="284"/>
      <c r="CJ29" s="284"/>
      <c r="CK29" s="284"/>
      <c r="CL29" s="284"/>
      <c r="CM29" s="284"/>
      <c r="CN29" s="208"/>
      <c r="CO29" s="208"/>
      <c r="CP29" s="284"/>
      <c r="CQ29" s="284"/>
      <c r="CR29" s="284"/>
      <c r="CS29" s="284"/>
      <c r="CT29" s="284"/>
      <c r="CU29" s="284"/>
      <c r="CV29" s="284"/>
      <c r="CW29" s="284"/>
      <c r="CX29" s="284"/>
      <c r="CY29" s="284"/>
      <c r="CZ29" s="284"/>
      <c r="DA29" s="208"/>
      <c r="DB29" s="208"/>
      <c r="DC29" s="284"/>
      <c r="DD29" s="284"/>
      <c r="DE29" s="284"/>
      <c r="DF29" s="284"/>
      <c r="DG29" s="284"/>
      <c r="DH29" s="284"/>
      <c r="DI29" s="284"/>
      <c r="DJ29" s="284"/>
      <c r="DK29" s="284"/>
      <c r="DL29" s="284"/>
      <c r="DM29" s="284"/>
      <c r="DN29" s="208"/>
      <c r="DO29" s="208"/>
      <c r="DP29" s="284"/>
      <c r="DQ29" s="284"/>
      <c r="DR29" s="284"/>
      <c r="DS29" s="284"/>
      <c r="DT29" s="284"/>
      <c r="DU29" s="284"/>
      <c r="DV29" s="284"/>
      <c r="DW29" s="284"/>
      <c r="DX29" s="284"/>
      <c r="DY29" s="284"/>
      <c r="DZ29" s="284"/>
      <c r="EA29" s="208"/>
      <c r="EB29" s="208"/>
      <c r="EC29" s="284"/>
      <c r="ED29" s="284"/>
      <c r="EE29" s="284"/>
      <c r="EF29" s="284"/>
      <c r="EG29" s="284"/>
      <c r="EH29" s="284"/>
      <c r="EI29" s="284"/>
      <c r="EJ29" s="284"/>
      <c r="EK29" s="284"/>
      <c r="EL29" s="284"/>
      <c r="EM29" s="284"/>
      <c r="EN29" s="208"/>
      <c r="EO29" s="208"/>
      <c r="EP29" s="284"/>
      <c r="EQ29" s="284"/>
      <c r="ER29" s="284"/>
      <c r="ES29" s="284"/>
      <c r="ET29" s="284"/>
      <c r="EU29" s="284"/>
      <c r="EV29" s="284"/>
      <c r="EW29" s="284"/>
      <c r="EX29" s="284"/>
      <c r="EY29" s="284"/>
      <c r="EZ29" s="284"/>
      <c r="FA29" s="208"/>
      <c r="FB29" s="208"/>
      <c r="FC29" s="284"/>
      <c r="FD29" s="284"/>
      <c r="FE29" s="284"/>
      <c r="FF29" s="284"/>
      <c r="FG29" s="284"/>
      <c r="FH29" s="284"/>
      <c r="FI29" s="284"/>
      <c r="FJ29" s="284"/>
      <c r="FK29" s="284"/>
      <c r="FL29" s="284"/>
      <c r="FM29" s="284"/>
      <c r="FN29" s="208"/>
      <c r="FO29" s="208"/>
      <c r="FP29" s="284"/>
      <c r="FQ29" s="284"/>
      <c r="FR29" s="284"/>
      <c r="FS29" s="284"/>
      <c r="FT29" s="284"/>
      <c r="FU29" s="284"/>
      <c r="FV29" s="284"/>
      <c r="FW29" s="284"/>
      <c r="FX29" s="284"/>
      <c r="FY29" s="284"/>
      <c r="FZ29" s="284"/>
      <c r="GA29" s="208"/>
      <c r="GB29" s="208"/>
      <c r="GC29" s="284"/>
      <c r="GD29" s="284"/>
      <c r="GE29" s="284"/>
      <c r="GF29" s="284"/>
      <c r="GG29" s="284"/>
      <c r="GH29" s="284"/>
      <c r="GI29" s="284"/>
      <c r="GJ29" s="284"/>
      <c r="GK29" s="284"/>
      <c r="GL29" s="284"/>
      <c r="GM29" s="284"/>
      <c r="GN29" s="208"/>
      <c r="GO29" s="208"/>
      <c r="GP29" s="284"/>
      <c r="GQ29" s="284"/>
      <c r="GR29" s="284"/>
      <c r="GS29" s="284"/>
      <c r="GT29" s="284"/>
      <c r="GU29" s="284"/>
      <c r="GV29" s="284"/>
      <c r="GW29" s="284"/>
      <c r="GX29" s="284"/>
      <c r="GY29" s="284"/>
      <c r="GZ29" s="284"/>
      <c r="HA29" s="208"/>
      <c r="HB29" s="208"/>
      <c r="HC29" s="284"/>
      <c r="HD29" s="284"/>
      <c r="HE29" s="284"/>
      <c r="HF29" s="284"/>
      <c r="HG29" s="284"/>
      <c r="HH29" s="284"/>
      <c r="HI29" s="284"/>
      <c r="HJ29" s="284"/>
      <c r="HK29" s="284"/>
      <c r="HL29" s="284"/>
      <c r="HM29" s="284"/>
      <c r="HN29" s="208"/>
      <c r="HO29" s="208"/>
      <c r="HP29" s="284"/>
      <c r="HQ29" s="284"/>
      <c r="HR29" s="284"/>
      <c r="HS29" s="284"/>
      <c r="HT29" s="284"/>
      <c r="HU29" s="284"/>
      <c r="HV29" s="284"/>
      <c r="HW29" s="284"/>
      <c r="HX29" s="284"/>
      <c r="HY29" s="284"/>
      <c r="HZ29" s="284"/>
      <c r="IA29" s="208"/>
      <c r="IB29" s="208"/>
      <c r="IC29" s="284"/>
      <c r="ID29" s="284"/>
      <c r="IE29" s="284"/>
      <c r="IF29" s="284"/>
      <c r="IG29" s="284"/>
      <c r="IH29" s="284"/>
      <c r="II29" s="284"/>
      <c r="IJ29" s="284"/>
      <c r="IK29" s="284"/>
      <c r="IL29" s="284"/>
      <c r="IM29" s="284"/>
      <c r="IN29" s="208"/>
      <c r="IO29" s="208"/>
      <c r="IP29" s="284"/>
      <c r="IQ29" s="284"/>
      <c r="IR29" s="284"/>
      <c r="IS29" s="284"/>
      <c r="IT29" s="284"/>
      <c r="IU29" s="284"/>
      <c r="IV29" s="284"/>
    </row>
    <row r="30" spans="1:256" x14ac:dyDescent="0.2">
      <c r="A30" s="219"/>
      <c r="B30" s="220"/>
      <c r="C30" s="282"/>
      <c r="D30" s="282"/>
      <c r="E30" s="282"/>
      <c r="F30" s="282"/>
      <c r="G30" s="282"/>
      <c r="H30" s="282"/>
      <c r="I30" s="282"/>
      <c r="J30" s="282"/>
      <c r="K30" s="282"/>
      <c r="L30" s="282"/>
      <c r="M30" s="283"/>
      <c r="N30" s="212"/>
      <c r="O30" s="212"/>
      <c r="P30" s="285"/>
      <c r="Q30" s="285"/>
      <c r="R30" s="285"/>
      <c r="S30" s="285"/>
      <c r="T30" s="285"/>
      <c r="U30" s="285"/>
      <c r="V30" s="285"/>
      <c r="W30" s="285"/>
      <c r="X30" s="285"/>
      <c r="Y30" s="285"/>
      <c r="Z30" s="285"/>
      <c r="AA30" s="208"/>
      <c r="AB30" s="208"/>
      <c r="AC30" s="284"/>
      <c r="AD30" s="284"/>
      <c r="AE30" s="284"/>
      <c r="AF30" s="284"/>
      <c r="AG30" s="284"/>
      <c r="AH30" s="284"/>
      <c r="AI30" s="284"/>
      <c r="AJ30" s="284"/>
      <c r="AK30" s="284"/>
      <c r="AL30" s="284"/>
      <c r="AM30" s="284"/>
      <c r="AN30" s="208"/>
      <c r="AO30" s="208"/>
      <c r="AP30" s="284"/>
      <c r="AQ30" s="284"/>
      <c r="AR30" s="284"/>
      <c r="AS30" s="284"/>
      <c r="AT30" s="284"/>
      <c r="AU30" s="284"/>
      <c r="AV30" s="284"/>
      <c r="AW30" s="284"/>
      <c r="AX30" s="284"/>
      <c r="AY30" s="284"/>
      <c r="AZ30" s="284"/>
      <c r="BA30" s="208"/>
      <c r="BB30" s="208"/>
      <c r="BC30" s="284"/>
      <c r="BD30" s="284"/>
      <c r="BE30" s="284"/>
      <c r="BF30" s="284"/>
      <c r="BG30" s="284"/>
      <c r="BH30" s="284"/>
      <c r="BI30" s="284"/>
      <c r="BJ30" s="284"/>
      <c r="BK30" s="284"/>
      <c r="BL30" s="284"/>
      <c r="BM30" s="284"/>
      <c r="BN30" s="208"/>
      <c r="BO30" s="208"/>
      <c r="BP30" s="284"/>
      <c r="BQ30" s="284"/>
      <c r="BR30" s="284"/>
      <c r="BS30" s="284"/>
      <c r="BT30" s="284"/>
      <c r="BU30" s="284"/>
      <c r="BV30" s="284"/>
      <c r="BW30" s="284"/>
      <c r="BX30" s="284"/>
      <c r="BY30" s="284"/>
      <c r="BZ30" s="284"/>
      <c r="CA30" s="208"/>
      <c r="CB30" s="208"/>
      <c r="CC30" s="284"/>
      <c r="CD30" s="284"/>
      <c r="CE30" s="284"/>
      <c r="CF30" s="284"/>
      <c r="CG30" s="284"/>
      <c r="CH30" s="284"/>
      <c r="CI30" s="284"/>
      <c r="CJ30" s="284"/>
      <c r="CK30" s="284"/>
      <c r="CL30" s="284"/>
      <c r="CM30" s="284"/>
      <c r="CN30" s="208"/>
      <c r="CO30" s="208"/>
      <c r="CP30" s="284"/>
      <c r="CQ30" s="284"/>
      <c r="CR30" s="284"/>
      <c r="CS30" s="284"/>
      <c r="CT30" s="284"/>
      <c r="CU30" s="284"/>
      <c r="CV30" s="284"/>
      <c r="CW30" s="284"/>
      <c r="CX30" s="284"/>
      <c r="CY30" s="284"/>
      <c r="CZ30" s="284"/>
      <c r="DA30" s="208"/>
      <c r="DB30" s="208"/>
      <c r="DC30" s="284"/>
      <c r="DD30" s="284"/>
      <c r="DE30" s="284"/>
      <c r="DF30" s="284"/>
      <c r="DG30" s="284"/>
      <c r="DH30" s="284"/>
      <c r="DI30" s="284"/>
      <c r="DJ30" s="284"/>
      <c r="DK30" s="284"/>
      <c r="DL30" s="284"/>
      <c r="DM30" s="284"/>
      <c r="DN30" s="208"/>
      <c r="DO30" s="208"/>
      <c r="DP30" s="284"/>
      <c r="DQ30" s="284"/>
      <c r="DR30" s="284"/>
      <c r="DS30" s="284"/>
      <c r="DT30" s="284"/>
      <c r="DU30" s="284"/>
      <c r="DV30" s="284"/>
      <c r="DW30" s="284"/>
      <c r="DX30" s="284"/>
      <c r="DY30" s="284"/>
      <c r="DZ30" s="284"/>
      <c r="EA30" s="208"/>
      <c r="EB30" s="208"/>
      <c r="EC30" s="284"/>
      <c r="ED30" s="284"/>
      <c r="EE30" s="284"/>
      <c r="EF30" s="284"/>
      <c r="EG30" s="284"/>
      <c r="EH30" s="284"/>
      <c r="EI30" s="284"/>
      <c r="EJ30" s="284"/>
      <c r="EK30" s="284"/>
      <c r="EL30" s="284"/>
      <c r="EM30" s="284"/>
      <c r="EN30" s="208"/>
      <c r="EO30" s="208"/>
      <c r="EP30" s="284"/>
      <c r="EQ30" s="284"/>
      <c r="ER30" s="284"/>
      <c r="ES30" s="284"/>
      <c r="ET30" s="284"/>
      <c r="EU30" s="284"/>
      <c r="EV30" s="284"/>
      <c r="EW30" s="284"/>
      <c r="EX30" s="284"/>
      <c r="EY30" s="284"/>
      <c r="EZ30" s="284"/>
      <c r="FA30" s="208"/>
      <c r="FB30" s="208"/>
      <c r="FC30" s="284"/>
      <c r="FD30" s="284"/>
      <c r="FE30" s="284"/>
      <c r="FF30" s="284"/>
      <c r="FG30" s="284"/>
      <c r="FH30" s="284"/>
      <c r="FI30" s="284"/>
      <c r="FJ30" s="284"/>
      <c r="FK30" s="284"/>
      <c r="FL30" s="284"/>
      <c r="FM30" s="284"/>
      <c r="FN30" s="208"/>
      <c r="FO30" s="208"/>
      <c r="FP30" s="284"/>
      <c r="FQ30" s="284"/>
      <c r="FR30" s="284"/>
      <c r="FS30" s="284"/>
      <c r="FT30" s="284"/>
      <c r="FU30" s="284"/>
      <c r="FV30" s="284"/>
      <c r="FW30" s="284"/>
      <c r="FX30" s="284"/>
      <c r="FY30" s="284"/>
      <c r="FZ30" s="284"/>
      <c r="GA30" s="208"/>
      <c r="GB30" s="208"/>
      <c r="GC30" s="284"/>
      <c r="GD30" s="284"/>
      <c r="GE30" s="284"/>
      <c r="GF30" s="284"/>
      <c r="GG30" s="284"/>
      <c r="GH30" s="284"/>
      <c r="GI30" s="284"/>
      <c r="GJ30" s="284"/>
      <c r="GK30" s="284"/>
      <c r="GL30" s="284"/>
      <c r="GM30" s="284"/>
      <c r="GN30" s="208"/>
      <c r="GO30" s="208"/>
      <c r="GP30" s="284"/>
      <c r="GQ30" s="284"/>
      <c r="GR30" s="284"/>
      <c r="GS30" s="284"/>
      <c r="GT30" s="284"/>
      <c r="GU30" s="284"/>
      <c r="GV30" s="284"/>
      <c r="GW30" s="284"/>
      <c r="GX30" s="284"/>
      <c r="GY30" s="284"/>
      <c r="GZ30" s="284"/>
      <c r="HA30" s="208"/>
      <c r="HB30" s="208"/>
      <c r="HC30" s="284"/>
      <c r="HD30" s="284"/>
      <c r="HE30" s="284"/>
      <c r="HF30" s="284"/>
      <c r="HG30" s="284"/>
      <c r="HH30" s="284"/>
      <c r="HI30" s="284"/>
      <c r="HJ30" s="284"/>
      <c r="HK30" s="284"/>
      <c r="HL30" s="284"/>
      <c r="HM30" s="284"/>
      <c r="HN30" s="208"/>
      <c r="HO30" s="208"/>
      <c r="HP30" s="284"/>
      <c r="HQ30" s="284"/>
      <c r="HR30" s="284"/>
      <c r="HS30" s="284"/>
      <c r="HT30" s="284"/>
      <c r="HU30" s="284"/>
      <c r="HV30" s="284"/>
      <c r="HW30" s="284"/>
      <c r="HX30" s="284"/>
      <c r="HY30" s="284"/>
      <c r="HZ30" s="284"/>
      <c r="IA30" s="208"/>
      <c r="IB30" s="208"/>
      <c r="IC30" s="284"/>
      <c r="ID30" s="284"/>
      <c r="IE30" s="284"/>
      <c r="IF30" s="284"/>
      <c r="IG30" s="284"/>
      <c r="IH30" s="284"/>
      <c r="II30" s="284"/>
      <c r="IJ30" s="284"/>
      <c r="IK30" s="284"/>
      <c r="IL30" s="284"/>
      <c r="IM30" s="284"/>
      <c r="IN30" s="208"/>
      <c r="IO30" s="208"/>
      <c r="IP30" s="284"/>
      <c r="IQ30" s="284"/>
      <c r="IR30" s="284"/>
      <c r="IS30" s="284"/>
      <c r="IT30" s="284"/>
      <c r="IU30" s="284"/>
      <c r="IV30" s="284"/>
    </row>
    <row r="31" spans="1:256" x14ac:dyDescent="0.2">
      <c r="A31" s="219"/>
      <c r="B31" s="220"/>
      <c r="C31" s="282"/>
      <c r="D31" s="282"/>
      <c r="E31" s="282"/>
      <c r="F31" s="282"/>
      <c r="G31" s="282"/>
      <c r="H31" s="282"/>
      <c r="I31" s="282"/>
      <c r="J31" s="282"/>
      <c r="K31" s="282"/>
      <c r="L31" s="282"/>
      <c r="M31" s="283"/>
      <c r="N31" s="212"/>
      <c r="O31" s="212"/>
      <c r="P31" s="285"/>
      <c r="Q31" s="285"/>
      <c r="R31" s="285"/>
      <c r="S31" s="285"/>
      <c r="T31" s="285"/>
      <c r="U31" s="285"/>
      <c r="V31" s="285"/>
      <c r="W31" s="285"/>
      <c r="X31" s="285"/>
      <c r="Y31" s="285"/>
      <c r="Z31" s="285"/>
      <c r="AA31" s="208"/>
      <c r="AB31" s="208"/>
      <c r="AC31" s="284"/>
      <c r="AD31" s="284"/>
      <c r="AE31" s="284"/>
      <c r="AF31" s="284"/>
      <c r="AG31" s="284"/>
      <c r="AH31" s="284"/>
      <c r="AI31" s="284"/>
      <c r="AJ31" s="284"/>
      <c r="AK31" s="284"/>
      <c r="AL31" s="284"/>
      <c r="AM31" s="284"/>
      <c r="AN31" s="208"/>
      <c r="AO31" s="208"/>
      <c r="AP31" s="284"/>
      <c r="AQ31" s="284"/>
      <c r="AR31" s="284"/>
      <c r="AS31" s="284"/>
      <c r="AT31" s="284"/>
      <c r="AU31" s="284"/>
      <c r="AV31" s="284"/>
      <c r="AW31" s="284"/>
      <c r="AX31" s="284"/>
      <c r="AY31" s="284"/>
      <c r="AZ31" s="284"/>
      <c r="BA31" s="208"/>
      <c r="BB31" s="208"/>
      <c r="BC31" s="284"/>
      <c r="BD31" s="284"/>
      <c r="BE31" s="284"/>
      <c r="BF31" s="284"/>
      <c r="BG31" s="284"/>
      <c r="BH31" s="284"/>
      <c r="BI31" s="284"/>
      <c r="BJ31" s="284"/>
      <c r="BK31" s="284"/>
      <c r="BL31" s="284"/>
      <c r="BM31" s="284"/>
      <c r="BN31" s="208"/>
      <c r="BO31" s="208"/>
      <c r="BP31" s="284"/>
      <c r="BQ31" s="284"/>
      <c r="BR31" s="284"/>
      <c r="BS31" s="284"/>
      <c r="BT31" s="284"/>
      <c r="BU31" s="284"/>
      <c r="BV31" s="284"/>
      <c r="BW31" s="284"/>
      <c r="BX31" s="284"/>
      <c r="BY31" s="284"/>
      <c r="BZ31" s="284"/>
      <c r="CA31" s="208"/>
      <c r="CB31" s="208"/>
      <c r="CC31" s="284"/>
      <c r="CD31" s="284"/>
      <c r="CE31" s="284"/>
      <c r="CF31" s="284"/>
      <c r="CG31" s="284"/>
      <c r="CH31" s="284"/>
      <c r="CI31" s="284"/>
      <c r="CJ31" s="284"/>
      <c r="CK31" s="284"/>
      <c r="CL31" s="284"/>
      <c r="CM31" s="284"/>
      <c r="CN31" s="208"/>
      <c r="CO31" s="208"/>
      <c r="CP31" s="284"/>
      <c r="CQ31" s="284"/>
      <c r="CR31" s="284"/>
      <c r="CS31" s="284"/>
      <c r="CT31" s="284"/>
      <c r="CU31" s="284"/>
      <c r="CV31" s="284"/>
      <c r="CW31" s="284"/>
      <c r="CX31" s="284"/>
      <c r="CY31" s="284"/>
      <c r="CZ31" s="284"/>
      <c r="DA31" s="208"/>
      <c r="DB31" s="208"/>
      <c r="DC31" s="284"/>
      <c r="DD31" s="284"/>
      <c r="DE31" s="284"/>
      <c r="DF31" s="284"/>
      <c r="DG31" s="284"/>
      <c r="DH31" s="284"/>
      <c r="DI31" s="284"/>
      <c r="DJ31" s="284"/>
      <c r="DK31" s="284"/>
      <c r="DL31" s="284"/>
      <c r="DM31" s="284"/>
      <c r="DN31" s="208"/>
      <c r="DO31" s="208"/>
      <c r="DP31" s="284"/>
      <c r="DQ31" s="284"/>
      <c r="DR31" s="284"/>
      <c r="DS31" s="284"/>
      <c r="DT31" s="284"/>
      <c r="DU31" s="284"/>
      <c r="DV31" s="284"/>
      <c r="DW31" s="284"/>
      <c r="DX31" s="284"/>
      <c r="DY31" s="284"/>
      <c r="DZ31" s="284"/>
      <c r="EA31" s="208"/>
      <c r="EB31" s="208"/>
      <c r="EC31" s="284"/>
      <c r="ED31" s="284"/>
      <c r="EE31" s="284"/>
      <c r="EF31" s="284"/>
      <c r="EG31" s="284"/>
      <c r="EH31" s="284"/>
      <c r="EI31" s="284"/>
      <c r="EJ31" s="284"/>
      <c r="EK31" s="284"/>
      <c r="EL31" s="284"/>
      <c r="EM31" s="284"/>
      <c r="EN31" s="208"/>
      <c r="EO31" s="208"/>
      <c r="EP31" s="284"/>
      <c r="EQ31" s="284"/>
      <c r="ER31" s="284"/>
      <c r="ES31" s="284"/>
      <c r="ET31" s="284"/>
      <c r="EU31" s="284"/>
      <c r="EV31" s="284"/>
      <c r="EW31" s="284"/>
      <c r="EX31" s="284"/>
      <c r="EY31" s="284"/>
      <c r="EZ31" s="284"/>
      <c r="FA31" s="208"/>
      <c r="FB31" s="208"/>
      <c r="FC31" s="284"/>
      <c r="FD31" s="284"/>
      <c r="FE31" s="284"/>
      <c r="FF31" s="284"/>
      <c r="FG31" s="284"/>
      <c r="FH31" s="284"/>
      <c r="FI31" s="284"/>
      <c r="FJ31" s="284"/>
      <c r="FK31" s="284"/>
      <c r="FL31" s="284"/>
      <c r="FM31" s="284"/>
      <c r="FN31" s="208"/>
      <c r="FO31" s="208"/>
      <c r="FP31" s="284"/>
      <c r="FQ31" s="284"/>
      <c r="FR31" s="284"/>
      <c r="FS31" s="284"/>
      <c r="FT31" s="284"/>
      <c r="FU31" s="284"/>
      <c r="FV31" s="284"/>
      <c r="FW31" s="284"/>
      <c r="FX31" s="284"/>
      <c r="FY31" s="284"/>
      <c r="FZ31" s="284"/>
      <c r="GA31" s="208"/>
      <c r="GB31" s="208"/>
      <c r="GC31" s="284"/>
      <c r="GD31" s="284"/>
      <c r="GE31" s="284"/>
      <c r="GF31" s="284"/>
      <c r="GG31" s="284"/>
      <c r="GH31" s="284"/>
      <c r="GI31" s="284"/>
      <c r="GJ31" s="284"/>
      <c r="GK31" s="284"/>
      <c r="GL31" s="284"/>
      <c r="GM31" s="284"/>
      <c r="GN31" s="208"/>
      <c r="GO31" s="208"/>
      <c r="GP31" s="284"/>
      <c r="GQ31" s="284"/>
      <c r="GR31" s="284"/>
      <c r="GS31" s="284"/>
      <c r="GT31" s="284"/>
      <c r="GU31" s="284"/>
      <c r="GV31" s="284"/>
      <c r="GW31" s="284"/>
      <c r="GX31" s="284"/>
      <c r="GY31" s="284"/>
      <c r="GZ31" s="284"/>
      <c r="HA31" s="208"/>
      <c r="HB31" s="208"/>
      <c r="HC31" s="284"/>
      <c r="HD31" s="284"/>
      <c r="HE31" s="284"/>
      <c r="HF31" s="284"/>
      <c r="HG31" s="284"/>
      <c r="HH31" s="284"/>
      <c r="HI31" s="284"/>
      <c r="HJ31" s="284"/>
      <c r="HK31" s="284"/>
      <c r="HL31" s="284"/>
      <c r="HM31" s="284"/>
      <c r="HN31" s="208"/>
      <c r="HO31" s="208"/>
      <c r="HP31" s="284"/>
      <c r="HQ31" s="284"/>
      <c r="HR31" s="284"/>
      <c r="HS31" s="284"/>
      <c r="HT31" s="284"/>
      <c r="HU31" s="284"/>
      <c r="HV31" s="284"/>
      <c r="HW31" s="284"/>
      <c r="HX31" s="284"/>
      <c r="HY31" s="284"/>
      <c r="HZ31" s="284"/>
      <c r="IA31" s="208"/>
      <c r="IB31" s="208"/>
      <c r="IC31" s="284"/>
      <c r="ID31" s="284"/>
      <c r="IE31" s="284"/>
      <c r="IF31" s="284"/>
      <c r="IG31" s="284"/>
      <c r="IH31" s="284"/>
      <c r="II31" s="284"/>
      <c r="IJ31" s="284"/>
      <c r="IK31" s="284"/>
      <c r="IL31" s="284"/>
      <c r="IM31" s="284"/>
      <c r="IN31" s="208"/>
      <c r="IO31" s="208"/>
      <c r="IP31" s="284"/>
      <c r="IQ31" s="284"/>
      <c r="IR31" s="284"/>
      <c r="IS31" s="284"/>
      <c r="IT31" s="284"/>
      <c r="IU31" s="284"/>
      <c r="IV31" s="284"/>
    </row>
    <row r="32" spans="1:256" x14ac:dyDescent="0.2">
      <c r="A32" s="219"/>
      <c r="B32" s="220"/>
      <c r="C32" s="282"/>
      <c r="D32" s="282"/>
      <c r="E32" s="282"/>
      <c r="F32" s="282"/>
      <c r="G32" s="282"/>
      <c r="H32" s="282"/>
      <c r="I32" s="282"/>
      <c r="J32" s="282"/>
      <c r="K32" s="282"/>
      <c r="L32" s="282"/>
      <c r="M32" s="283"/>
      <c r="N32" s="224"/>
      <c r="O32" s="224"/>
      <c r="P32" s="286"/>
      <c r="Q32" s="286"/>
      <c r="R32" s="286"/>
      <c r="S32" s="286"/>
      <c r="T32" s="286"/>
      <c r="U32" s="286"/>
      <c r="V32" s="286"/>
      <c r="W32" s="286"/>
      <c r="X32" s="286"/>
      <c r="Y32" s="286"/>
      <c r="Z32" s="287"/>
      <c r="AA32" s="219"/>
      <c r="AB32" s="220"/>
      <c r="AC32" s="282"/>
      <c r="AD32" s="282"/>
      <c r="AE32" s="282"/>
      <c r="AF32" s="282"/>
      <c r="AG32" s="282"/>
      <c r="AH32" s="282"/>
      <c r="AI32" s="282"/>
      <c r="AJ32" s="282"/>
      <c r="AK32" s="282"/>
      <c r="AL32" s="282"/>
      <c r="AM32" s="283"/>
      <c r="AN32" s="219"/>
      <c r="AO32" s="220"/>
      <c r="AP32" s="282"/>
      <c r="AQ32" s="282"/>
      <c r="AR32" s="282"/>
      <c r="AS32" s="282"/>
      <c r="AT32" s="282"/>
      <c r="AU32" s="282"/>
      <c r="AV32" s="282"/>
      <c r="AW32" s="282"/>
      <c r="AX32" s="282"/>
      <c r="AY32" s="282"/>
      <c r="AZ32" s="283"/>
      <c r="BA32" s="219"/>
      <c r="BB32" s="220"/>
      <c r="BC32" s="282"/>
      <c r="BD32" s="282"/>
      <c r="BE32" s="282"/>
      <c r="BF32" s="282"/>
      <c r="BG32" s="282"/>
      <c r="BH32" s="282"/>
      <c r="BI32" s="282"/>
      <c r="BJ32" s="282"/>
      <c r="BK32" s="282"/>
      <c r="BL32" s="282"/>
      <c r="BM32" s="283"/>
      <c r="BN32" s="219"/>
      <c r="BO32" s="220"/>
      <c r="BP32" s="282"/>
      <c r="BQ32" s="282"/>
      <c r="BR32" s="282"/>
      <c r="BS32" s="282"/>
      <c r="BT32" s="282"/>
      <c r="BU32" s="282"/>
      <c r="BV32" s="282"/>
      <c r="BW32" s="282"/>
      <c r="BX32" s="282"/>
      <c r="BY32" s="282"/>
      <c r="BZ32" s="283"/>
      <c r="CA32" s="219"/>
      <c r="CB32" s="220"/>
      <c r="CC32" s="282"/>
      <c r="CD32" s="282"/>
      <c r="CE32" s="282"/>
      <c r="CF32" s="282"/>
      <c r="CG32" s="282"/>
      <c r="CH32" s="282"/>
      <c r="CI32" s="282"/>
      <c r="CJ32" s="282"/>
      <c r="CK32" s="282"/>
      <c r="CL32" s="282"/>
      <c r="CM32" s="283"/>
      <c r="CN32" s="219"/>
      <c r="CO32" s="220"/>
      <c r="CP32" s="282"/>
      <c r="CQ32" s="282"/>
      <c r="CR32" s="282"/>
      <c r="CS32" s="282"/>
      <c r="CT32" s="282"/>
      <c r="CU32" s="282"/>
      <c r="CV32" s="282"/>
      <c r="CW32" s="282"/>
      <c r="CX32" s="282"/>
      <c r="CY32" s="282"/>
      <c r="CZ32" s="283"/>
      <c r="DA32" s="219"/>
      <c r="DB32" s="220"/>
      <c r="DC32" s="282"/>
      <c r="DD32" s="282"/>
      <c r="DE32" s="282"/>
      <c r="DF32" s="282"/>
      <c r="DG32" s="282"/>
      <c r="DH32" s="282"/>
      <c r="DI32" s="282"/>
      <c r="DJ32" s="282"/>
      <c r="DK32" s="282"/>
      <c r="DL32" s="282"/>
      <c r="DM32" s="283"/>
      <c r="DN32" s="219"/>
      <c r="DO32" s="220"/>
      <c r="DP32" s="282"/>
      <c r="DQ32" s="282"/>
      <c r="DR32" s="282"/>
      <c r="DS32" s="282"/>
      <c r="DT32" s="282"/>
      <c r="DU32" s="282"/>
      <c r="DV32" s="282"/>
      <c r="DW32" s="282"/>
      <c r="DX32" s="282"/>
      <c r="DY32" s="282"/>
      <c r="DZ32" s="283"/>
      <c r="EA32" s="219"/>
      <c r="EB32" s="220"/>
      <c r="EC32" s="282"/>
      <c r="ED32" s="282"/>
      <c r="EE32" s="282"/>
      <c r="EF32" s="282"/>
      <c r="EG32" s="282"/>
      <c r="EH32" s="282"/>
      <c r="EI32" s="282"/>
      <c r="EJ32" s="282"/>
      <c r="EK32" s="282"/>
      <c r="EL32" s="282"/>
      <c r="EM32" s="283"/>
      <c r="EN32" s="219"/>
      <c r="EO32" s="220"/>
      <c r="EP32" s="282"/>
      <c r="EQ32" s="282"/>
      <c r="ER32" s="282"/>
      <c r="ES32" s="282"/>
      <c r="ET32" s="282"/>
      <c r="EU32" s="282"/>
      <c r="EV32" s="282"/>
      <c r="EW32" s="282"/>
      <c r="EX32" s="282"/>
      <c r="EY32" s="282"/>
      <c r="EZ32" s="283"/>
      <c r="FA32" s="219"/>
      <c r="FB32" s="220"/>
      <c r="FC32" s="282"/>
      <c r="FD32" s="282"/>
      <c r="FE32" s="282"/>
      <c r="FF32" s="282"/>
      <c r="FG32" s="282"/>
      <c r="FH32" s="282"/>
      <c r="FI32" s="282"/>
      <c r="FJ32" s="282"/>
      <c r="FK32" s="282"/>
      <c r="FL32" s="282"/>
      <c r="FM32" s="283"/>
      <c r="FN32" s="219"/>
      <c r="FO32" s="220"/>
      <c r="FP32" s="282"/>
      <c r="FQ32" s="282"/>
      <c r="FR32" s="282"/>
      <c r="FS32" s="282"/>
      <c r="FT32" s="282"/>
      <c r="FU32" s="282"/>
      <c r="FV32" s="282"/>
      <c r="FW32" s="282"/>
      <c r="FX32" s="282"/>
      <c r="FY32" s="282"/>
      <c r="FZ32" s="283"/>
      <c r="GA32" s="219"/>
      <c r="GB32" s="220"/>
      <c r="GC32" s="282"/>
      <c r="GD32" s="282"/>
      <c r="GE32" s="282"/>
      <c r="GF32" s="282"/>
      <c r="GG32" s="282"/>
      <c r="GH32" s="282"/>
      <c r="GI32" s="282"/>
      <c r="GJ32" s="282"/>
      <c r="GK32" s="282"/>
      <c r="GL32" s="282"/>
      <c r="GM32" s="283"/>
      <c r="GN32" s="219"/>
      <c r="GO32" s="220"/>
      <c r="GP32" s="282"/>
      <c r="GQ32" s="282"/>
      <c r="GR32" s="282"/>
      <c r="GS32" s="282"/>
      <c r="GT32" s="282"/>
      <c r="GU32" s="282"/>
      <c r="GV32" s="282"/>
      <c r="GW32" s="282"/>
      <c r="GX32" s="282"/>
      <c r="GY32" s="282"/>
      <c r="GZ32" s="283"/>
      <c r="HA32" s="219"/>
      <c r="HB32" s="220"/>
      <c r="HC32" s="282"/>
      <c r="HD32" s="282"/>
      <c r="HE32" s="282"/>
      <c r="HF32" s="282"/>
      <c r="HG32" s="282"/>
      <c r="HH32" s="282"/>
      <c r="HI32" s="282"/>
      <c r="HJ32" s="282"/>
      <c r="HK32" s="282"/>
      <c r="HL32" s="282"/>
      <c r="HM32" s="283"/>
      <c r="HN32" s="219"/>
      <c r="HO32" s="220"/>
      <c r="HP32" s="282"/>
      <c r="HQ32" s="282"/>
      <c r="HR32" s="282"/>
      <c r="HS32" s="282"/>
      <c r="HT32" s="282"/>
      <c r="HU32" s="282"/>
      <c r="HV32" s="282"/>
      <c r="HW32" s="282"/>
      <c r="HX32" s="282"/>
      <c r="HY32" s="282"/>
      <c r="HZ32" s="283"/>
      <c r="IA32" s="219"/>
      <c r="IB32" s="220"/>
      <c r="IC32" s="282"/>
      <c r="ID32" s="282"/>
      <c r="IE32" s="282"/>
      <c r="IF32" s="282"/>
      <c r="IG32" s="282"/>
      <c r="IH32" s="282"/>
      <c r="II32" s="282"/>
      <c r="IJ32" s="282"/>
      <c r="IK32" s="282"/>
      <c r="IL32" s="282"/>
      <c r="IM32" s="283"/>
      <c r="IN32" s="219"/>
      <c r="IO32" s="220"/>
      <c r="IP32" s="282"/>
      <c r="IQ32" s="282"/>
      <c r="IR32" s="282"/>
      <c r="IS32" s="282"/>
      <c r="IT32" s="282"/>
      <c r="IU32" s="282"/>
      <c r="IV32" s="282"/>
    </row>
    <row r="33" spans="1:256" x14ac:dyDescent="0.2">
      <c r="A33" s="219"/>
      <c r="B33" s="220"/>
      <c r="C33" s="282"/>
      <c r="D33" s="282"/>
      <c r="E33" s="282"/>
      <c r="F33" s="282"/>
      <c r="G33" s="282"/>
      <c r="H33" s="282"/>
      <c r="I33" s="282"/>
      <c r="J33" s="282"/>
      <c r="K33" s="282"/>
      <c r="L33" s="282"/>
      <c r="M33" s="283"/>
      <c r="N33" s="212"/>
      <c r="O33" s="212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08"/>
      <c r="AB33" s="208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08"/>
      <c r="AO33" s="208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08"/>
      <c r="BB33" s="208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08"/>
      <c r="BO33" s="208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08"/>
      <c r="CB33" s="208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08"/>
      <c r="CO33" s="208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08"/>
      <c r="DB33" s="208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08"/>
      <c r="DO33" s="208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08"/>
      <c r="EB33" s="208"/>
      <c r="EC33" s="213"/>
      <c r="ED33" s="213"/>
      <c r="EE33" s="213"/>
      <c r="EF33" s="213"/>
      <c r="EG33" s="213"/>
      <c r="EH33" s="213"/>
      <c r="EI33" s="213"/>
      <c r="EJ33" s="213"/>
      <c r="EK33" s="213"/>
      <c r="EL33" s="213"/>
      <c r="EM33" s="213"/>
      <c r="EN33" s="208"/>
      <c r="EO33" s="208"/>
      <c r="EP33" s="213"/>
      <c r="EQ33" s="213"/>
      <c r="ER33" s="213"/>
      <c r="ES33" s="213"/>
      <c r="ET33" s="213"/>
      <c r="EU33" s="213"/>
      <c r="EV33" s="213"/>
      <c r="EW33" s="213"/>
      <c r="EX33" s="213"/>
      <c r="EY33" s="213"/>
      <c r="EZ33" s="213"/>
      <c r="FA33" s="208"/>
      <c r="FB33" s="208"/>
      <c r="FC33" s="213"/>
      <c r="FD33" s="213"/>
      <c r="FE33" s="213"/>
      <c r="FF33" s="213"/>
      <c r="FG33" s="213"/>
      <c r="FH33" s="213"/>
      <c r="FI33" s="213"/>
      <c r="FJ33" s="213"/>
      <c r="FK33" s="213"/>
      <c r="FL33" s="213"/>
      <c r="FM33" s="213"/>
      <c r="FN33" s="208"/>
      <c r="FO33" s="208"/>
      <c r="FP33" s="213"/>
      <c r="FQ33" s="213"/>
      <c r="FR33" s="213"/>
      <c r="FS33" s="213"/>
      <c r="FT33" s="213"/>
      <c r="FU33" s="213"/>
      <c r="FV33" s="213"/>
      <c r="FW33" s="213"/>
      <c r="FX33" s="213"/>
      <c r="FY33" s="213"/>
      <c r="FZ33" s="213"/>
      <c r="GA33" s="208"/>
      <c r="GB33" s="208"/>
      <c r="GC33" s="213"/>
      <c r="GD33" s="213"/>
      <c r="GE33" s="213"/>
      <c r="GF33" s="213"/>
      <c r="GG33" s="213"/>
      <c r="GH33" s="213"/>
      <c r="GI33" s="213"/>
      <c r="GJ33" s="213"/>
      <c r="GK33" s="213"/>
      <c r="GL33" s="213"/>
      <c r="GM33" s="213"/>
      <c r="GN33" s="208"/>
      <c r="GO33" s="208"/>
      <c r="GP33" s="213"/>
      <c r="GQ33" s="213"/>
      <c r="GR33" s="213"/>
      <c r="GS33" s="213"/>
      <c r="GT33" s="213"/>
      <c r="GU33" s="213"/>
      <c r="GV33" s="213"/>
      <c r="GW33" s="213"/>
      <c r="GX33" s="213"/>
      <c r="GY33" s="213"/>
      <c r="GZ33" s="213"/>
      <c r="HA33" s="208"/>
      <c r="HB33" s="208"/>
      <c r="HC33" s="213"/>
      <c r="HD33" s="213"/>
      <c r="HE33" s="213"/>
      <c r="HF33" s="213"/>
      <c r="HG33" s="213"/>
      <c r="HH33" s="213"/>
      <c r="HI33" s="213"/>
      <c r="HJ33" s="213"/>
      <c r="HK33" s="213"/>
      <c r="HL33" s="213"/>
      <c r="HM33" s="213"/>
      <c r="HN33" s="208"/>
      <c r="HO33" s="208"/>
      <c r="HP33" s="213"/>
      <c r="HQ33" s="213"/>
      <c r="HR33" s="213"/>
      <c r="HS33" s="213"/>
      <c r="HT33" s="213"/>
      <c r="HU33" s="213"/>
      <c r="HV33" s="213"/>
      <c r="HW33" s="213"/>
      <c r="HX33" s="213"/>
      <c r="HY33" s="213"/>
      <c r="HZ33" s="213"/>
      <c r="IA33" s="208"/>
      <c r="IB33" s="208"/>
      <c r="IC33" s="213"/>
      <c r="ID33" s="213"/>
      <c r="IE33" s="213"/>
      <c r="IF33" s="213"/>
      <c r="IG33" s="213"/>
      <c r="IH33" s="213"/>
      <c r="II33" s="213"/>
      <c r="IJ33" s="213"/>
      <c r="IK33" s="213"/>
      <c r="IL33" s="213"/>
      <c r="IM33" s="213"/>
      <c r="IN33" s="208"/>
      <c r="IO33" s="208"/>
      <c r="IP33" s="213"/>
      <c r="IQ33" s="213"/>
      <c r="IR33" s="213"/>
      <c r="IS33" s="213"/>
      <c r="IT33" s="213"/>
      <c r="IU33" s="213"/>
      <c r="IV33" s="213"/>
    </row>
    <row r="34" spans="1:256" x14ac:dyDescent="0.2">
      <c r="A34" s="219"/>
      <c r="B34" s="220"/>
      <c r="C34" s="282"/>
      <c r="D34" s="282"/>
      <c r="E34" s="282"/>
      <c r="F34" s="282"/>
      <c r="G34" s="282"/>
      <c r="H34" s="282"/>
      <c r="I34" s="282"/>
      <c r="J34" s="282"/>
      <c r="K34" s="282"/>
      <c r="L34" s="282"/>
      <c r="M34" s="283"/>
      <c r="N34" s="212"/>
      <c r="O34" s="212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08"/>
      <c r="AB34" s="208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08"/>
      <c r="AO34" s="208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08"/>
      <c r="BB34" s="208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08"/>
      <c r="BO34" s="208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08"/>
      <c r="CB34" s="208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08"/>
      <c r="CO34" s="208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08"/>
      <c r="DB34" s="208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08"/>
      <c r="DO34" s="208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08"/>
      <c r="EB34" s="208"/>
      <c r="EC34" s="213"/>
      <c r="ED34" s="213"/>
      <c r="EE34" s="213"/>
      <c r="EF34" s="213"/>
      <c r="EG34" s="213"/>
      <c r="EH34" s="213"/>
      <c r="EI34" s="213"/>
      <c r="EJ34" s="213"/>
      <c r="EK34" s="213"/>
      <c r="EL34" s="213"/>
      <c r="EM34" s="213"/>
      <c r="EN34" s="208"/>
      <c r="EO34" s="208"/>
      <c r="EP34" s="213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08"/>
      <c r="FB34" s="208"/>
      <c r="FC34" s="213"/>
      <c r="FD34" s="213"/>
      <c r="FE34" s="213"/>
      <c r="FF34" s="213"/>
      <c r="FG34" s="213"/>
      <c r="FH34" s="213"/>
      <c r="FI34" s="213"/>
      <c r="FJ34" s="213"/>
      <c r="FK34" s="213"/>
      <c r="FL34" s="213"/>
      <c r="FM34" s="213"/>
      <c r="FN34" s="208"/>
      <c r="FO34" s="208"/>
      <c r="FP34" s="213"/>
      <c r="FQ34" s="213"/>
      <c r="FR34" s="213"/>
      <c r="FS34" s="213"/>
      <c r="FT34" s="213"/>
      <c r="FU34" s="213"/>
      <c r="FV34" s="213"/>
      <c r="FW34" s="213"/>
      <c r="FX34" s="213"/>
      <c r="FY34" s="213"/>
      <c r="FZ34" s="213"/>
      <c r="GA34" s="208"/>
      <c r="GB34" s="208"/>
      <c r="GC34" s="213"/>
      <c r="GD34" s="213"/>
      <c r="GE34" s="213"/>
      <c r="GF34" s="213"/>
      <c r="GG34" s="213"/>
      <c r="GH34" s="213"/>
      <c r="GI34" s="213"/>
      <c r="GJ34" s="213"/>
      <c r="GK34" s="213"/>
      <c r="GL34" s="213"/>
      <c r="GM34" s="213"/>
      <c r="GN34" s="208"/>
      <c r="GO34" s="208"/>
      <c r="GP34" s="213"/>
      <c r="GQ34" s="213"/>
      <c r="GR34" s="213"/>
      <c r="GS34" s="213"/>
      <c r="GT34" s="213"/>
      <c r="GU34" s="213"/>
      <c r="GV34" s="213"/>
      <c r="GW34" s="213"/>
      <c r="GX34" s="213"/>
      <c r="GY34" s="213"/>
      <c r="GZ34" s="213"/>
      <c r="HA34" s="208"/>
      <c r="HB34" s="208"/>
      <c r="HC34" s="213"/>
      <c r="HD34" s="213"/>
      <c r="HE34" s="213"/>
      <c r="HF34" s="213"/>
      <c r="HG34" s="213"/>
      <c r="HH34" s="213"/>
      <c r="HI34" s="213"/>
      <c r="HJ34" s="213"/>
      <c r="HK34" s="213"/>
      <c r="HL34" s="213"/>
      <c r="HM34" s="213"/>
      <c r="HN34" s="208"/>
      <c r="HO34" s="208"/>
      <c r="HP34" s="213"/>
      <c r="HQ34" s="213"/>
      <c r="HR34" s="213"/>
      <c r="HS34" s="213"/>
      <c r="HT34" s="213"/>
      <c r="HU34" s="213"/>
      <c r="HV34" s="213"/>
      <c r="HW34" s="213"/>
      <c r="HX34" s="213"/>
      <c r="HY34" s="213"/>
      <c r="HZ34" s="213"/>
      <c r="IA34" s="208"/>
      <c r="IB34" s="208"/>
      <c r="IC34" s="213"/>
      <c r="ID34" s="213"/>
      <c r="IE34" s="213"/>
      <c r="IF34" s="213"/>
      <c r="IG34" s="213"/>
      <c r="IH34" s="213"/>
      <c r="II34" s="213"/>
      <c r="IJ34" s="213"/>
      <c r="IK34" s="213"/>
      <c r="IL34" s="213"/>
      <c r="IM34" s="213"/>
      <c r="IN34" s="208"/>
      <c r="IO34" s="208"/>
      <c r="IP34" s="213"/>
      <c r="IQ34" s="213"/>
      <c r="IR34" s="213"/>
      <c r="IS34" s="213"/>
      <c r="IT34" s="213"/>
      <c r="IU34" s="213"/>
      <c r="IV34" s="213"/>
    </row>
    <row r="35" spans="1:256" x14ac:dyDescent="0.2">
      <c r="A35" s="219"/>
      <c r="B35" s="220"/>
      <c r="C35" s="282"/>
      <c r="D35" s="282"/>
      <c r="E35" s="282"/>
      <c r="F35" s="282"/>
      <c r="G35" s="282"/>
      <c r="H35" s="282"/>
      <c r="I35" s="282"/>
      <c r="J35" s="282"/>
      <c r="K35" s="282"/>
      <c r="L35" s="282"/>
      <c r="M35" s="283"/>
      <c r="N35" s="212"/>
      <c r="O35" s="212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08"/>
      <c r="AB35" s="208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08"/>
      <c r="AO35" s="208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08"/>
      <c r="BB35" s="208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08"/>
      <c r="BO35" s="208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08"/>
      <c r="CB35" s="208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08"/>
      <c r="CO35" s="208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08"/>
      <c r="DB35" s="208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08"/>
      <c r="DO35" s="208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08"/>
      <c r="EB35" s="208"/>
      <c r="EC35" s="213"/>
      <c r="ED35" s="213"/>
      <c r="EE35" s="213"/>
      <c r="EF35" s="213"/>
      <c r="EG35" s="213"/>
      <c r="EH35" s="213"/>
      <c r="EI35" s="213"/>
      <c r="EJ35" s="213"/>
      <c r="EK35" s="213"/>
      <c r="EL35" s="213"/>
      <c r="EM35" s="213"/>
      <c r="EN35" s="208"/>
      <c r="EO35" s="208"/>
      <c r="EP35" s="213"/>
      <c r="EQ35" s="213"/>
      <c r="ER35" s="213"/>
      <c r="ES35" s="213"/>
      <c r="ET35" s="213"/>
      <c r="EU35" s="213"/>
      <c r="EV35" s="213"/>
      <c r="EW35" s="213"/>
      <c r="EX35" s="213"/>
      <c r="EY35" s="213"/>
      <c r="EZ35" s="213"/>
      <c r="FA35" s="208"/>
      <c r="FB35" s="208"/>
      <c r="FC35" s="213"/>
      <c r="FD35" s="213"/>
      <c r="FE35" s="213"/>
      <c r="FF35" s="213"/>
      <c r="FG35" s="213"/>
      <c r="FH35" s="213"/>
      <c r="FI35" s="213"/>
      <c r="FJ35" s="213"/>
      <c r="FK35" s="213"/>
      <c r="FL35" s="213"/>
      <c r="FM35" s="213"/>
      <c r="FN35" s="208"/>
      <c r="FO35" s="208"/>
      <c r="FP35" s="213"/>
      <c r="FQ35" s="213"/>
      <c r="FR35" s="213"/>
      <c r="FS35" s="213"/>
      <c r="FT35" s="213"/>
      <c r="FU35" s="213"/>
      <c r="FV35" s="213"/>
      <c r="FW35" s="213"/>
      <c r="FX35" s="213"/>
      <c r="FY35" s="213"/>
      <c r="FZ35" s="213"/>
      <c r="GA35" s="208"/>
      <c r="GB35" s="208"/>
      <c r="GC35" s="213"/>
      <c r="GD35" s="213"/>
      <c r="GE35" s="213"/>
      <c r="GF35" s="213"/>
      <c r="GG35" s="213"/>
      <c r="GH35" s="213"/>
      <c r="GI35" s="213"/>
      <c r="GJ35" s="213"/>
      <c r="GK35" s="213"/>
      <c r="GL35" s="213"/>
      <c r="GM35" s="213"/>
      <c r="GN35" s="208"/>
      <c r="GO35" s="208"/>
      <c r="GP35" s="213"/>
      <c r="GQ35" s="213"/>
      <c r="GR35" s="213"/>
      <c r="GS35" s="213"/>
      <c r="GT35" s="213"/>
      <c r="GU35" s="213"/>
      <c r="GV35" s="213"/>
      <c r="GW35" s="213"/>
      <c r="GX35" s="213"/>
      <c r="GY35" s="213"/>
      <c r="GZ35" s="213"/>
      <c r="HA35" s="208"/>
      <c r="HB35" s="208"/>
      <c r="HC35" s="213"/>
      <c r="HD35" s="213"/>
      <c r="HE35" s="213"/>
      <c r="HF35" s="213"/>
      <c r="HG35" s="213"/>
      <c r="HH35" s="213"/>
      <c r="HI35" s="213"/>
      <c r="HJ35" s="213"/>
      <c r="HK35" s="213"/>
      <c r="HL35" s="213"/>
      <c r="HM35" s="213"/>
      <c r="HN35" s="208"/>
      <c r="HO35" s="208"/>
      <c r="HP35" s="213"/>
      <c r="HQ35" s="213"/>
      <c r="HR35" s="213"/>
      <c r="HS35" s="213"/>
      <c r="HT35" s="213"/>
      <c r="HU35" s="213"/>
      <c r="HV35" s="213"/>
      <c r="HW35" s="213"/>
      <c r="HX35" s="213"/>
      <c r="HY35" s="213"/>
      <c r="HZ35" s="213"/>
      <c r="IA35" s="208"/>
      <c r="IB35" s="208"/>
      <c r="IC35" s="213"/>
      <c r="ID35" s="213"/>
      <c r="IE35" s="213"/>
      <c r="IF35" s="213"/>
      <c r="IG35" s="213"/>
      <c r="IH35" s="213"/>
      <c r="II35" s="213"/>
      <c r="IJ35" s="213"/>
      <c r="IK35" s="213"/>
      <c r="IL35" s="213"/>
      <c r="IM35" s="213"/>
      <c r="IN35" s="208"/>
      <c r="IO35" s="208"/>
      <c r="IP35" s="213"/>
      <c r="IQ35" s="213"/>
      <c r="IR35" s="213"/>
      <c r="IS35" s="213"/>
      <c r="IT35" s="213"/>
      <c r="IU35" s="213"/>
      <c r="IV35" s="213"/>
    </row>
    <row r="36" spans="1:256" x14ac:dyDescent="0.2">
      <c r="A36" s="219"/>
      <c r="B36" s="220"/>
      <c r="C36" s="282"/>
      <c r="D36" s="282"/>
      <c r="E36" s="282"/>
      <c r="F36" s="282"/>
      <c r="G36" s="282"/>
      <c r="H36" s="282"/>
      <c r="I36" s="282"/>
      <c r="J36" s="282"/>
      <c r="K36" s="282"/>
      <c r="L36" s="282"/>
      <c r="M36" s="283"/>
      <c r="N36" s="212"/>
      <c r="O36" s="212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08"/>
      <c r="AB36" s="208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08"/>
      <c r="AO36" s="208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08"/>
      <c r="BB36" s="208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08"/>
      <c r="BO36" s="208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08"/>
      <c r="CB36" s="208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08"/>
      <c r="CO36" s="208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08"/>
      <c r="DB36" s="208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08"/>
      <c r="DO36" s="208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08"/>
      <c r="EB36" s="208"/>
      <c r="EC36" s="213"/>
      <c r="ED36" s="213"/>
      <c r="EE36" s="213"/>
      <c r="EF36" s="213"/>
      <c r="EG36" s="213"/>
      <c r="EH36" s="213"/>
      <c r="EI36" s="213"/>
      <c r="EJ36" s="213"/>
      <c r="EK36" s="213"/>
      <c r="EL36" s="213"/>
      <c r="EM36" s="213"/>
      <c r="EN36" s="208"/>
      <c r="EO36" s="208"/>
      <c r="EP36" s="213"/>
      <c r="EQ36" s="213"/>
      <c r="ER36" s="213"/>
      <c r="ES36" s="213"/>
      <c r="ET36" s="213"/>
      <c r="EU36" s="213"/>
      <c r="EV36" s="213"/>
      <c r="EW36" s="213"/>
      <c r="EX36" s="213"/>
      <c r="EY36" s="213"/>
      <c r="EZ36" s="213"/>
      <c r="FA36" s="208"/>
      <c r="FB36" s="208"/>
      <c r="FC36" s="213"/>
      <c r="FD36" s="213"/>
      <c r="FE36" s="213"/>
      <c r="FF36" s="213"/>
      <c r="FG36" s="213"/>
      <c r="FH36" s="213"/>
      <c r="FI36" s="213"/>
      <c r="FJ36" s="213"/>
      <c r="FK36" s="213"/>
      <c r="FL36" s="213"/>
      <c r="FM36" s="213"/>
      <c r="FN36" s="208"/>
      <c r="FO36" s="208"/>
      <c r="FP36" s="213"/>
      <c r="FQ36" s="213"/>
      <c r="FR36" s="213"/>
      <c r="FS36" s="213"/>
      <c r="FT36" s="213"/>
      <c r="FU36" s="213"/>
      <c r="FV36" s="213"/>
      <c r="FW36" s="213"/>
      <c r="FX36" s="213"/>
      <c r="FY36" s="213"/>
      <c r="FZ36" s="213"/>
      <c r="GA36" s="208"/>
      <c r="GB36" s="208"/>
      <c r="GC36" s="213"/>
      <c r="GD36" s="213"/>
      <c r="GE36" s="213"/>
      <c r="GF36" s="213"/>
      <c r="GG36" s="213"/>
      <c r="GH36" s="213"/>
      <c r="GI36" s="213"/>
      <c r="GJ36" s="213"/>
      <c r="GK36" s="213"/>
      <c r="GL36" s="213"/>
      <c r="GM36" s="213"/>
      <c r="GN36" s="208"/>
      <c r="GO36" s="208"/>
      <c r="GP36" s="213"/>
      <c r="GQ36" s="213"/>
      <c r="GR36" s="213"/>
      <c r="GS36" s="213"/>
      <c r="GT36" s="213"/>
      <c r="GU36" s="213"/>
      <c r="GV36" s="213"/>
      <c r="GW36" s="213"/>
      <c r="GX36" s="213"/>
      <c r="GY36" s="213"/>
      <c r="GZ36" s="213"/>
      <c r="HA36" s="208"/>
      <c r="HB36" s="208"/>
      <c r="HC36" s="213"/>
      <c r="HD36" s="213"/>
      <c r="HE36" s="213"/>
      <c r="HF36" s="213"/>
      <c r="HG36" s="213"/>
      <c r="HH36" s="213"/>
      <c r="HI36" s="213"/>
      <c r="HJ36" s="213"/>
      <c r="HK36" s="213"/>
      <c r="HL36" s="213"/>
      <c r="HM36" s="213"/>
      <c r="HN36" s="208"/>
      <c r="HO36" s="208"/>
      <c r="HP36" s="213"/>
      <c r="HQ36" s="213"/>
      <c r="HR36" s="213"/>
      <c r="HS36" s="213"/>
      <c r="HT36" s="213"/>
      <c r="HU36" s="213"/>
      <c r="HV36" s="213"/>
      <c r="HW36" s="213"/>
      <c r="HX36" s="213"/>
      <c r="HY36" s="213"/>
      <c r="HZ36" s="213"/>
      <c r="IA36" s="208"/>
      <c r="IB36" s="208"/>
      <c r="IC36" s="213"/>
      <c r="ID36" s="213"/>
      <c r="IE36" s="213"/>
      <c r="IF36" s="213"/>
      <c r="IG36" s="213"/>
      <c r="IH36" s="213"/>
      <c r="II36" s="213"/>
      <c r="IJ36" s="213"/>
      <c r="IK36" s="213"/>
      <c r="IL36" s="213"/>
      <c r="IM36" s="213"/>
      <c r="IN36" s="208"/>
      <c r="IO36" s="208"/>
      <c r="IP36" s="213"/>
      <c r="IQ36" s="213"/>
      <c r="IR36" s="213"/>
      <c r="IS36" s="213"/>
      <c r="IT36" s="213"/>
      <c r="IU36" s="213"/>
      <c r="IV36" s="213"/>
    </row>
    <row r="37" spans="1:256" x14ac:dyDescent="0.2">
      <c r="A37" s="219"/>
      <c r="B37" s="220"/>
      <c r="C37" s="282"/>
      <c r="D37" s="282"/>
      <c r="E37" s="282"/>
      <c r="F37" s="282"/>
      <c r="G37" s="282"/>
      <c r="H37" s="282"/>
      <c r="I37" s="282"/>
      <c r="J37" s="282"/>
      <c r="K37" s="282"/>
      <c r="L37" s="282"/>
      <c r="M37" s="283"/>
      <c r="N37" s="212"/>
      <c r="O37" s="212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08"/>
      <c r="AB37" s="208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08"/>
      <c r="AO37" s="208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08"/>
      <c r="BB37" s="208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08"/>
      <c r="BO37" s="208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08"/>
      <c r="CB37" s="208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08"/>
      <c r="CO37" s="208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08"/>
      <c r="DB37" s="208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08"/>
      <c r="DO37" s="208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08"/>
      <c r="EB37" s="208"/>
      <c r="EC37" s="213"/>
      <c r="ED37" s="213"/>
      <c r="EE37" s="213"/>
      <c r="EF37" s="213"/>
      <c r="EG37" s="213"/>
      <c r="EH37" s="213"/>
      <c r="EI37" s="213"/>
      <c r="EJ37" s="213"/>
      <c r="EK37" s="213"/>
      <c r="EL37" s="213"/>
      <c r="EM37" s="213"/>
      <c r="EN37" s="208"/>
      <c r="EO37" s="208"/>
      <c r="EP37" s="213"/>
      <c r="EQ37" s="213"/>
      <c r="ER37" s="213"/>
      <c r="ES37" s="213"/>
      <c r="ET37" s="213"/>
      <c r="EU37" s="213"/>
      <c r="EV37" s="213"/>
      <c r="EW37" s="213"/>
      <c r="EX37" s="213"/>
      <c r="EY37" s="213"/>
      <c r="EZ37" s="213"/>
      <c r="FA37" s="208"/>
      <c r="FB37" s="208"/>
      <c r="FC37" s="213"/>
      <c r="FD37" s="213"/>
      <c r="FE37" s="213"/>
      <c r="FF37" s="213"/>
      <c r="FG37" s="213"/>
      <c r="FH37" s="213"/>
      <c r="FI37" s="213"/>
      <c r="FJ37" s="213"/>
      <c r="FK37" s="213"/>
      <c r="FL37" s="213"/>
      <c r="FM37" s="213"/>
      <c r="FN37" s="208"/>
      <c r="FO37" s="208"/>
      <c r="FP37" s="213"/>
      <c r="FQ37" s="213"/>
      <c r="FR37" s="213"/>
      <c r="FS37" s="213"/>
      <c r="FT37" s="213"/>
      <c r="FU37" s="213"/>
      <c r="FV37" s="213"/>
      <c r="FW37" s="213"/>
      <c r="FX37" s="213"/>
      <c r="FY37" s="213"/>
      <c r="FZ37" s="213"/>
      <c r="GA37" s="208"/>
      <c r="GB37" s="208"/>
      <c r="GC37" s="213"/>
      <c r="GD37" s="213"/>
      <c r="GE37" s="213"/>
      <c r="GF37" s="213"/>
      <c r="GG37" s="213"/>
      <c r="GH37" s="213"/>
      <c r="GI37" s="213"/>
      <c r="GJ37" s="213"/>
      <c r="GK37" s="213"/>
      <c r="GL37" s="213"/>
      <c r="GM37" s="213"/>
      <c r="GN37" s="208"/>
      <c r="GO37" s="208"/>
      <c r="GP37" s="213"/>
      <c r="GQ37" s="213"/>
      <c r="GR37" s="213"/>
      <c r="GS37" s="213"/>
      <c r="GT37" s="213"/>
      <c r="GU37" s="213"/>
      <c r="GV37" s="213"/>
      <c r="GW37" s="213"/>
      <c r="GX37" s="213"/>
      <c r="GY37" s="213"/>
      <c r="GZ37" s="213"/>
      <c r="HA37" s="208"/>
      <c r="HB37" s="208"/>
      <c r="HC37" s="213"/>
      <c r="HD37" s="213"/>
      <c r="HE37" s="213"/>
      <c r="HF37" s="213"/>
      <c r="HG37" s="213"/>
      <c r="HH37" s="213"/>
      <c r="HI37" s="213"/>
      <c r="HJ37" s="213"/>
      <c r="HK37" s="213"/>
      <c r="HL37" s="213"/>
      <c r="HM37" s="213"/>
      <c r="HN37" s="208"/>
      <c r="HO37" s="208"/>
      <c r="HP37" s="213"/>
      <c r="HQ37" s="213"/>
      <c r="HR37" s="213"/>
      <c r="HS37" s="213"/>
      <c r="HT37" s="213"/>
      <c r="HU37" s="213"/>
      <c r="HV37" s="213"/>
      <c r="HW37" s="213"/>
      <c r="HX37" s="213"/>
      <c r="HY37" s="213"/>
      <c r="HZ37" s="213"/>
      <c r="IA37" s="208"/>
      <c r="IB37" s="208"/>
      <c r="IC37" s="213"/>
      <c r="ID37" s="213"/>
      <c r="IE37" s="213"/>
      <c r="IF37" s="213"/>
      <c r="IG37" s="213"/>
      <c r="IH37" s="213"/>
      <c r="II37" s="213"/>
      <c r="IJ37" s="213"/>
      <c r="IK37" s="213"/>
      <c r="IL37" s="213"/>
      <c r="IM37" s="213"/>
      <c r="IN37" s="208"/>
      <c r="IO37" s="208"/>
      <c r="IP37" s="213"/>
      <c r="IQ37" s="213"/>
      <c r="IR37" s="213"/>
      <c r="IS37" s="213"/>
      <c r="IT37" s="213"/>
      <c r="IU37" s="213"/>
      <c r="IV37" s="213"/>
    </row>
    <row r="38" spans="1:256" x14ac:dyDescent="0.2">
      <c r="A38" s="219"/>
      <c r="B38" s="220"/>
      <c r="C38" s="282"/>
      <c r="D38" s="282"/>
      <c r="E38" s="282"/>
      <c r="F38" s="282"/>
      <c r="G38" s="282"/>
      <c r="H38" s="282"/>
      <c r="I38" s="282"/>
      <c r="J38" s="282"/>
      <c r="K38" s="282"/>
      <c r="L38" s="282"/>
      <c r="M38" s="283"/>
      <c r="N38" s="212"/>
      <c r="O38" s="212"/>
      <c r="P38" s="285"/>
      <c r="Q38" s="285"/>
      <c r="R38" s="285"/>
      <c r="S38" s="285"/>
      <c r="T38" s="285"/>
      <c r="U38" s="285"/>
      <c r="V38" s="285"/>
      <c r="W38" s="285"/>
      <c r="X38" s="285"/>
      <c r="Y38" s="285"/>
      <c r="Z38" s="285"/>
      <c r="AA38" s="208"/>
      <c r="AB38" s="208"/>
      <c r="AC38" s="284"/>
      <c r="AD38" s="284"/>
      <c r="AE38" s="284"/>
      <c r="AF38" s="284"/>
      <c r="AG38" s="284"/>
      <c r="AH38" s="284"/>
      <c r="AI38" s="284"/>
      <c r="AJ38" s="284"/>
      <c r="AK38" s="284"/>
      <c r="AL38" s="284"/>
      <c r="AM38" s="284"/>
      <c r="AN38" s="208"/>
      <c r="AO38" s="208"/>
      <c r="AP38" s="284"/>
      <c r="AQ38" s="284"/>
      <c r="AR38" s="284"/>
      <c r="AS38" s="284"/>
      <c r="AT38" s="284"/>
      <c r="AU38" s="284"/>
      <c r="AV38" s="284"/>
      <c r="AW38" s="284"/>
      <c r="AX38" s="284"/>
      <c r="AY38" s="284"/>
      <c r="AZ38" s="284"/>
      <c r="BA38" s="208"/>
      <c r="BB38" s="208"/>
      <c r="BC38" s="284"/>
      <c r="BD38" s="284"/>
      <c r="BE38" s="284"/>
      <c r="BF38" s="284"/>
      <c r="BG38" s="284"/>
      <c r="BH38" s="284"/>
      <c r="BI38" s="284"/>
      <c r="BJ38" s="284"/>
      <c r="BK38" s="284"/>
      <c r="BL38" s="284"/>
      <c r="BM38" s="284"/>
      <c r="BN38" s="208"/>
      <c r="BO38" s="208"/>
      <c r="BP38" s="284"/>
      <c r="BQ38" s="284"/>
      <c r="BR38" s="284"/>
      <c r="BS38" s="284"/>
      <c r="BT38" s="284"/>
      <c r="BU38" s="284"/>
      <c r="BV38" s="284"/>
      <c r="BW38" s="284"/>
      <c r="BX38" s="284"/>
      <c r="BY38" s="284"/>
      <c r="BZ38" s="284"/>
      <c r="CA38" s="208"/>
      <c r="CB38" s="208"/>
      <c r="CC38" s="284"/>
      <c r="CD38" s="284"/>
      <c r="CE38" s="284"/>
      <c r="CF38" s="284"/>
      <c r="CG38" s="284"/>
      <c r="CH38" s="284"/>
      <c r="CI38" s="284"/>
      <c r="CJ38" s="284"/>
      <c r="CK38" s="284"/>
      <c r="CL38" s="284"/>
      <c r="CM38" s="284"/>
      <c r="CN38" s="208"/>
      <c r="CO38" s="208"/>
      <c r="CP38" s="284"/>
      <c r="CQ38" s="284"/>
      <c r="CR38" s="284"/>
      <c r="CS38" s="284"/>
      <c r="CT38" s="284"/>
      <c r="CU38" s="284"/>
      <c r="CV38" s="284"/>
      <c r="CW38" s="284"/>
      <c r="CX38" s="284"/>
      <c r="CY38" s="284"/>
      <c r="CZ38" s="284"/>
      <c r="DA38" s="208"/>
      <c r="DB38" s="208"/>
      <c r="DC38" s="284"/>
      <c r="DD38" s="284"/>
      <c r="DE38" s="284"/>
      <c r="DF38" s="284"/>
      <c r="DG38" s="284"/>
      <c r="DH38" s="284"/>
      <c r="DI38" s="284"/>
      <c r="DJ38" s="284"/>
      <c r="DK38" s="284"/>
      <c r="DL38" s="284"/>
      <c r="DM38" s="284"/>
      <c r="DN38" s="208"/>
      <c r="DO38" s="208"/>
      <c r="DP38" s="284"/>
      <c r="DQ38" s="284"/>
      <c r="DR38" s="284"/>
      <c r="DS38" s="284"/>
      <c r="DT38" s="284"/>
      <c r="DU38" s="284"/>
      <c r="DV38" s="284"/>
      <c r="DW38" s="284"/>
      <c r="DX38" s="284"/>
      <c r="DY38" s="284"/>
      <c r="DZ38" s="284"/>
      <c r="EA38" s="208"/>
      <c r="EB38" s="208"/>
      <c r="EC38" s="284"/>
      <c r="ED38" s="284"/>
      <c r="EE38" s="284"/>
      <c r="EF38" s="284"/>
      <c r="EG38" s="284"/>
      <c r="EH38" s="284"/>
      <c r="EI38" s="284"/>
      <c r="EJ38" s="284"/>
      <c r="EK38" s="284"/>
      <c r="EL38" s="284"/>
      <c r="EM38" s="284"/>
      <c r="EN38" s="208"/>
      <c r="EO38" s="208"/>
      <c r="EP38" s="284"/>
      <c r="EQ38" s="284"/>
      <c r="ER38" s="284"/>
      <c r="ES38" s="284"/>
      <c r="ET38" s="284"/>
      <c r="EU38" s="284"/>
      <c r="EV38" s="284"/>
      <c r="EW38" s="284"/>
      <c r="EX38" s="284"/>
      <c r="EY38" s="284"/>
      <c r="EZ38" s="284"/>
      <c r="FA38" s="208"/>
      <c r="FB38" s="208"/>
      <c r="FC38" s="284"/>
      <c r="FD38" s="284"/>
      <c r="FE38" s="284"/>
      <c r="FF38" s="284"/>
      <c r="FG38" s="284"/>
      <c r="FH38" s="284"/>
      <c r="FI38" s="284"/>
      <c r="FJ38" s="284"/>
      <c r="FK38" s="284"/>
      <c r="FL38" s="284"/>
      <c r="FM38" s="284"/>
      <c r="FN38" s="208"/>
      <c r="FO38" s="208"/>
      <c r="FP38" s="284"/>
      <c r="FQ38" s="284"/>
      <c r="FR38" s="284"/>
      <c r="FS38" s="284"/>
      <c r="FT38" s="284"/>
      <c r="FU38" s="284"/>
      <c r="FV38" s="284"/>
      <c r="FW38" s="284"/>
      <c r="FX38" s="284"/>
      <c r="FY38" s="284"/>
      <c r="FZ38" s="284"/>
      <c r="GA38" s="208"/>
      <c r="GB38" s="208"/>
      <c r="GC38" s="284"/>
      <c r="GD38" s="284"/>
      <c r="GE38" s="284"/>
      <c r="GF38" s="284"/>
      <c r="GG38" s="284"/>
      <c r="GH38" s="284"/>
      <c r="GI38" s="284"/>
      <c r="GJ38" s="284"/>
      <c r="GK38" s="284"/>
      <c r="GL38" s="284"/>
      <c r="GM38" s="284"/>
      <c r="GN38" s="208"/>
      <c r="GO38" s="208"/>
      <c r="GP38" s="284"/>
      <c r="GQ38" s="284"/>
      <c r="GR38" s="284"/>
      <c r="GS38" s="284"/>
      <c r="GT38" s="284"/>
      <c r="GU38" s="284"/>
      <c r="GV38" s="284"/>
      <c r="GW38" s="284"/>
      <c r="GX38" s="284"/>
      <c r="GY38" s="284"/>
      <c r="GZ38" s="284"/>
      <c r="HA38" s="208"/>
      <c r="HB38" s="208"/>
      <c r="HC38" s="284"/>
      <c r="HD38" s="284"/>
      <c r="HE38" s="284"/>
      <c r="HF38" s="284"/>
      <c r="HG38" s="284"/>
      <c r="HH38" s="284"/>
      <c r="HI38" s="284"/>
      <c r="HJ38" s="284"/>
      <c r="HK38" s="284"/>
      <c r="HL38" s="284"/>
      <c r="HM38" s="284"/>
      <c r="HN38" s="208"/>
      <c r="HO38" s="208"/>
      <c r="HP38" s="284"/>
      <c r="HQ38" s="284"/>
      <c r="HR38" s="284"/>
      <c r="HS38" s="284"/>
      <c r="HT38" s="284"/>
      <c r="HU38" s="284"/>
      <c r="HV38" s="284"/>
      <c r="HW38" s="284"/>
      <c r="HX38" s="284"/>
      <c r="HY38" s="284"/>
      <c r="HZ38" s="284"/>
      <c r="IA38" s="208"/>
      <c r="IB38" s="208"/>
      <c r="IC38" s="284"/>
      <c r="ID38" s="284"/>
      <c r="IE38" s="284"/>
      <c r="IF38" s="284"/>
      <c r="IG38" s="284"/>
      <c r="IH38" s="284"/>
      <c r="II38" s="284"/>
      <c r="IJ38" s="284"/>
      <c r="IK38" s="284"/>
      <c r="IL38" s="284"/>
      <c r="IM38" s="284"/>
      <c r="IN38" s="208"/>
      <c r="IO38" s="208"/>
      <c r="IP38" s="284"/>
      <c r="IQ38" s="284"/>
      <c r="IR38" s="284"/>
      <c r="IS38" s="284"/>
      <c r="IT38" s="284"/>
      <c r="IU38" s="284"/>
      <c r="IV38" s="284"/>
    </row>
    <row r="39" spans="1:256" x14ac:dyDescent="0.2">
      <c r="A39" s="219"/>
      <c r="B39" s="220"/>
      <c r="C39" s="282"/>
      <c r="D39" s="282"/>
      <c r="E39" s="282"/>
      <c r="F39" s="282"/>
      <c r="G39" s="282"/>
      <c r="H39" s="282"/>
      <c r="I39" s="282"/>
      <c r="J39" s="282"/>
      <c r="K39" s="282"/>
      <c r="L39" s="282"/>
      <c r="M39" s="283"/>
      <c r="N39" s="212"/>
      <c r="O39" s="212"/>
      <c r="P39" s="285"/>
      <c r="Q39" s="285"/>
      <c r="R39" s="285"/>
      <c r="S39" s="285"/>
      <c r="T39" s="285"/>
      <c r="U39" s="285"/>
      <c r="V39" s="285"/>
      <c r="W39" s="285"/>
      <c r="X39" s="285"/>
      <c r="Y39" s="285"/>
      <c r="Z39" s="285"/>
      <c r="AA39" s="208"/>
      <c r="AB39" s="208"/>
      <c r="AC39" s="284"/>
      <c r="AD39" s="284"/>
      <c r="AE39" s="284"/>
      <c r="AF39" s="284"/>
      <c r="AG39" s="284"/>
      <c r="AH39" s="284"/>
      <c r="AI39" s="284"/>
      <c r="AJ39" s="284"/>
      <c r="AK39" s="284"/>
      <c r="AL39" s="284"/>
      <c r="AM39" s="284"/>
      <c r="AN39" s="208"/>
      <c r="AO39" s="208"/>
      <c r="AP39" s="284"/>
      <c r="AQ39" s="284"/>
      <c r="AR39" s="284"/>
      <c r="AS39" s="284"/>
      <c r="AT39" s="284"/>
      <c r="AU39" s="284"/>
      <c r="AV39" s="284"/>
      <c r="AW39" s="284"/>
      <c r="AX39" s="284"/>
      <c r="AY39" s="284"/>
      <c r="AZ39" s="284"/>
      <c r="BA39" s="208"/>
      <c r="BB39" s="208"/>
      <c r="BC39" s="284"/>
      <c r="BD39" s="284"/>
      <c r="BE39" s="284"/>
      <c r="BF39" s="284"/>
      <c r="BG39" s="284"/>
      <c r="BH39" s="284"/>
      <c r="BI39" s="284"/>
      <c r="BJ39" s="284"/>
      <c r="BK39" s="284"/>
      <c r="BL39" s="284"/>
      <c r="BM39" s="284"/>
      <c r="BN39" s="208"/>
      <c r="BO39" s="208"/>
      <c r="BP39" s="284"/>
      <c r="BQ39" s="284"/>
      <c r="BR39" s="284"/>
      <c r="BS39" s="284"/>
      <c r="BT39" s="284"/>
      <c r="BU39" s="284"/>
      <c r="BV39" s="284"/>
      <c r="BW39" s="284"/>
      <c r="BX39" s="284"/>
      <c r="BY39" s="284"/>
      <c r="BZ39" s="284"/>
      <c r="CA39" s="208"/>
      <c r="CB39" s="208"/>
      <c r="CC39" s="284"/>
      <c r="CD39" s="284"/>
      <c r="CE39" s="284"/>
      <c r="CF39" s="284"/>
      <c r="CG39" s="284"/>
      <c r="CH39" s="284"/>
      <c r="CI39" s="284"/>
      <c r="CJ39" s="284"/>
      <c r="CK39" s="284"/>
      <c r="CL39" s="284"/>
      <c r="CM39" s="284"/>
      <c r="CN39" s="208"/>
      <c r="CO39" s="208"/>
      <c r="CP39" s="284"/>
      <c r="CQ39" s="284"/>
      <c r="CR39" s="284"/>
      <c r="CS39" s="284"/>
      <c r="CT39" s="284"/>
      <c r="CU39" s="284"/>
      <c r="CV39" s="284"/>
      <c r="CW39" s="284"/>
      <c r="CX39" s="284"/>
      <c r="CY39" s="284"/>
      <c r="CZ39" s="284"/>
      <c r="DA39" s="208"/>
      <c r="DB39" s="208"/>
      <c r="DC39" s="284"/>
      <c r="DD39" s="284"/>
      <c r="DE39" s="284"/>
      <c r="DF39" s="284"/>
      <c r="DG39" s="284"/>
      <c r="DH39" s="284"/>
      <c r="DI39" s="284"/>
      <c r="DJ39" s="284"/>
      <c r="DK39" s="284"/>
      <c r="DL39" s="284"/>
      <c r="DM39" s="284"/>
      <c r="DN39" s="208"/>
      <c r="DO39" s="208"/>
      <c r="DP39" s="284"/>
      <c r="DQ39" s="284"/>
      <c r="DR39" s="284"/>
      <c r="DS39" s="284"/>
      <c r="DT39" s="284"/>
      <c r="DU39" s="284"/>
      <c r="DV39" s="284"/>
      <c r="DW39" s="284"/>
      <c r="DX39" s="284"/>
      <c r="DY39" s="284"/>
      <c r="DZ39" s="284"/>
      <c r="EA39" s="208"/>
      <c r="EB39" s="208"/>
      <c r="EC39" s="284"/>
      <c r="ED39" s="284"/>
      <c r="EE39" s="284"/>
      <c r="EF39" s="284"/>
      <c r="EG39" s="284"/>
      <c r="EH39" s="284"/>
      <c r="EI39" s="284"/>
      <c r="EJ39" s="284"/>
      <c r="EK39" s="284"/>
      <c r="EL39" s="284"/>
      <c r="EM39" s="284"/>
      <c r="EN39" s="208"/>
      <c r="EO39" s="208"/>
      <c r="EP39" s="284"/>
      <c r="EQ39" s="284"/>
      <c r="ER39" s="284"/>
      <c r="ES39" s="284"/>
      <c r="ET39" s="284"/>
      <c r="EU39" s="284"/>
      <c r="EV39" s="284"/>
      <c r="EW39" s="284"/>
      <c r="EX39" s="284"/>
      <c r="EY39" s="284"/>
      <c r="EZ39" s="284"/>
      <c r="FA39" s="208"/>
      <c r="FB39" s="208"/>
      <c r="FC39" s="284"/>
      <c r="FD39" s="284"/>
      <c r="FE39" s="284"/>
      <c r="FF39" s="284"/>
      <c r="FG39" s="284"/>
      <c r="FH39" s="284"/>
      <c r="FI39" s="284"/>
      <c r="FJ39" s="284"/>
      <c r="FK39" s="284"/>
      <c r="FL39" s="284"/>
      <c r="FM39" s="284"/>
      <c r="FN39" s="208"/>
      <c r="FO39" s="208"/>
      <c r="FP39" s="284"/>
      <c r="FQ39" s="284"/>
      <c r="FR39" s="284"/>
      <c r="FS39" s="284"/>
      <c r="FT39" s="284"/>
      <c r="FU39" s="284"/>
      <c r="FV39" s="284"/>
      <c r="FW39" s="284"/>
      <c r="FX39" s="284"/>
      <c r="FY39" s="284"/>
      <c r="FZ39" s="284"/>
      <c r="GA39" s="208"/>
      <c r="GB39" s="208"/>
      <c r="GC39" s="284"/>
      <c r="GD39" s="284"/>
      <c r="GE39" s="284"/>
      <c r="GF39" s="284"/>
      <c r="GG39" s="284"/>
      <c r="GH39" s="284"/>
      <c r="GI39" s="284"/>
      <c r="GJ39" s="284"/>
      <c r="GK39" s="284"/>
      <c r="GL39" s="284"/>
      <c r="GM39" s="284"/>
      <c r="GN39" s="208"/>
      <c r="GO39" s="208"/>
      <c r="GP39" s="284"/>
      <c r="GQ39" s="284"/>
      <c r="GR39" s="284"/>
      <c r="GS39" s="284"/>
      <c r="GT39" s="284"/>
      <c r="GU39" s="284"/>
      <c r="GV39" s="284"/>
      <c r="GW39" s="284"/>
      <c r="GX39" s="284"/>
      <c r="GY39" s="284"/>
      <c r="GZ39" s="284"/>
      <c r="HA39" s="208"/>
      <c r="HB39" s="208"/>
      <c r="HC39" s="284"/>
      <c r="HD39" s="284"/>
      <c r="HE39" s="284"/>
      <c r="HF39" s="284"/>
      <c r="HG39" s="284"/>
      <c r="HH39" s="284"/>
      <c r="HI39" s="284"/>
      <c r="HJ39" s="284"/>
      <c r="HK39" s="284"/>
      <c r="HL39" s="284"/>
      <c r="HM39" s="284"/>
      <c r="HN39" s="208"/>
      <c r="HO39" s="208"/>
      <c r="HP39" s="284"/>
      <c r="HQ39" s="284"/>
      <c r="HR39" s="284"/>
      <c r="HS39" s="284"/>
      <c r="HT39" s="284"/>
      <c r="HU39" s="284"/>
      <c r="HV39" s="284"/>
      <c r="HW39" s="284"/>
      <c r="HX39" s="284"/>
      <c r="HY39" s="284"/>
      <c r="HZ39" s="284"/>
      <c r="IA39" s="208"/>
      <c r="IB39" s="208"/>
      <c r="IC39" s="284"/>
      <c r="ID39" s="284"/>
      <c r="IE39" s="284"/>
      <c r="IF39" s="284"/>
      <c r="IG39" s="284"/>
      <c r="IH39" s="284"/>
      <c r="II39" s="284"/>
      <c r="IJ39" s="284"/>
      <c r="IK39" s="284"/>
      <c r="IL39" s="284"/>
      <c r="IM39" s="284"/>
      <c r="IN39" s="208"/>
      <c r="IO39" s="208"/>
      <c r="IP39" s="284"/>
      <c r="IQ39" s="284"/>
      <c r="IR39" s="284"/>
      <c r="IS39" s="284"/>
      <c r="IT39" s="284"/>
      <c r="IU39" s="284"/>
      <c r="IV39" s="284"/>
    </row>
    <row r="40" spans="1:256" x14ac:dyDescent="0.2">
      <c r="A40" s="219"/>
      <c r="B40" s="220"/>
      <c r="C40" s="282"/>
      <c r="D40" s="282"/>
      <c r="E40" s="282"/>
      <c r="F40" s="282"/>
      <c r="G40" s="282"/>
      <c r="H40" s="282"/>
      <c r="I40" s="282"/>
      <c r="J40" s="282"/>
      <c r="K40" s="282"/>
      <c r="L40" s="282"/>
      <c r="M40" s="283"/>
      <c r="N40" s="212"/>
      <c r="O40" s="212"/>
      <c r="P40" s="285"/>
      <c r="Q40" s="285"/>
      <c r="R40" s="285"/>
      <c r="S40" s="285"/>
      <c r="T40" s="285"/>
      <c r="U40" s="285"/>
      <c r="V40" s="285"/>
      <c r="W40" s="285"/>
      <c r="X40" s="285"/>
      <c r="Y40" s="285"/>
      <c r="Z40" s="285"/>
      <c r="AA40" s="208"/>
      <c r="AB40" s="208"/>
      <c r="AC40" s="284"/>
      <c r="AD40" s="284"/>
      <c r="AE40" s="284"/>
      <c r="AF40" s="284"/>
      <c r="AG40" s="284"/>
      <c r="AH40" s="284"/>
      <c r="AI40" s="284"/>
      <c r="AJ40" s="284"/>
      <c r="AK40" s="284"/>
      <c r="AL40" s="284"/>
      <c r="AM40" s="284"/>
      <c r="AN40" s="208"/>
      <c r="AO40" s="208"/>
      <c r="AP40" s="284"/>
      <c r="AQ40" s="284"/>
      <c r="AR40" s="284"/>
      <c r="AS40" s="284"/>
      <c r="AT40" s="284"/>
      <c r="AU40" s="284"/>
      <c r="AV40" s="284"/>
      <c r="AW40" s="284"/>
      <c r="AX40" s="284"/>
      <c r="AY40" s="284"/>
      <c r="AZ40" s="284"/>
      <c r="BA40" s="208"/>
      <c r="BB40" s="208"/>
      <c r="BC40" s="284"/>
      <c r="BD40" s="284"/>
      <c r="BE40" s="284"/>
      <c r="BF40" s="284"/>
      <c r="BG40" s="284"/>
      <c r="BH40" s="284"/>
      <c r="BI40" s="284"/>
      <c r="BJ40" s="284"/>
      <c r="BK40" s="284"/>
      <c r="BL40" s="284"/>
      <c r="BM40" s="284"/>
      <c r="BN40" s="208"/>
      <c r="BO40" s="208"/>
      <c r="BP40" s="284"/>
      <c r="BQ40" s="284"/>
      <c r="BR40" s="284"/>
      <c r="BS40" s="284"/>
      <c r="BT40" s="284"/>
      <c r="BU40" s="284"/>
      <c r="BV40" s="284"/>
      <c r="BW40" s="284"/>
      <c r="BX40" s="284"/>
      <c r="BY40" s="284"/>
      <c r="BZ40" s="284"/>
      <c r="CA40" s="208"/>
      <c r="CB40" s="208"/>
      <c r="CC40" s="284"/>
      <c r="CD40" s="284"/>
      <c r="CE40" s="284"/>
      <c r="CF40" s="284"/>
      <c r="CG40" s="284"/>
      <c r="CH40" s="284"/>
      <c r="CI40" s="284"/>
      <c r="CJ40" s="284"/>
      <c r="CK40" s="284"/>
      <c r="CL40" s="284"/>
      <c r="CM40" s="284"/>
      <c r="CN40" s="208"/>
      <c r="CO40" s="208"/>
      <c r="CP40" s="284"/>
      <c r="CQ40" s="284"/>
      <c r="CR40" s="284"/>
      <c r="CS40" s="284"/>
      <c r="CT40" s="284"/>
      <c r="CU40" s="284"/>
      <c r="CV40" s="284"/>
      <c r="CW40" s="284"/>
      <c r="CX40" s="284"/>
      <c r="CY40" s="284"/>
      <c r="CZ40" s="284"/>
      <c r="DA40" s="208"/>
      <c r="DB40" s="208"/>
      <c r="DC40" s="284"/>
      <c r="DD40" s="284"/>
      <c r="DE40" s="284"/>
      <c r="DF40" s="284"/>
      <c r="DG40" s="284"/>
      <c r="DH40" s="284"/>
      <c r="DI40" s="284"/>
      <c r="DJ40" s="284"/>
      <c r="DK40" s="284"/>
      <c r="DL40" s="284"/>
      <c r="DM40" s="284"/>
      <c r="DN40" s="208"/>
      <c r="DO40" s="208"/>
      <c r="DP40" s="284"/>
      <c r="DQ40" s="284"/>
      <c r="DR40" s="284"/>
      <c r="DS40" s="284"/>
      <c r="DT40" s="284"/>
      <c r="DU40" s="284"/>
      <c r="DV40" s="284"/>
      <c r="DW40" s="284"/>
      <c r="DX40" s="284"/>
      <c r="DY40" s="284"/>
      <c r="DZ40" s="284"/>
      <c r="EA40" s="208"/>
      <c r="EB40" s="208"/>
      <c r="EC40" s="284"/>
      <c r="ED40" s="284"/>
      <c r="EE40" s="284"/>
      <c r="EF40" s="284"/>
      <c r="EG40" s="284"/>
      <c r="EH40" s="284"/>
      <c r="EI40" s="284"/>
      <c r="EJ40" s="284"/>
      <c r="EK40" s="284"/>
      <c r="EL40" s="284"/>
      <c r="EM40" s="284"/>
      <c r="EN40" s="208"/>
      <c r="EO40" s="208"/>
      <c r="EP40" s="284"/>
      <c r="EQ40" s="284"/>
      <c r="ER40" s="284"/>
      <c r="ES40" s="284"/>
      <c r="ET40" s="284"/>
      <c r="EU40" s="284"/>
      <c r="EV40" s="284"/>
      <c r="EW40" s="284"/>
      <c r="EX40" s="284"/>
      <c r="EY40" s="284"/>
      <c r="EZ40" s="284"/>
      <c r="FA40" s="208"/>
      <c r="FB40" s="208"/>
      <c r="FC40" s="284"/>
      <c r="FD40" s="284"/>
      <c r="FE40" s="284"/>
      <c r="FF40" s="284"/>
      <c r="FG40" s="284"/>
      <c r="FH40" s="284"/>
      <c r="FI40" s="284"/>
      <c r="FJ40" s="284"/>
      <c r="FK40" s="284"/>
      <c r="FL40" s="284"/>
      <c r="FM40" s="284"/>
      <c r="FN40" s="208"/>
      <c r="FO40" s="208"/>
      <c r="FP40" s="284"/>
      <c r="FQ40" s="284"/>
      <c r="FR40" s="284"/>
      <c r="FS40" s="284"/>
      <c r="FT40" s="284"/>
      <c r="FU40" s="284"/>
      <c r="FV40" s="284"/>
      <c r="FW40" s="284"/>
      <c r="FX40" s="284"/>
      <c r="FY40" s="284"/>
      <c r="FZ40" s="284"/>
      <c r="GA40" s="208"/>
      <c r="GB40" s="208"/>
      <c r="GC40" s="284"/>
      <c r="GD40" s="284"/>
      <c r="GE40" s="284"/>
      <c r="GF40" s="284"/>
      <c r="GG40" s="284"/>
      <c r="GH40" s="284"/>
      <c r="GI40" s="284"/>
      <c r="GJ40" s="284"/>
      <c r="GK40" s="284"/>
      <c r="GL40" s="284"/>
      <c r="GM40" s="284"/>
      <c r="GN40" s="208"/>
      <c r="GO40" s="208"/>
      <c r="GP40" s="284"/>
      <c r="GQ40" s="284"/>
      <c r="GR40" s="284"/>
      <c r="GS40" s="284"/>
      <c r="GT40" s="284"/>
      <c r="GU40" s="284"/>
      <c r="GV40" s="284"/>
      <c r="GW40" s="284"/>
      <c r="GX40" s="284"/>
      <c r="GY40" s="284"/>
      <c r="GZ40" s="284"/>
      <c r="HA40" s="208"/>
      <c r="HB40" s="208"/>
      <c r="HC40" s="284"/>
      <c r="HD40" s="284"/>
      <c r="HE40" s="284"/>
      <c r="HF40" s="284"/>
      <c r="HG40" s="284"/>
      <c r="HH40" s="284"/>
      <c r="HI40" s="284"/>
      <c r="HJ40" s="284"/>
      <c r="HK40" s="284"/>
      <c r="HL40" s="284"/>
      <c r="HM40" s="284"/>
      <c r="HN40" s="208"/>
      <c r="HO40" s="208"/>
      <c r="HP40" s="284"/>
      <c r="HQ40" s="284"/>
      <c r="HR40" s="284"/>
      <c r="HS40" s="284"/>
      <c r="HT40" s="284"/>
      <c r="HU40" s="284"/>
      <c r="HV40" s="284"/>
      <c r="HW40" s="284"/>
      <c r="HX40" s="284"/>
      <c r="HY40" s="284"/>
      <c r="HZ40" s="284"/>
      <c r="IA40" s="208"/>
      <c r="IB40" s="208"/>
      <c r="IC40" s="284"/>
      <c r="ID40" s="284"/>
      <c r="IE40" s="284"/>
      <c r="IF40" s="284"/>
      <c r="IG40" s="284"/>
      <c r="IH40" s="284"/>
      <c r="II40" s="284"/>
      <c r="IJ40" s="284"/>
      <c r="IK40" s="284"/>
      <c r="IL40" s="284"/>
      <c r="IM40" s="284"/>
      <c r="IN40" s="208"/>
      <c r="IO40" s="208"/>
      <c r="IP40" s="284"/>
      <c r="IQ40" s="284"/>
      <c r="IR40" s="284"/>
      <c r="IS40" s="284"/>
      <c r="IT40" s="284"/>
      <c r="IU40" s="284"/>
      <c r="IV40" s="284"/>
    </row>
    <row r="41" spans="1:256" x14ac:dyDescent="0.2">
      <c r="A41" s="219"/>
      <c r="B41" s="220"/>
      <c r="C41" s="282"/>
      <c r="D41" s="282"/>
      <c r="E41" s="282"/>
      <c r="F41" s="282"/>
      <c r="G41" s="282"/>
      <c r="H41" s="282"/>
      <c r="I41" s="282"/>
      <c r="J41" s="282"/>
      <c r="K41" s="282"/>
      <c r="L41" s="282"/>
      <c r="M41" s="283"/>
      <c r="N41" s="212"/>
      <c r="O41" s="212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08"/>
      <c r="AB41" s="208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08"/>
      <c r="AO41" s="208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08"/>
      <c r="BB41" s="208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08"/>
      <c r="BO41" s="208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08"/>
      <c r="CB41" s="208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08"/>
      <c r="CO41" s="208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08"/>
      <c r="DB41" s="208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08"/>
      <c r="DO41" s="208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08"/>
      <c r="EB41" s="208"/>
      <c r="EC41" s="213"/>
      <c r="ED41" s="213"/>
      <c r="EE41" s="213"/>
      <c r="EF41" s="213"/>
      <c r="EG41" s="213"/>
      <c r="EH41" s="213"/>
      <c r="EI41" s="213"/>
      <c r="EJ41" s="213"/>
      <c r="EK41" s="213"/>
      <c r="EL41" s="213"/>
      <c r="EM41" s="213"/>
      <c r="EN41" s="208"/>
      <c r="EO41" s="208"/>
      <c r="EP41" s="213"/>
      <c r="EQ41" s="213"/>
      <c r="ER41" s="213"/>
      <c r="ES41" s="213"/>
      <c r="ET41" s="213"/>
      <c r="EU41" s="213"/>
      <c r="EV41" s="213"/>
      <c r="EW41" s="213"/>
      <c r="EX41" s="213"/>
      <c r="EY41" s="213"/>
      <c r="EZ41" s="213"/>
      <c r="FA41" s="208"/>
      <c r="FB41" s="208"/>
      <c r="FC41" s="213"/>
      <c r="FD41" s="213"/>
      <c r="FE41" s="213"/>
      <c r="FF41" s="213"/>
      <c r="FG41" s="213"/>
      <c r="FH41" s="213"/>
      <c r="FI41" s="213"/>
      <c r="FJ41" s="213"/>
      <c r="FK41" s="213"/>
      <c r="FL41" s="213"/>
      <c r="FM41" s="213"/>
      <c r="FN41" s="208"/>
      <c r="FO41" s="208"/>
      <c r="FP41" s="213"/>
      <c r="FQ41" s="213"/>
      <c r="FR41" s="213"/>
      <c r="FS41" s="213"/>
      <c r="FT41" s="213"/>
      <c r="FU41" s="213"/>
      <c r="FV41" s="213"/>
      <c r="FW41" s="213"/>
      <c r="FX41" s="213"/>
      <c r="FY41" s="213"/>
      <c r="FZ41" s="213"/>
      <c r="GA41" s="208"/>
      <c r="GB41" s="208"/>
      <c r="GC41" s="213"/>
      <c r="GD41" s="213"/>
      <c r="GE41" s="213"/>
      <c r="GF41" s="213"/>
      <c r="GG41" s="213"/>
      <c r="GH41" s="213"/>
      <c r="GI41" s="213"/>
      <c r="GJ41" s="213"/>
      <c r="GK41" s="213"/>
      <c r="GL41" s="213"/>
      <c r="GM41" s="213"/>
      <c r="GN41" s="208"/>
      <c r="GO41" s="208"/>
      <c r="GP41" s="213"/>
      <c r="GQ41" s="213"/>
      <c r="GR41" s="213"/>
      <c r="GS41" s="213"/>
      <c r="GT41" s="213"/>
      <c r="GU41" s="213"/>
      <c r="GV41" s="213"/>
      <c r="GW41" s="213"/>
      <c r="GX41" s="213"/>
      <c r="GY41" s="213"/>
      <c r="GZ41" s="213"/>
      <c r="HA41" s="208"/>
      <c r="HB41" s="208"/>
      <c r="HC41" s="213"/>
      <c r="HD41" s="213"/>
      <c r="HE41" s="213"/>
      <c r="HF41" s="213"/>
      <c r="HG41" s="213"/>
      <c r="HH41" s="213"/>
      <c r="HI41" s="213"/>
      <c r="HJ41" s="213"/>
      <c r="HK41" s="213"/>
      <c r="HL41" s="213"/>
      <c r="HM41" s="213"/>
      <c r="HN41" s="208"/>
      <c r="HO41" s="208"/>
      <c r="HP41" s="213"/>
      <c r="HQ41" s="213"/>
      <c r="HR41" s="213"/>
      <c r="HS41" s="213"/>
      <c r="HT41" s="213"/>
      <c r="HU41" s="213"/>
      <c r="HV41" s="213"/>
      <c r="HW41" s="213"/>
      <c r="HX41" s="213"/>
      <c r="HY41" s="213"/>
      <c r="HZ41" s="213"/>
      <c r="IA41" s="208"/>
      <c r="IB41" s="208"/>
      <c r="IC41" s="213"/>
      <c r="ID41" s="213"/>
      <c r="IE41" s="213"/>
      <c r="IF41" s="213"/>
      <c r="IG41" s="213"/>
      <c r="IH41" s="213"/>
      <c r="II41" s="213"/>
      <c r="IJ41" s="213"/>
      <c r="IK41" s="213"/>
      <c r="IL41" s="213"/>
      <c r="IM41" s="213"/>
      <c r="IN41" s="208"/>
      <c r="IO41" s="208"/>
      <c r="IP41" s="213"/>
      <c r="IQ41" s="213"/>
      <c r="IR41" s="213"/>
      <c r="IS41" s="213"/>
      <c r="IT41" s="213"/>
      <c r="IU41" s="213"/>
      <c r="IV41" s="213"/>
    </row>
    <row r="42" spans="1:256" x14ac:dyDescent="0.2">
      <c r="A42" s="219"/>
      <c r="B42" s="220"/>
      <c r="C42" s="282"/>
      <c r="D42" s="282"/>
      <c r="E42" s="282"/>
      <c r="F42" s="282"/>
      <c r="G42" s="282"/>
      <c r="H42" s="282"/>
      <c r="I42" s="282"/>
      <c r="J42" s="282"/>
      <c r="K42" s="282"/>
      <c r="L42" s="282"/>
      <c r="M42" s="283"/>
      <c r="N42" s="212"/>
      <c r="O42" s="212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08"/>
      <c r="AB42" s="208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08"/>
      <c r="AO42" s="208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08"/>
      <c r="BB42" s="208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08"/>
      <c r="BO42" s="208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08"/>
      <c r="CB42" s="208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08"/>
      <c r="CO42" s="208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08"/>
      <c r="DB42" s="208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08"/>
      <c r="DO42" s="208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08"/>
      <c r="EB42" s="208"/>
      <c r="EC42" s="213"/>
      <c r="ED42" s="213"/>
      <c r="EE42" s="213"/>
      <c r="EF42" s="213"/>
      <c r="EG42" s="213"/>
      <c r="EH42" s="213"/>
      <c r="EI42" s="213"/>
      <c r="EJ42" s="213"/>
      <c r="EK42" s="213"/>
      <c r="EL42" s="213"/>
      <c r="EM42" s="213"/>
      <c r="EN42" s="208"/>
      <c r="EO42" s="208"/>
      <c r="EP42" s="213"/>
      <c r="EQ42" s="213"/>
      <c r="ER42" s="213"/>
      <c r="ES42" s="213"/>
      <c r="ET42" s="213"/>
      <c r="EU42" s="213"/>
      <c r="EV42" s="213"/>
      <c r="EW42" s="213"/>
      <c r="EX42" s="213"/>
      <c r="EY42" s="213"/>
      <c r="EZ42" s="213"/>
      <c r="FA42" s="208"/>
      <c r="FB42" s="208"/>
      <c r="FC42" s="213"/>
      <c r="FD42" s="213"/>
      <c r="FE42" s="213"/>
      <c r="FF42" s="213"/>
      <c r="FG42" s="213"/>
      <c r="FH42" s="213"/>
      <c r="FI42" s="213"/>
      <c r="FJ42" s="213"/>
      <c r="FK42" s="213"/>
      <c r="FL42" s="213"/>
      <c r="FM42" s="213"/>
      <c r="FN42" s="208"/>
      <c r="FO42" s="208"/>
      <c r="FP42" s="213"/>
      <c r="FQ42" s="213"/>
      <c r="FR42" s="213"/>
      <c r="FS42" s="213"/>
      <c r="FT42" s="213"/>
      <c r="FU42" s="213"/>
      <c r="FV42" s="213"/>
      <c r="FW42" s="213"/>
      <c r="FX42" s="213"/>
      <c r="FY42" s="213"/>
      <c r="FZ42" s="213"/>
      <c r="GA42" s="208"/>
      <c r="GB42" s="208"/>
      <c r="GC42" s="213"/>
      <c r="GD42" s="213"/>
      <c r="GE42" s="213"/>
      <c r="GF42" s="213"/>
      <c r="GG42" s="213"/>
      <c r="GH42" s="213"/>
      <c r="GI42" s="213"/>
      <c r="GJ42" s="213"/>
      <c r="GK42" s="213"/>
      <c r="GL42" s="213"/>
      <c r="GM42" s="213"/>
      <c r="GN42" s="208"/>
      <c r="GO42" s="208"/>
      <c r="GP42" s="213"/>
      <c r="GQ42" s="213"/>
      <c r="GR42" s="213"/>
      <c r="GS42" s="213"/>
      <c r="GT42" s="213"/>
      <c r="GU42" s="213"/>
      <c r="GV42" s="213"/>
      <c r="GW42" s="213"/>
      <c r="GX42" s="213"/>
      <c r="GY42" s="213"/>
      <c r="GZ42" s="213"/>
      <c r="HA42" s="208"/>
      <c r="HB42" s="208"/>
      <c r="HC42" s="213"/>
      <c r="HD42" s="213"/>
      <c r="HE42" s="213"/>
      <c r="HF42" s="213"/>
      <c r="HG42" s="213"/>
      <c r="HH42" s="213"/>
      <c r="HI42" s="213"/>
      <c r="HJ42" s="213"/>
      <c r="HK42" s="213"/>
      <c r="HL42" s="213"/>
      <c r="HM42" s="213"/>
      <c r="HN42" s="208"/>
      <c r="HO42" s="208"/>
      <c r="HP42" s="213"/>
      <c r="HQ42" s="213"/>
      <c r="HR42" s="213"/>
      <c r="HS42" s="213"/>
      <c r="HT42" s="213"/>
      <c r="HU42" s="213"/>
      <c r="HV42" s="213"/>
      <c r="HW42" s="213"/>
      <c r="HX42" s="213"/>
      <c r="HY42" s="213"/>
      <c r="HZ42" s="213"/>
      <c r="IA42" s="208"/>
      <c r="IB42" s="208"/>
      <c r="IC42" s="213"/>
      <c r="ID42" s="213"/>
      <c r="IE42" s="213"/>
      <c r="IF42" s="213"/>
      <c r="IG42" s="213"/>
      <c r="IH42" s="213"/>
      <c r="II42" s="213"/>
      <c r="IJ42" s="213"/>
      <c r="IK42" s="213"/>
      <c r="IL42" s="213"/>
      <c r="IM42" s="213"/>
      <c r="IN42" s="208"/>
      <c r="IO42" s="208"/>
      <c r="IP42" s="213"/>
      <c r="IQ42" s="213"/>
      <c r="IR42" s="213"/>
      <c r="IS42" s="213"/>
      <c r="IT42" s="213"/>
      <c r="IU42" s="213"/>
      <c r="IV42" s="213"/>
    </row>
    <row r="43" spans="1:256" x14ac:dyDescent="0.2">
      <c r="A43" s="219"/>
      <c r="B43" s="220"/>
      <c r="C43" s="282"/>
      <c r="D43" s="282"/>
      <c r="E43" s="282"/>
      <c r="F43" s="282"/>
      <c r="G43" s="282"/>
      <c r="H43" s="282"/>
      <c r="I43" s="282"/>
      <c r="J43" s="282"/>
      <c r="K43" s="282"/>
      <c r="L43" s="282"/>
      <c r="M43" s="283"/>
      <c r="N43" s="212"/>
      <c r="O43" s="212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08"/>
      <c r="AB43" s="208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08"/>
      <c r="AO43" s="208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08"/>
      <c r="BB43" s="208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08"/>
      <c r="BO43" s="208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08"/>
      <c r="CB43" s="208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08"/>
      <c r="CO43" s="208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08"/>
      <c r="DB43" s="208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08"/>
      <c r="DO43" s="208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08"/>
      <c r="EB43" s="208"/>
      <c r="EC43" s="213"/>
      <c r="ED43" s="213"/>
      <c r="EE43" s="213"/>
      <c r="EF43" s="213"/>
      <c r="EG43" s="213"/>
      <c r="EH43" s="213"/>
      <c r="EI43" s="213"/>
      <c r="EJ43" s="213"/>
      <c r="EK43" s="213"/>
      <c r="EL43" s="213"/>
      <c r="EM43" s="213"/>
      <c r="EN43" s="208"/>
      <c r="EO43" s="208"/>
      <c r="EP43" s="213"/>
      <c r="EQ43" s="213"/>
      <c r="ER43" s="213"/>
      <c r="ES43" s="213"/>
      <c r="ET43" s="213"/>
      <c r="EU43" s="213"/>
      <c r="EV43" s="213"/>
      <c r="EW43" s="213"/>
      <c r="EX43" s="213"/>
      <c r="EY43" s="213"/>
      <c r="EZ43" s="213"/>
      <c r="FA43" s="208"/>
      <c r="FB43" s="208"/>
      <c r="FC43" s="213"/>
      <c r="FD43" s="213"/>
      <c r="FE43" s="213"/>
      <c r="FF43" s="213"/>
      <c r="FG43" s="213"/>
      <c r="FH43" s="213"/>
      <c r="FI43" s="213"/>
      <c r="FJ43" s="213"/>
      <c r="FK43" s="213"/>
      <c r="FL43" s="213"/>
      <c r="FM43" s="213"/>
      <c r="FN43" s="208"/>
      <c r="FO43" s="208"/>
      <c r="FP43" s="213"/>
      <c r="FQ43" s="213"/>
      <c r="FR43" s="213"/>
      <c r="FS43" s="213"/>
      <c r="FT43" s="213"/>
      <c r="FU43" s="213"/>
      <c r="FV43" s="213"/>
      <c r="FW43" s="213"/>
      <c r="FX43" s="213"/>
      <c r="FY43" s="213"/>
      <c r="FZ43" s="213"/>
      <c r="GA43" s="208"/>
      <c r="GB43" s="208"/>
      <c r="GC43" s="213"/>
      <c r="GD43" s="213"/>
      <c r="GE43" s="213"/>
      <c r="GF43" s="213"/>
      <c r="GG43" s="213"/>
      <c r="GH43" s="213"/>
      <c r="GI43" s="213"/>
      <c r="GJ43" s="213"/>
      <c r="GK43" s="213"/>
      <c r="GL43" s="213"/>
      <c r="GM43" s="213"/>
      <c r="GN43" s="208"/>
      <c r="GO43" s="208"/>
      <c r="GP43" s="213"/>
      <c r="GQ43" s="213"/>
      <c r="GR43" s="213"/>
      <c r="GS43" s="213"/>
      <c r="GT43" s="213"/>
      <c r="GU43" s="213"/>
      <c r="GV43" s="213"/>
      <c r="GW43" s="213"/>
      <c r="GX43" s="213"/>
      <c r="GY43" s="213"/>
      <c r="GZ43" s="213"/>
      <c r="HA43" s="208"/>
      <c r="HB43" s="208"/>
      <c r="HC43" s="213"/>
      <c r="HD43" s="213"/>
      <c r="HE43" s="213"/>
      <c r="HF43" s="213"/>
      <c r="HG43" s="213"/>
      <c r="HH43" s="213"/>
      <c r="HI43" s="213"/>
      <c r="HJ43" s="213"/>
      <c r="HK43" s="213"/>
      <c r="HL43" s="213"/>
      <c r="HM43" s="213"/>
      <c r="HN43" s="208"/>
      <c r="HO43" s="208"/>
      <c r="HP43" s="213"/>
      <c r="HQ43" s="213"/>
      <c r="HR43" s="213"/>
      <c r="HS43" s="213"/>
      <c r="HT43" s="213"/>
      <c r="HU43" s="213"/>
      <c r="HV43" s="213"/>
      <c r="HW43" s="213"/>
      <c r="HX43" s="213"/>
      <c r="HY43" s="213"/>
      <c r="HZ43" s="213"/>
      <c r="IA43" s="208"/>
      <c r="IB43" s="208"/>
      <c r="IC43" s="213"/>
      <c r="ID43" s="213"/>
      <c r="IE43" s="213"/>
      <c r="IF43" s="213"/>
      <c r="IG43" s="213"/>
      <c r="IH43" s="213"/>
      <c r="II43" s="213"/>
      <c r="IJ43" s="213"/>
      <c r="IK43" s="213"/>
      <c r="IL43" s="213"/>
      <c r="IM43" s="213"/>
      <c r="IN43" s="208"/>
      <c r="IO43" s="208"/>
      <c r="IP43" s="213"/>
      <c r="IQ43" s="213"/>
      <c r="IR43" s="213"/>
      <c r="IS43" s="213"/>
      <c r="IT43" s="213"/>
      <c r="IU43" s="213"/>
      <c r="IV43" s="213"/>
    </row>
    <row r="44" spans="1:256" x14ac:dyDescent="0.2">
      <c r="A44" s="219"/>
      <c r="B44" s="220"/>
      <c r="C44" s="282"/>
      <c r="D44" s="282"/>
      <c r="E44" s="282"/>
      <c r="F44" s="282"/>
      <c r="G44" s="282"/>
      <c r="H44" s="282"/>
      <c r="I44" s="282"/>
      <c r="J44" s="282"/>
      <c r="K44" s="282"/>
      <c r="L44" s="282"/>
      <c r="M44" s="283"/>
      <c r="N44" s="212"/>
      <c r="O44" s="212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08"/>
      <c r="AB44" s="208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08"/>
      <c r="AO44" s="208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08"/>
      <c r="BB44" s="208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08"/>
      <c r="BO44" s="208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08"/>
      <c r="CB44" s="208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08"/>
      <c r="CO44" s="208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08"/>
      <c r="DB44" s="208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08"/>
      <c r="DO44" s="208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08"/>
      <c r="EB44" s="208"/>
      <c r="EC44" s="213"/>
      <c r="ED44" s="213"/>
      <c r="EE44" s="213"/>
      <c r="EF44" s="213"/>
      <c r="EG44" s="213"/>
      <c r="EH44" s="213"/>
      <c r="EI44" s="213"/>
      <c r="EJ44" s="213"/>
      <c r="EK44" s="213"/>
      <c r="EL44" s="213"/>
      <c r="EM44" s="213"/>
      <c r="EN44" s="208"/>
      <c r="EO44" s="208"/>
      <c r="EP44" s="213"/>
      <c r="EQ44" s="213"/>
      <c r="ER44" s="213"/>
      <c r="ES44" s="213"/>
      <c r="ET44" s="213"/>
      <c r="EU44" s="213"/>
      <c r="EV44" s="213"/>
      <c r="EW44" s="213"/>
      <c r="EX44" s="213"/>
      <c r="EY44" s="213"/>
      <c r="EZ44" s="213"/>
      <c r="FA44" s="208"/>
      <c r="FB44" s="208"/>
      <c r="FC44" s="213"/>
      <c r="FD44" s="213"/>
      <c r="FE44" s="213"/>
      <c r="FF44" s="213"/>
      <c r="FG44" s="213"/>
      <c r="FH44" s="213"/>
      <c r="FI44" s="213"/>
      <c r="FJ44" s="213"/>
      <c r="FK44" s="213"/>
      <c r="FL44" s="213"/>
      <c r="FM44" s="213"/>
      <c r="FN44" s="208"/>
      <c r="FO44" s="208"/>
      <c r="FP44" s="213"/>
      <c r="FQ44" s="213"/>
      <c r="FR44" s="213"/>
      <c r="FS44" s="213"/>
      <c r="FT44" s="213"/>
      <c r="FU44" s="213"/>
      <c r="FV44" s="213"/>
      <c r="FW44" s="213"/>
      <c r="FX44" s="213"/>
      <c r="FY44" s="213"/>
      <c r="FZ44" s="213"/>
      <c r="GA44" s="208"/>
      <c r="GB44" s="208"/>
      <c r="GC44" s="213"/>
      <c r="GD44" s="213"/>
      <c r="GE44" s="213"/>
      <c r="GF44" s="213"/>
      <c r="GG44" s="213"/>
      <c r="GH44" s="213"/>
      <c r="GI44" s="213"/>
      <c r="GJ44" s="213"/>
      <c r="GK44" s="213"/>
      <c r="GL44" s="213"/>
      <c r="GM44" s="213"/>
      <c r="GN44" s="208"/>
      <c r="GO44" s="208"/>
      <c r="GP44" s="213"/>
      <c r="GQ44" s="213"/>
      <c r="GR44" s="213"/>
      <c r="GS44" s="213"/>
      <c r="GT44" s="213"/>
      <c r="GU44" s="213"/>
      <c r="GV44" s="213"/>
      <c r="GW44" s="213"/>
      <c r="GX44" s="213"/>
      <c r="GY44" s="213"/>
      <c r="GZ44" s="213"/>
      <c r="HA44" s="208"/>
      <c r="HB44" s="208"/>
      <c r="HC44" s="213"/>
      <c r="HD44" s="213"/>
      <c r="HE44" s="213"/>
      <c r="HF44" s="213"/>
      <c r="HG44" s="213"/>
      <c r="HH44" s="213"/>
      <c r="HI44" s="213"/>
      <c r="HJ44" s="213"/>
      <c r="HK44" s="213"/>
      <c r="HL44" s="213"/>
      <c r="HM44" s="213"/>
      <c r="HN44" s="208"/>
      <c r="HO44" s="208"/>
      <c r="HP44" s="213"/>
      <c r="HQ44" s="213"/>
      <c r="HR44" s="213"/>
      <c r="HS44" s="213"/>
      <c r="HT44" s="213"/>
      <c r="HU44" s="213"/>
      <c r="HV44" s="213"/>
      <c r="HW44" s="213"/>
      <c r="HX44" s="213"/>
      <c r="HY44" s="213"/>
      <c r="HZ44" s="213"/>
      <c r="IA44" s="208"/>
      <c r="IB44" s="208"/>
      <c r="IC44" s="213"/>
      <c r="ID44" s="213"/>
      <c r="IE44" s="213"/>
      <c r="IF44" s="213"/>
      <c r="IG44" s="213"/>
      <c r="IH44" s="213"/>
      <c r="II44" s="213"/>
      <c r="IJ44" s="213"/>
      <c r="IK44" s="213"/>
      <c r="IL44" s="213"/>
      <c r="IM44" s="213"/>
      <c r="IN44" s="208"/>
      <c r="IO44" s="208"/>
      <c r="IP44" s="213"/>
      <c r="IQ44" s="213"/>
      <c r="IR44" s="213"/>
      <c r="IS44" s="213"/>
      <c r="IT44" s="213"/>
      <c r="IU44" s="213"/>
      <c r="IV44" s="213"/>
    </row>
    <row r="45" spans="1:256" x14ac:dyDescent="0.2">
      <c r="A45" s="219"/>
      <c r="B45" s="220"/>
      <c r="C45" s="282"/>
      <c r="D45" s="282"/>
      <c r="E45" s="282"/>
      <c r="F45" s="282"/>
      <c r="G45" s="282"/>
      <c r="H45" s="282"/>
      <c r="I45" s="282"/>
      <c r="J45" s="282"/>
      <c r="K45" s="282"/>
      <c r="L45" s="282"/>
      <c r="M45" s="283"/>
      <c r="N45" s="212"/>
      <c r="O45" s="212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08"/>
      <c r="AB45" s="208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08"/>
      <c r="AO45" s="208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08"/>
      <c r="BB45" s="208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08"/>
      <c r="BO45" s="208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08"/>
      <c r="CB45" s="208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08"/>
      <c r="CO45" s="208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08"/>
      <c r="DB45" s="208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08"/>
      <c r="DO45" s="208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08"/>
      <c r="EB45" s="208"/>
      <c r="EC45" s="213"/>
      <c r="ED45" s="213"/>
      <c r="EE45" s="213"/>
      <c r="EF45" s="213"/>
      <c r="EG45" s="213"/>
      <c r="EH45" s="213"/>
      <c r="EI45" s="213"/>
      <c r="EJ45" s="213"/>
      <c r="EK45" s="213"/>
      <c r="EL45" s="213"/>
      <c r="EM45" s="213"/>
      <c r="EN45" s="208"/>
      <c r="EO45" s="208"/>
      <c r="EP45" s="213"/>
      <c r="EQ45" s="213"/>
      <c r="ER45" s="213"/>
      <c r="ES45" s="213"/>
      <c r="ET45" s="213"/>
      <c r="EU45" s="213"/>
      <c r="EV45" s="213"/>
      <c r="EW45" s="213"/>
      <c r="EX45" s="213"/>
      <c r="EY45" s="213"/>
      <c r="EZ45" s="213"/>
      <c r="FA45" s="208"/>
      <c r="FB45" s="208"/>
      <c r="FC45" s="213"/>
      <c r="FD45" s="213"/>
      <c r="FE45" s="213"/>
      <c r="FF45" s="213"/>
      <c r="FG45" s="213"/>
      <c r="FH45" s="213"/>
      <c r="FI45" s="213"/>
      <c r="FJ45" s="213"/>
      <c r="FK45" s="213"/>
      <c r="FL45" s="213"/>
      <c r="FM45" s="213"/>
      <c r="FN45" s="208"/>
      <c r="FO45" s="208"/>
      <c r="FP45" s="213"/>
      <c r="FQ45" s="213"/>
      <c r="FR45" s="213"/>
      <c r="FS45" s="213"/>
      <c r="FT45" s="213"/>
      <c r="FU45" s="213"/>
      <c r="FV45" s="213"/>
      <c r="FW45" s="213"/>
      <c r="FX45" s="213"/>
      <c r="FY45" s="213"/>
      <c r="FZ45" s="213"/>
      <c r="GA45" s="208"/>
      <c r="GB45" s="208"/>
      <c r="GC45" s="213"/>
      <c r="GD45" s="213"/>
      <c r="GE45" s="213"/>
      <c r="GF45" s="213"/>
      <c r="GG45" s="213"/>
      <c r="GH45" s="213"/>
      <c r="GI45" s="213"/>
      <c r="GJ45" s="213"/>
      <c r="GK45" s="213"/>
      <c r="GL45" s="213"/>
      <c r="GM45" s="213"/>
      <c r="GN45" s="208"/>
      <c r="GO45" s="208"/>
      <c r="GP45" s="213"/>
      <c r="GQ45" s="213"/>
      <c r="GR45" s="213"/>
      <c r="GS45" s="213"/>
      <c r="GT45" s="213"/>
      <c r="GU45" s="213"/>
      <c r="GV45" s="213"/>
      <c r="GW45" s="213"/>
      <c r="GX45" s="213"/>
      <c r="GY45" s="213"/>
      <c r="GZ45" s="213"/>
      <c r="HA45" s="208"/>
      <c r="HB45" s="208"/>
      <c r="HC45" s="213"/>
      <c r="HD45" s="213"/>
      <c r="HE45" s="213"/>
      <c r="HF45" s="213"/>
      <c r="HG45" s="213"/>
      <c r="HH45" s="213"/>
      <c r="HI45" s="213"/>
      <c r="HJ45" s="213"/>
      <c r="HK45" s="213"/>
      <c r="HL45" s="213"/>
      <c r="HM45" s="213"/>
      <c r="HN45" s="208"/>
      <c r="HO45" s="208"/>
      <c r="HP45" s="213"/>
      <c r="HQ45" s="213"/>
      <c r="HR45" s="213"/>
      <c r="HS45" s="213"/>
      <c r="HT45" s="213"/>
      <c r="HU45" s="213"/>
      <c r="HV45" s="213"/>
      <c r="HW45" s="213"/>
      <c r="HX45" s="213"/>
      <c r="HY45" s="213"/>
      <c r="HZ45" s="213"/>
      <c r="IA45" s="208"/>
      <c r="IB45" s="208"/>
      <c r="IC45" s="213"/>
      <c r="ID45" s="213"/>
      <c r="IE45" s="213"/>
      <c r="IF45" s="213"/>
      <c r="IG45" s="213"/>
      <c r="IH45" s="213"/>
      <c r="II45" s="213"/>
      <c r="IJ45" s="213"/>
      <c r="IK45" s="213"/>
      <c r="IL45" s="213"/>
      <c r="IM45" s="213"/>
      <c r="IN45" s="208"/>
      <c r="IO45" s="208"/>
      <c r="IP45" s="213"/>
      <c r="IQ45" s="213"/>
      <c r="IR45" s="213"/>
      <c r="IS45" s="213"/>
      <c r="IT45" s="213"/>
      <c r="IU45" s="213"/>
      <c r="IV45" s="213"/>
    </row>
    <row r="46" spans="1:256" x14ac:dyDescent="0.2">
      <c r="A46" s="219"/>
      <c r="B46" s="220"/>
      <c r="C46" s="282"/>
      <c r="D46" s="282"/>
      <c r="E46" s="282"/>
      <c r="F46" s="282"/>
      <c r="G46" s="282"/>
      <c r="H46" s="282"/>
      <c r="I46" s="282"/>
      <c r="J46" s="282"/>
      <c r="K46" s="282"/>
      <c r="L46" s="282"/>
      <c r="M46" s="283"/>
      <c r="N46" s="212"/>
      <c r="O46" s="212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08"/>
      <c r="AB46" s="208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08"/>
      <c r="AO46" s="208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08"/>
      <c r="BB46" s="208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08"/>
      <c r="BO46" s="208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08"/>
      <c r="CB46" s="208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08"/>
      <c r="CO46" s="208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08"/>
      <c r="DB46" s="208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08"/>
      <c r="DO46" s="208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08"/>
      <c r="EB46" s="208"/>
      <c r="EC46" s="213"/>
      <c r="ED46" s="213"/>
      <c r="EE46" s="213"/>
      <c r="EF46" s="213"/>
      <c r="EG46" s="213"/>
      <c r="EH46" s="213"/>
      <c r="EI46" s="213"/>
      <c r="EJ46" s="213"/>
      <c r="EK46" s="213"/>
      <c r="EL46" s="213"/>
      <c r="EM46" s="213"/>
      <c r="EN46" s="208"/>
      <c r="EO46" s="208"/>
      <c r="EP46" s="213"/>
      <c r="EQ46" s="213"/>
      <c r="ER46" s="213"/>
      <c r="ES46" s="213"/>
      <c r="ET46" s="213"/>
      <c r="EU46" s="213"/>
      <c r="EV46" s="213"/>
      <c r="EW46" s="213"/>
      <c r="EX46" s="213"/>
      <c r="EY46" s="213"/>
      <c r="EZ46" s="213"/>
      <c r="FA46" s="208"/>
      <c r="FB46" s="208"/>
      <c r="FC46" s="213"/>
      <c r="FD46" s="213"/>
      <c r="FE46" s="213"/>
      <c r="FF46" s="213"/>
      <c r="FG46" s="213"/>
      <c r="FH46" s="213"/>
      <c r="FI46" s="213"/>
      <c r="FJ46" s="213"/>
      <c r="FK46" s="213"/>
      <c r="FL46" s="213"/>
      <c r="FM46" s="213"/>
      <c r="FN46" s="208"/>
      <c r="FO46" s="208"/>
      <c r="FP46" s="213"/>
      <c r="FQ46" s="213"/>
      <c r="FR46" s="213"/>
      <c r="FS46" s="213"/>
      <c r="FT46" s="213"/>
      <c r="FU46" s="213"/>
      <c r="FV46" s="213"/>
      <c r="FW46" s="213"/>
      <c r="FX46" s="213"/>
      <c r="FY46" s="213"/>
      <c r="FZ46" s="213"/>
      <c r="GA46" s="208"/>
      <c r="GB46" s="208"/>
      <c r="GC46" s="213"/>
      <c r="GD46" s="213"/>
      <c r="GE46" s="213"/>
      <c r="GF46" s="213"/>
      <c r="GG46" s="213"/>
      <c r="GH46" s="213"/>
      <c r="GI46" s="213"/>
      <c r="GJ46" s="213"/>
      <c r="GK46" s="213"/>
      <c r="GL46" s="213"/>
      <c r="GM46" s="213"/>
      <c r="GN46" s="208"/>
      <c r="GO46" s="208"/>
      <c r="GP46" s="213"/>
      <c r="GQ46" s="213"/>
      <c r="GR46" s="213"/>
      <c r="GS46" s="213"/>
      <c r="GT46" s="213"/>
      <c r="GU46" s="213"/>
      <c r="GV46" s="213"/>
      <c r="GW46" s="213"/>
      <c r="GX46" s="213"/>
      <c r="GY46" s="213"/>
      <c r="GZ46" s="213"/>
      <c r="HA46" s="208"/>
      <c r="HB46" s="208"/>
      <c r="HC46" s="213"/>
      <c r="HD46" s="213"/>
      <c r="HE46" s="213"/>
      <c r="HF46" s="213"/>
      <c r="HG46" s="213"/>
      <c r="HH46" s="213"/>
      <c r="HI46" s="213"/>
      <c r="HJ46" s="213"/>
      <c r="HK46" s="213"/>
      <c r="HL46" s="213"/>
      <c r="HM46" s="213"/>
      <c r="HN46" s="208"/>
      <c r="HO46" s="208"/>
      <c r="HP46" s="213"/>
      <c r="HQ46" s="213"/>
      <c r="HR46" s="213"/>
      <c r="HS46" s="213"/>
      <c r="HT46" s="213"/>
      <c r="HU46" s="213"/>
      <c r="HV46" s="213"/>
      <c r="HW46" s="213"/>
      <c r="HX46" s="213"/>
      <c r="HY46" s="213"/>
      <c r="HZ46" s="213"/>
      <c r="IA46" s="208"/>
      <c r="IB46" s="208"/>
      <c r="IC46" s="213"/>
      <c r="ID46" s="213"/>
      <c r="IE46" s="213"/>
      <c r="IF46" s="213"/>
      <c r="IG46" s="213"/>
      <c r="IH46" s="213"/>
      <c r="II46" s="213"/>
      <c r="IJ46" s="213"/>
      <c r="IK46" s="213"/>
      <c r="IL46" s="213"/>
      <c r="IM46" s="213"/>
      <c r="IN46" s="208"/>
      <c r="IO46" s="208"/>
      <c r="IP46" s="213"/>
      <c r="IQ46" s="213"/>
      <c r="IR46" s="213"/>
      <c r="IS46" s="213"/>
      <c r="IT46" s="213"/>
      <c r="IU46" s="213"/>
      <c r="IV46" s="213"/>
    </row>
    <row r="47" spans="1:256" x14ac:dyDescent="0.2">
      <c r="A47" s="219"/>
      <c r="B47" s="220"/>
      <c r="C47" s="282"/>
      <c r="D47" s="282"/>
      <c r="E47" s="282"/>
      <c r="F47" s="282"/>
      <c r="G47" s="282"/>
      <c r="H47" s="282"/>
      <c r="I47" s="282"/>
      <c r="J47" s="282"/>
      <c r="K47" s="282"/>
      <c r="L47" s="282"/>
      <c r="M47" s="283"/>
      <c r="N47" s="212"/>
      <c r="O47" s="212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08"/>
      <c r="AB47" s="208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08"/>
      <c r="AO47" s="208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08"/>
      <c r="BB47" s="208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08"/>
      <c r="BO47" s="208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08"/>
      <c r="CB47" s="208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08"/>
      <c r="CO47" s="208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08"/>
      <c r="DB47" s="208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08"/>
      <c r="DO47" s="208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08"/>
      <c r="EB47" s="208"/>
      <c r="EC47" s="213"/>
      <c r="ED47" s="213"/>
      <c r="EE47" s="213"/>
      <c r="EF47" s="213"/>
      <c r="EG47" s="213"/>
      <c r="EH47" s="213"/>
      <c r="EI47" s="213"/>
      <c r="EJ47" s="213"/>
      <c r="EK47" s="213"/>
      <c r="EL47" s="213"/>
      <c r="EM47" s="213"/>
      <c r="EN47" s="208"/>
      <c r="EO47" s="208"/>
      <c r="EP47" s="213"/>
      <c r="EQ47" s="213"/>
      <c r="ER47" s="213"/>
      <c r="ES47" s="213"/>
      <c r="ET47" s="213"/>
      <c r="EU47" s="213"/>
      <c r="EV47" s="213"/>
      <c r="EW47" s="213"/>
      <c r="EX47" s="213"/>
      <c r="EY47" s="213"/>
      <c r="EZ47" s="213"/>
      <c r="FA47" s="208"/>
      <c r="FB47" s="208"/>
      <c r="FC47" s="213"/>
      <c r="FD47" s="213"/>
      <c r="FE47" s="213"/>
      <c r="FF47" s="213"/>
      <c r="FG47" s="213"/>
      <c r="FH47" s="213"/>
      <c r="FI47" s="213"/>
      <c r="FJ47" s="213"/>
      <c r="FK47" s="213"/>
      <c r="FL47" s="213"/>
      <c r="FM47" s="213"/>
      <c r="FN47" s="208"/>
      <c r="FO47" s="208"/>
      <c r="FP47" s="213"/>
      <c r="FQ47" s="213"/>
      <c r="FR47" s="213"/>
      <c r="FS47" s="213"/>
      <c r="FT47" s="213"/>
      <c r="FU47" s="213"/>
      <c r="FV47" s="213"/>
      <c r="FW47" s="213"/>
      <c r="FX47" s="213"/>
      <c r="FY47" s="213"/>
      <c r="FZ47" s="213"/>
      <c r="GA47" s="208"/>
      <c r="GB47" s="208"/>
      <c r="GC47" s="213"/>
      <c r="GD47" s="213"/>
      <c r="GE47" s="213"/>
      <c r="GF47" s="213"/>
      <c r="GG47" s="213"/>
      <c r="GH47" s="213"/>
      <c r="GI47" s="213"/>
      <c r="GJ47" s="213"/>
      <c r="GK47" s="213"/>
      <c r="GL47" s="213"/>
      <c r="GM47" s="213"/>
      <c r="GN47" s="208"/>
      <c r="GO47" s="208"/>
      <c r="GP47" s="213"/>
      <c r="GQ47" s="213"/>
      <c r="GR47" s="213"/>
      <c r="GS47" s="213"/>
      <c r="GT47" s="213"/>
      <c r="GU47" s="213"/>
      <c r="GV47" s="213"/>
      <c r="GW47" s="213"/>
      <c r="GX47" s="213"/>
      <c r="GY47" s="213"/>
      <c r="GZ47" s="213"/>
      <c r="HA47" s="208"/>
      <c r="HB47" s="208"/>
      <c r="HC47" s="213"/>
      <c r="HD47" s="213"/>
      <c r="HE47" s="213"/>
      <c r="HF47" s="213"/>
      <c r="HG47" s="213"/>
      <c r="HH47" s="213"/>
      <c r="HI47" s="213"/>
      <c r="HJ47" s="213"/>
      <c r="HK47" s="213"/>
      <c r="HL47" s="213"/>
      <c r="HM47" s="213"/>
      <c r="HN47" s="208"/>
      <c r="HO47" s="208"/>
      <c r="HP47" s="213"/>
      <c r="HQ47" s="213"/>
      <c r="HR47" s="213"/>
      <c r="HS47" s="213"/>
      <c r="HT47" s="213"/>
      <c r="HU47" s="213"/>
      <c r="HV47" s="213"/>
      <c r="HW47" s="213"/>
      <c r="HX47" s="213"/>
      <c r="HY47" s="213"/>
      <c r="HZ47" s="213"/>
      <c r="IA47" s="208"/>
      <c r="IB47" s="208"/>
      <c r="IC47" s="213"/>
      <c r="ID47" s="213"/>
      <c r="IE47" s="213"/>
      <c r="IF47" s="213"/>
      <c r="IG47" s="213"/>
      <c r="IH47" s="213"/>
      <c r="II47" s="213"/>
      <c r="IJ47" s="213"/>
      <c r="IK47" s="213"/>
      <c r="IL47" s="213"/>
      <c r="IM47" s="213"/>
      <c r="IN47" s="208"/>
      <c r="IO47" s="208"/>
      <c r="IP47" s="213"/>
      <c r="IQ47" s="213"/>
      <c r="IR47" s="213"/>
      <c r="IS47" s="213"/>
      <c r="IT47" s="213"/>
      <c r="IU47" s="213"/>
      <c r="IV47" s="213"/>
    </row>
    <row r="48" spans="1:256" x14ac:dyDescent="0.2">
      <c r="A48" s="219"/>
      <c r="B48" s="220"/>
      <c r="C48" s="282"/>
      <c r="D48" s="282"/>
      <c r="E48" s="282"/>
      <c r="F48" s="282"/>
      <c r="G48" s="282"/>
      <c r="H48" s="282"/>
      <c r="I48" s="282"/>
      <c r="J48" s="282"/>
      <c r="K48" s="282"/>
      <c r="L48" s="282"/>
      <c r="M48" s="283"/>
      <c r="N48" s="212"/>
      <c r="O48" s="212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08"/>
      <c r="AB48" s="208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08"/>
      <c r="AO48" s="208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08"/>
      <c r="BB48" s="208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08"/>
      <c r="BO48" s="208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08"/>
      <c r="CB48" s="208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08"/>
      <c r="CO48" s="208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08"/>
      <c r="DB48" s="208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08"/>
      <c r="DO48" s="208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08"/>
      <c r="EB48" s="208"/>
      <c r="EC48" s="213"/>
      <c r="ED48" s="213"/>
      <c r="EE48" s="213"/>
      <c r="EF48" s="213"/>
      <c r="EG48" s="213"/>
      <c r="EH48" s="213"/>
      <c r="EI48" s="213"/>
      <c r="EJ48" s="213"/>
      <c r="EK48" s="213"/>
      <c r="EL48" s="213"/>
      <c r="EM48" s="213"/>
      <c r="EN48" s="208"/>
      <c r="EO48" s="208"/>
      <c r="EP48" s="213"/>
      <c r="EQ48" s="213"/>
      <c r="ER48" s="213"/>
      <c r="ES48" s="213"/>
      <c r="ET48" s="213"/>
      <c r="EU48" s="213"/>
      <c r="EV48" s="213"/>
      <c r="EW48" s="213"/>
      <c r="EX48" s="213"/>
      <c r="EY48" s="213"/>
      <c r="EZ48" s="213"/>
      <c r="FA48" s="208"/>
      <c r="FB48" s="208"/>
      <c r="FC48" s="213"/>
      <c r="FD48" s="213"/>
      <c r="FE48" s="213"/>
      <c r="FF48" s="213"/>
      <c r="FG48" s="213"/>
      <c r="FH48" s="213"/>
      <c r="FI48" s="213"/>
      <c r="FJ48" s="213"/>
      <c r="FK48" s="213"/>
      <c r="FL48" s="213"/>
      <c r="FM48" s="213"/>
      <c r="FN48" s="208"/>
      <c r="FO48" s="208"/>
      <c r="FP48" s="213"/>
      <c r="FQ48" s="213"/>
      <c r="FR48" s="213"/>
      <c r="FS48" s="213"/>
      <c r="FT48" s="213"/>
      <c r="FU48" s="213"/>
      <c r="FV48" s="213"/>
      <c r="FW48" s="213"/>
      <c r="FX48" s="213"/>
      <c r="FY48" s="213"/>
      <c r="FZ48" s="213"/>
      <c r="GA48" s="208"/>
      <c r="GB48" s="208"/>
      <c r="GC48" s="213"/>
      <c r="GD48" s="213"/>
      <c r="GE48" s="213"/>
      <c r="GF48" s="213"/>
      <c r="GG48" s="213"/>
      <c r="GH48" s="213"/>
      <c r="GI48" s="213"/>
      <c r="GJ48" s="213"/>
      <c r="GK48" s="213"/>
      <c r="GL48" s="213"/>
      <c r="GM48" s="213"/>
      <c r="GN48" s="208"/>
      <c r="GO48" s="208"/>
      <c r="GP48" s="213"/>
      <c r="GQ48" s="213"/>
      <c r="GR48" s="213"/>
      <c r="GS48" s="213"/>
      <c r="GT48" s="213"/>
      <c r="GU48" s="213"/>
      <c r="GV48" s="213"/>
      <c r="GW48" s="213"/>
      <c r="GX48" s="213"/>
      <c r="GY48" s="213"/>
      <c r="GZ48" s="213"/>
      <c r="HA48" s="208"/>
      <c r="HB48" s="208"/>
      <c r="HC48" s="213"/>
      <c r="HD48" s="213"/>
      <c r="HE48" s="213"/>
      <c r="HF48" s="213"/>
      <c r="HG48" s="213"/>
      <c r="HH48" s="213"/>
      <c r="HI48" s="213"/>
      <c r="HJ48" s="213"/>
      <c r="HK48" s="213"/>
      <c r="HL48" s="213"/>
      <c r="HM48" s="213"/>
      <c r="HN48" s="208"/>
      <c r="HO48" s="208"/>
      <c r="HP48" s="213"/>
      <c r="HQ48" s="213"/>
      <c r="HR48" s="213"/>
      <c r="HS48" s="213"/>
      <c r="HT48" s="213"/>
      <c r="HU48" s="213"/>
      <c r="HV48" s="213"/>
      <c r="HW48" s="213"/>
      <c r="HX48" s="213"/>
      <c r="HY48" s="213"/>
      <c r="HZ48" s="213"/>
      <c r="IA48" s="208"/>
      <c r="IB48" s="208"/>
      <c r="IC48" s="213"/>
      <c r="ID48" s="213"/>
      <c r="IE48" s="213"/>
      <c r="IF48" s="213"/>
      <c r="IG48" s="213"/>
      <c r="IH48" s="213"/>
      <c r="II48" s="213"/>
      <c r="IJ48" s="213"/>
      <c r="IK48" s="213"/>
      <c r="IL48" s="213"/>
      <c r="IM48" s="213"/>
      <c r="IN48" s="208"/>
      <c r="IO48" s="208"/>
      <c r="IP48" s="213"/>
      <c r="IQ48" s="213"/>
      <c r="IR48" s="213"/>
      <c r="IS48" s="213"/>
      <c r="IT48" s="213"/>
      <c r="IU48" s="213"/>
      <c r="IV48" s="213"/>
    </row>
    <row r="49" spans="1:256" x14ac:dyDescent="0.2">
      <c r="A49" s="219"/>
      <c r="B49" s="220"/>
      <c r="C49" s="282"/>
      <c r="D49" s="282"/>
      <c r="E49" s="282"/>
      <c r="F49" s="282"/>
      <c r="G49" s="282"/>
      <c r="H49" s="282"/>
      <c r="I49" s="282"/>
      <c r="J49" s="282"/>
      <c r="K49" s="282"/>
      <c r="L49" s="282"/>
      <c r="M49" s="283"/>
      <c r="N49" s="212"/>
      <c r="O49" s="212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08"/>
      <c r="AB49" s="208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08"/>
      <c r="AO49" s="208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08"/>
      <c r="BB49" s="208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08"/>
      <c r="BO49" s="208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08"/>
      <c r="CB49" s="208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08"/>
      <c r="CO49" s="208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08"/>
      <c r="DB49" s="208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08"/>
      <c r="DO49" s="208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08"/>
      <c r="EB49" s="208"/>
      <c r="EC49" s="213"/>
      <c r="ED49" s="213"/>
      <c r="EE49" s="213"/>
      <c r="EF49" s="213"/>
      <c r="EG49" s="213"/>
      <c r="EH49" s="213"/>
      <c r="EI49" s="213"/>
      <c r="EJ49" s="213"/>
      <c r="EK49" s="213"/>
      <c r="EL49" s="213"/>
      <c r="EM49" s="213"/>
      <c r="EN49" s="208"/>
      <c r="EO49" s="208"/>
      <c r="EP49" s="213"/>
      <c r="EQ49" s="213"/>
      <c r="ER49" s="213"/>
      <c r="ES49" s="213"/>
      <c r="ET49" s="213"/>
      <c r="EU49" s="213"/>
      <c r="EV49" s="213"/>
      <c r="EW49" s="213"/>
      <c r="EX49" s="213"/>
      <c r="EY49" s="213"/>
      <c r="EZ49" s="213"/>
      <c r="FA49" s="208"/>
      <c r="FB49" s="208"/>
      <c r="FC49" s="213"/>
      <c r="FD49" s="213"/>
      <c r="FE49" s="213"/>
      <c r="FF49" s="213"/>
      <c r="FG49" s="213"/>
      <c r="FH49" s="213"/>
      <c r="FI49" s="213"/>
      <c r="FJ49" s="213"/>
      <c r="FK49" s="213"/>
      <c r="FL49" s="213"/>
      <c r="FM49" s="213"/>
      <c r="FN49" s="208"/>
      <c r="FO49" s="208"/>
      <c r="FP49" s="213"/>
      <c r="FQ49" s="213"/>
      <c r="FR49" s="213"/>
      <c r="FS49" s="213"/>
      <c r="FT49" s="213"/>
      <c r="FU49" s="213"/>
      <c r="FV49" s="213"/>
      <c r="FW49" s="213"/>
      <c r="FX49" s="213"/>
      <c r="FY49" s="213"/>
      <c r="FZ49" s="213"/>
      <c r="GA49" s="208"/>
      <c r="GB49" s="208"/>
      <c r="GC49" s="213"/>
      <c r="GD49" s="213"/>
      <c r="GE49" s="213"/>
      <c r="GF49" s="213"/>
      <c r="GG49" s="213"/>
      <c r="GH49" s="213"/>
      <c r="GI49" s="213"/>
      <c r="GJ49" s="213"/>
      <c r="GK49" s="213"/>
      <c r="GL49" s="213"/>
      <c r="GM49" s="213"/>
      <c r="GN49" s="208"/>
      <c r="GO49" s="208"/>
      <c r="GP49" s="213"/>
      <c r="GQ49" s="213"/>
      <c r="GR49" s="213"/>
      <c r="GS49" s="213"/>
      <c r="GT49" s="213"/>
      <c r="GU49" s="213"/>
      <c r="GV49" s="213"/>
      <c r="GW49" s="213"/>
      <c r="GX49" s="213"/>
      <c r="GY49" s="213"/>
      <c r="GZ49" s="213"/>
      <c r="HA49" s="208"/>
      <c r="HB49" s="208"/>
      <c r="HC49" s="213"/>
      <c r="HD49" s="213"/>
      <c r="HE49" s="213"/>
      <c r="HF49" s="213"/>
      <c r="HG49" s="213"/>
      <c r="HH49" s="213"/>
      <c r="HI49" s="213"/>
      <c r="HJ49" s="213"/>
      <c r="HK49" s="213"/>
      <c r="HL49" s="213"/>
      <c r="HM49" s="213"/>
      <c r="HN49" s="208"/>
      <c r="HO49" s="208"/>
      <c r="HP49" s="213"/>
      <c r="HQ49" s="213"/>
      <c r="HR49" s="213"/>
      <c r="HS49" s="213"/>
      <c r="HT49" s="213"/>
      <c r="HU49" s="213"/>
      <c r="HV49" s="213"/>
      <c r="HW49" s="213"/>
      <c r="HX49" s="213"/>
      <c r="HY49" s="213"/>
      <c r="HZ49" s="213"/>
      <c r="IA49" s="208"/>
      <c r="IB49" s="208"/>
      <c r="IC49" s="213"/>
      <c r="ID49" s="213"/>
      <c r="IE49" s="213"/>
      <c r="IF49" s="213"/>
      <c r="IG49" s="213"/>
      <c r="IH49" s="213"/>
      <c r="II49" s="213"/>
      <c r="IJ49" s="213"/>
      <c r="IK49" s="213"/>
      <c r="IL49" s="213"/>
      <c r="IM49" s="213"/>
      <c r="IN49" s="208"/>
      <c r="IO49" s="208"/>
      <c r="IP49" s="213"/>
      <c r="IQ49" s="213"/>
      <c r="IR49" s="213"/>
      <c r="IS49" s="213"/>
      <c r="IT49" s="213"/>
      <c r="IU49" s="213"/>
      <c r="IV49" s="213"/>
    </row>
    <row r="50" spans="1:256" x14ac:dyDescent="0.2">
      <c r="A50" s="219"/>
      <c r="B50" s="220"/>
      <c r="C50" s="282"/>
      <c r="D50" s="282"/>
      <c r="E50" s="282"/>
      <c r="F50" s="282"/>
      <c r="G50" s="282"/>
      <c r="H50" s="282"/>
      <c r="I50" s="282"/>
      <c r="J50" s="282"/>
      <c r="K50" s="282"/>
      <c r="L50" s="282"/>
      <c r="M50" s="283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9"/>
      <c r="B51" s="220"/>
      <c r="C51" s="282"/>
      <c r="D51" s="282"/>
      <c r="E51" s="282"/>
      <c r="F51" s="282"/>
      <c r="G51" s="282"/>
      <c r="H51" s="282"/>
      <c r="I51" s="282"/>
      <c r="J51" s="282"/>
      <c r="K51" s="282"/>
      <c r="L51" s="282"/>
      <c r="M51" s="283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9"/>
      <c r="B52" s="220"/>
      <c r="C52" s="282"/>
      <c r="D52" s="282"/>
      <c r="E52" s="282"/>
      <c r="F52" s="282"/>
      <c r="G52" s="282"/>
      <c r="H52" s="282"/>
      <c r="I52" s="282"/>
      <c r="J52" s="282"/>
      <c r="K52" s="282"/>
      <c r="L52" s="282"/>
      <c r="M52" s="283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9"/>
      <c r="B53" s="220"/>
      <c r="C53" s="282"/>
      <c r="D53" s="282"/>
      <c r="E53" s="282"/>
      <c r="F53" s="282"/>
      <c r="G53" s="282"/>
      <c r="H53" s="282"/>
      <c r="I53" s="282"/>
      <c r="J53" s="282"/>
      <c r="K53" s="282"/>
      <c r="L53" s="282"/>
      <c r="M53" s="283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9"/>
      <c r="B54" s="220"/>
      <c r="C54" s="282"/>
      <c r="D54" s="282"/>
      <c r="E54" s="282"/>
      <c r="F54" s="282"/>
      <c r="G54" s="282"/>
      <c r="H54" s="282"/>
      <c r="I54" s="282"/>
      <c r="J54" s="282"/>
      <c r="K54" s="282"/>
      <c r="L54" s="282"/>
      <c r="M54" s="283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9"/>
      <c r="B55" s="220"/>
      <c r="C55" s="282"/>
      <c r="D55" s="282"/>
      <c r="E55" s="282"/>
      <c r="F55" s="282"/>
      <c r="G55" s="282"/>
      <c r="H55" s="282"/>
      <c r="I55" s="282"/>
      <c r="J55" s="282"/>
      <c r="K55" s="282"/>
      <c r="L55" s="282"/>
      <c r="M55" s="283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9"/>
      <c r="B56" s="220"/>
      <c r="C56" s="282"/>
      <c r="D56" s="282"/>
      <c r="E56" s="282"/>
      <c r="F56" s="282"/>
      <c r="G56" s="282"/>
      <c r="H56" s="282"/>
      <c r="I56" s="282"/>
      <c r="J56" s="282"/>
      <c r="K56" s="282"/>
      <c r="L56" s="282"/>
      <c r="M56" s="283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9"/>
      <c r="B57" s="220"/>
      <c r="C57" s="282"/>
      <c r="D57" s="282"/>
      <c r="E57" s="282"/>
      <c r="F57" s="282"/>
      <c r="G57" s="282"/>
      <c r="H57" s="282"/>
      <c r="I57" s="282"/>
      <c r="J57" s="282"/>
      <c r="K57" s="282"/>
      <c r="L57" s="282"/>
      <c r="M57" s="283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9"/>
      <c r="B58" s="220"/>
      <c r="C58" s="282"/>
      <c r="D58" s="282"/>
      <c r="E58" s="282"/>
      <c r="F58" s="282"/>
      <c r="G58" s="282"/>
      <c r="H58" s="282"/>
      <c r="I58" s="282"/>
      <c r="J58" s="282"/>
      <c r="K58" s="282"/>
      <c r="L58" s="282"/>
      <c r="M58" s="283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9"/>
      <c r="B59" s="220"/>
      <c r="C59" s="282"/>
      <c r="D59" s="282"/>
      <c r="E59" s="282"/>
      <c r="F59" s="282"/>
      <c r="G59" s="282"/>
      <c r="H59" s="282"/>
      <c r="I59" s="282"/>
      <c r="J59" s="282"/>
      <c r="K59" s="282"/>
      <c r="L59" s="282"/>
      <c r="M59" s="283"/>
    </row>
    <row r="60" spans="1:256" x14ac:dyDescent="0.2">
      <c r="A60" s="219"/>
      <c r="B60" s="220"/>
      <c r="C60" s="282"/>
      <c r="D60" s="282"/>
      <c r="E60" s="282"/>
      <c r="F60" s="282"/>
      <c r="G60" s="282"/>
      <c r="H60" s="282"/>
      <c r="I60" s="282"/>
      <c r="J60" s="282"/>
      <c r="K60" s="282"/>
      <c r="L60" s="282"/>
      <c r="M60" s="283"/>
    </row>
    <row r="61" spans="1:256" x14ac:dyDescent="0.2">
      <c r="A61" s="219"/>
      <c r="B61" s="220"/>
      <c r="C61" s="282"/>
      <c r="D61" s="282"/>
      <c r="E61" s="282"/>
      <c r="F61" s="282"/>
      <c r="G61" s="282"/>
      <c r="H61" s="282"/>
      <c r="I61" s="282"/>
      <c r="J61" s="282"/>
      <c r="K61" s="282"/>
      <c r="L61" s="282"/>
      <c r="M61" s="283"/>
    </row>
    <row r="62" spans="1:256" x14ac:dyDescent="0.2">
      <c r="A62" s="219"/>
      <c r="B62" s="220"/>
      <c r="C62" s="282"/>
      <c r="D62" s="282"/>
      <c r="E62" s="282"/>
      <c r="F62" s="282"/>
      <c r="G62" s="282"/>
      <c r="H62" s="282"/>
      <c r="I62" s="282"/>
      <c r="J62" s="282"/>
      <c r="K62" s="282"/>
      <c r="L62" s="282"/>
      <c r="M62" s="283"/>
    </row>
    <row r="63" spans="1:256" x14ac:dyDescent="0.2">
      <c r="A63" s="219"/>
      <c r="B63" s="220"/>
      <c r="C63" s="282"/>
      <c r="D63" s="282"/>
      <c r="E63" s="282"/>
      <c r="F63" s="282"/>
      <c r="G63" s="282"/>
      <c r="H63" s="282"/>
      <c r="I63" s="282"/>
      <c r="J63" s="282"/>
      <c r="K63" s="282"/>
      <c r="L63" s="282"/>
      <c r="M63" s="283"/>
    </row>
    <row r="64" spans="1:256" x14ac:dyDescent="0.2">
      <c r="A64" s="219"/>
      <c r="B64" s="220"/>
      <c r="C64" s="282"/>
      <c r="D64" s="282"/>
      <c r="E64" s="282"/>
      <c r="F64" s="282"/>
      <c r="G64" s="282"/>
      <c r="H64" s="282"/>
      <c r="I64" s="282"/>
      <c r="J64" s="282"/>
      <c r="K64" s="282"/>
      <c r="L64" s="282"/>
      <c r="M64" s="283"/>
    </row>
    <row r="65" spans="1:13" x14ac:dyDescent="0.2">
      <c r="A65" s="219"/>
      <c r="B65" s="220"/>
      <c r="C65" s="282"/>
      <c r="D65" s="282"/>
      <c r="E65" s="282"/>
      <c r="F65" s="282"/>
      <c r="G65" s="282"/>
      <c r="H65" s="282"/>
      <c r="I65" s="282"/>
      <c r="J65" s="282"/>
      <c r="K65" s="282"/>
      <c r="L65" s="282"/>
      <c r="M65" s="283"/>
    </row>
    <row r="66" spans="1:13" x14ac:dyDescent="0.2">
      <c r="A66" s="219"/>
      <c r="B66" s="220"/>
      <c r="C66" s="282"/>
      <c r="D66" s="282"/>
      <c r="E66" s="282"/>
      <c r="F66" s="282"/>
      <c r="G66" s="282"/>
      <c r="H66" s="282"/>
      <c r="I66" s="282"/>
      <c r="J66" s="282"/>
      <c r="K66" s="282"/>
      <c r="L66" s="282"/>
      <c r="M66" s="283"/>
    </row>
    <row r="67" spans="1:13" x14ac:dyDescent="0.2">
      <c r="A67" s="219"/>
      <c r="B67" s="220"/>
      <c r="C67" s="282"/>
      <c r="D67" s="282"/>
      <c r="E67" s="282"/>
      <c r="F67" s="282"/>
      <c r="G67" s="282"/>
      <c r="H67" s="282"/>
      <c r="I67" s="282"/>
      <c r="J67" s="282"/>
      <c r="K67" s="282"/>
      <c r="L67" s="282"/>
      <c r="M67" s="283"/>
    </row>
    <row r="68" spans="1:13" x14ac:dyDescent="0.2">
      <c r="A68" s="219"/>
      <c r="B68" s="220"/>
      <c r="C68" s="282"/>
      <c r="D68" s="282"/>
      <c r="E68" s="282"/>
      <c r="F68" s="282"/>
      <c r="G68" s="282"/>
      <c r="H68" s="282"/>
      <c r="I68" s="282"/>
      <c r="J68" s="282"/>
      <c r="K68" s="282"/>
      <c r="L68" s="282"/>
      <c r="M68" s="283"/>
    </row>
    <row r="69" spans="1:13" x14ac:dyDescent="0.2">
      <c r="A69" s="219"/>
      <c r="B69" s="220"/>
      <c r="C69" s="282"/>
      <c r="D69" s="282"/>
      <c r="E69" s="282"/>
      <c r="F69" s="282"/>
      <c r="G69" s="282"/>
      <c r="H69" s="282"/>
      <c r="I69" s="282"/>
      <c r="J69" s="282"/>
      <c r="K69" s="282"/>
      <c r="L69" s="282"/>
      <c r="M69" s="283"/>
    </row>
    <row r="70" spans="1:13" ht="12" thickBot="1" x14ac:dyDescent="0.25">
      <c r="A70" s="221"/>
      <c r="B70" s="222"/>
      <c r="C70" s="298"/>
      <c r="D70" s="298"/>
      <c r="E70" s="298"/>
      <c r="F70" s="298"/>
      <c r="G70" s="298"/>
      <c r="H70" s="298"/>
      <c r="I70" s="298"/>
      <c r="J70" s="298"/>
      <c r="K70" s="298"/>
      <c r="L70" s="298"/>
      <c r="M70" s="299"/>
    </row>
    <row r="71" spans="1:13" ht="12" thickTop="1" x14ac:dyDescent="0.2">
      <c r="A71" s="209"/>
      <c r="B71" s="209"/>
      <c r="C71" s="210"/>
      <c r="D71" s="210"/>
      <c r="E71" s="210"/>
      <c r="F71" s="210"/>
      <c r="G71" s="210"/>
      <c r="H71" s="210"/>
      <c r="I71" s="210"/>
      <c r="J71" s="210"/>
      <c r="K71" s="210"/>
      <c r="L71" s="210"/>
    </row>
    <row r="72" spans="1:13" ht="12.75" x14ac:dyDescent="0.2">
      <c r="A72" s="300" t="s">
        <v>879</v>
      </c>
      <c r="B72" s="300"/>
      <c r="C72" s="300"/>
      <c r="D72" s="300"/>
      <c r="E72" s="300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1" t="s">
        <v>799</v>
      </c>
      <c r="B73" s="211" t="s">
        <v>800</v>
      </c>
      <c r="C73" s="301"/>
      <c r="D73" s="301"/>
      <c r="E73" s="301"/>
      <c r="F73" s="301"/>
      <c r="G73" s="301"/>
      <c r="H73" s="301"/>
      <c r="I73" s="301"/>
      <c r="J73" s="301"/>
      <c r="K73" s="301"/>
      <c r="L73" s="301"/>
      <c r="M73" s="301"/>
    </row>
    <row r="74" spans="1:13" x14ac:dyDescent="0.2">
      <c r="A74" s="212"/>
      <c r="B74" s="212"/>
      <c r="C74" s="301"/>
      <c r="D74" s="301"/>
      <c r="E74" s="301"/>
      <c r="F74" s="301"/>
      <c r="G74" s="301"/>
      <c r="H74" s="301"/>
      <c r="I74" s="301"/>
      <c r="J74" s="301"/>
      <c r="K74" s="301"/>
      <c r="L74" s="301"/>
      <c r="M74" s="301"/>
    </row>
    <row r="75" spans="1:13" x14ac:dyDescent="0.2">
      <c r="A75" s="212"/>
      <c r="B75" s="212"/>
      <c r="C75" s="301"/>
      <c r="D75" s="301"/>
      <c r="E75" s="301"/>
      <c r="F75" s="301"/>
      <c r="G75" s="301"/>
      <c r="H75" s="301"/>
      <c r="I75" s="301"/>
      <c r="J75" s="301"/>
      <c r="K75" s="301"/>
      <c r="L75" s="301"/>
      <c r="M75" s="301"/>
    </row>
    <row r="76" spans="1:13" x14ac:dyDescent="0.2">
      <c r="A76" s="212"/>
      <c r="B76" s="212"/>
      <c r="C76" s="301"/>
      <c r="D76" s="301"/>
      <c r="E76" s="301"/>
      <c r="F76" s="301"/>
      <c r="G76" s="301"/>
      <c r="H76" s="301"/>
      <c r="I76" s="301"/>
      <c r="J76" s="301"/>
      <c r="K76" s="301"/>
      <c r="L76" s="301"/>
      <c r="M76" s="301"/>
    </row>
    <row r="77" spans="1:13" x14ac:dyDescent="0.2">
      <c r="A77" s="212"/>
      <c r="B77" s="212"/>
      <c r="C77" s="301"/>
      <c r="D77" s="301"/>
      <c r="E77" s="301"/>
      <c r="F77" s="301"/>
      <c r="G77" s="301"/>
      <c r="H77" s="301"/>
      <c r="I77" s="301"/>
      <c r="J77" s="301"/>
      <c r="K77" s="301"/>
      <c r="L77" s="301"/>
      <c r="M77" s="301"/>
    </row>
    <row r="78" spans="1:13" x14ac:dyDescent="0.2">
      <c r="A78" s="212"/>
      <c r="B78" s="212"/>
      <c r="C78" s="301"/>
      <c r="D78" s="301"/>
      <c r="E78" s="301"/>
      <c r="F78" s="301"/>
      <c r="G78" s="301"/>
      <c r="H78" s="301"/>
      <c r="I78" s="301"/>
      <c r="J78" s="301"/>
      <c r="K78" s="301"/>
      <c r="L78" s="301"/>
      <c r="M78" s="301"/>
    </row>
    <row r="79" spans="1:13" x14ac:dyDescent="0.2">
      <c r="A79" s="212"/>
      <c r="B79" s="212"/>
      <c r="C79" s="301"/>
      <c r="D79" s="301"/>
      <c r="E79" s="301"/>
      <c r="F79" s="301"/>
      <c r="G79" s="301"/>
      <c r="H79" s="301"/>
      <c r="I79" s="301"/>
      <c r="J79" s="301"/>
      <c r="K79" s="301"/>
      <c r="L79" s="301"/>
      <c r="M79" s="301"/>
    </row>
    <row r="80" spans="1:13" x14ac:dyDescent="0.2">
      <c r="A80" s="212"/>
      <c r="B80" s="212"/>
      <c r="C80" s="301"/>
      <c r="D80" s="301"/>
      <c r="E80" s="301"/>
      <c r="F80" s="301"/>
      <c r="G80" s="301"/>
      <c r="H80" s="301"/>
      <c r="I80" s="301"/>
      <c r="J80" s="301"/>
      <c r="K80" s="301"/>
      <c r="L80" s="301"/>
      <c r="M80" s="301"/>
    </row>
    <row r="81" spans="1:13" x14ac:dyDescent="0.2">
      <c r="A81" s="212"/>
      <c r="B81" s="212"/>
      <c r="C81" s="301"/>
      <c r="D81" s="301"/>
      <c r="E81" s="301"/>
      <c r="F81" s="301"/>
      <c r="G81" s="301"/>
      <c r="H81" s="301"/>
      <c r="I81" s="301"/>
      <c r="J81" s="301"/>
      <c r="K81" s="301"/>
      <c r="L81" s="301"/>
      <c r="M81" s="301"/>
    </row>
    <row r="82" spans="1:13" x14ac:dyDescent="0.2">
      <c r="A82" s="212"/>
      <c r="B82" s="212"/>
      <c r="C82" s="301"/>
      <c r="D82" s="301"/>
      <c r="E82" s="301"/>
      <c r="F82" s="301"/>
      <c r="G82" s="301"/>
      <c r="H82" s="301"/>
      <c r="I82" s="301"/>
      <c r="J82" s="301"/>
      <c r="K82" s="301"/>
      <c r="L82" s="301"/>
      <c r="M82" s="301"/>
    </row>
    <row r="83" spans="1:13" x14ac:dyDescent="0.2">
      <c r="A83" s="212"/>
      <c r="B83" s="212"/>
      <c r="C83" s="301"/>
      <c r="D83" s="301"/>
      <c r="E83" s="301"/>
      <c r="F83" s="301"/>
      <c r="G83" s="301"/>
      <c r="H83" s="301"/>
      <c r="I83" s="301"/>
      <c r="J83" s="301"/>
      <c r="K83" s="301"/>
      <c r="L83" s="301"/>
      <c r="M83" s="301"/>
    </row>
    <row r="84" spans="1:13" x14ac:dyDescent="0.2">
      <c r="A84" s="212"/>
      <c r="B84" s="212"/>
      <c r="C84" s="301"/>
      <c r="D84" s="301"/>
      <c r="E84" s="301"/>
      <c r="F84" s="301"/>
      <c r="G84" s="301"/>
      <c r="H84" s="301"/>
      <c r="I84" s="301"/>
      <c r="J84" s="301"/>
      <c r="K84" s="301"/>
      <c r="L84" s="301"/>
      <c r="M84" s="301"/>
    </row>
    <row r="85" spans="1:13" x14ac:dyDescent="0.2">
      <c r="A85" s="212"/>
      <c r="B85" s="212"/>
      <c r="C85" s="301"/>
      <c r="D85" s="301"/>
      <c r="E85" s="301"/>
      <c r="F85" s="301"/>
      <c r="G85" s="301"/>
      <c r="H85" s="301"/>
      <c r="I85" s="301"/>
      <c r="J85" s="301"/>
      <c r="K85" s="301"/>
      <c r="L85" s="301"/>
      <c r="M85" s="301"/>
    </row>
    <row r="86" spans="1:13" x14ac:dyDescent="0.2">
      <c r="A86" s="212"/>
      <c r="B86" s="212"/>
      <c r="C86" s="301"/>
      <c r="D86" s="301"/>
      <c r="E86" s="301"/>
      <c r="F86" s="301"/>
      <c r="G86" s="301"/>
      <c r="H86" s="301"/>
      <c r="I86" s="301"/>
      <c r="J86" s="301"/>
      <c r="K86" s="301"/>
      <c r="L86" s="301"/>
      <c r="M86" s="301"/>
    </row>
    <row r="87" spans="1:13" x14ac:dyDescent="0.2">
      <c r="A87" s="212"/>
      <c r="B87" s="212"/>
      <c r="C87" s="301"/>
      <c r="D87" s="301"/>
      <c r="E87" s="301"/>
      <c r="F87" s="301"/>
      <c r="G87" s="301"/>
      <c r="H87" s="301"/>
      <c r="I87" s="301"/>
      <c r="J87" s="301"/>
      <c r="K87" s="301"/>
      <c r="L87" s="301"/>
      <c r="M87" s="301"/>
    </row>
    <row r="88" spans="1:13" x14ac:dyDescent="0.2">
      <c r="A88" s="212"/>
      <c r="B88" s="212"/>
      <c r="C88" s="301"/>
      <c r="D88" s="301"/>
      <c r="E88" s="301"/>
      <c r="F88" s="301"/>
      <c r="G88" s="301"/>
      <c r="H88" s="301"/>
      <c r="I88" s="301"/>
      <c r="J88" s="301"/>
      <c r="K88" s="301"/>
      <c r="L88" s="301"/>
      <c r="M88" s="301"/>
    </row>
    <row r="89" spans="1:13" x14ac:dyDescent="0.2">
      <c r="A89" s="212"/>
      <c r="B89" s="212"/>
      <c r="C89" s="301"/>
      <c r="D89" s="301"/>
      <c r="E89" s="301"/>
      <c r="F89" s="301"/>
      <c r="G89" s="301"/>
      <c r="H89" s="301"/>
      <c r="I89" s="301"/>
      <c r="J89" s="301"/>
      <c r="K89" s="301"/>
      <c r="L89" s="301"/>
      <c r="M89" s="301"/>
    </row>
    <row r="90" spans="1:13" x14ac:dyDescent="0.2">
      <c r="A90" s="212"/>
      <c r="B90" s="212"/>
      <c r="C90" s="301"/>
      <c r="D90" s="301"/>
      <c r="E90" s="301"/>
      <c r="F90" s="301"/>
      <c r="G90" s="301"/>
      <c r="H90" s="301"/>
      <c r="I90" s="301"/>
      <c r="J90" s="301"/>
      <c r="K90" s="301"/>
      <c r="L90" s="301"/>
      <c r="M90" s="301"/>
    </row>
  </sheetData>
  <sheetProtection password="B30A" sheet="1" objects="1" scenarios="1"/>
  <mergeCells count="223">
    <mergeCell ref="C24:M24"/>
    <mergeCell ref="C87:M87"/>
    <mergeCell ref="C88:M88"/>
    <mergeCell ref="C89:M89"/>
    <mergeCell ref="C90:M90"/>
    <mergeCell ref="C83:M83"/>
    <mergeCell ref="C84:M84"/>
    <mergeCell ref="C85:M85"/>
    <mergeCell ref="C86:M86"/>
    <mergeCell ref="C79:M79"/>
    <mergeCell ref="C80:M80"/>
    <mergeCell ref="C81:M81"/>
    <mergeCell ref="C82:M82"/>
    <mergeCell ref="C75:M75"/>
    <mergeCell ref="C76:M76"/>
    <mergeCell ref="C77:M77"/>
    <mergeCell ref="C78:M78"/>
    <mergeCell ref="C70:M70"/>
    <mergeCell ref="A72:E72"/>
    <mergeCell ref="C73:M73"/>
    <mergeCell ref="C74:M74"/>
    <mergeCell ref="C66:M66"/>
    <mergeCell ref="C67:M67"/>
    <mergeCell ref="C68:M68"/>
    <mergeCell ref="C69:M69"/>
    <mergeCell ref="C15:M15"/>
    <mergeCell ref="C20:M20"/>
    <mergeCell ref="C29:M29"/>
    <mergeCell ref="C25:M25"/>
    <mergeCell ref="C26:M26"/>
    <mergeCell ref="C27:M27"/>
    <mergeCell ref="C28:M28"/>
    <mergeCell ref="C21:M21"/>
    <mergeCell ref="C22:M22"/>
    <mergeCell ref="C23:M23"/>
    <mergeCell ref="C62:M62"/>
    <mergeCell ref="C63:M63"/>
    <mergeCell ref="C64:M64"/>
    <mergeCell ref="C65:M65"/>
    <mergeCell ref="C34:M34"/>
    <mergeCell ref="C35:M35"/>
    <mergeCell ref="C36:M36"/>
    <mergeCell ref="A2:E2"/>
    <mergeCell ref="A1:I1"/>
    <mergeCell ref="C3:M3"/>
    <mergeCell ref="C4:M4"/>
    <mergeCell ref="F2:I2"/>
    <mergeCell ref="C19:M19"/>
    <mergeCell ref="C9:M9"/>
    <mergeCell ref="C10:M10"/>
    <mergeCell ref="C11:M11"/>
    <mergeCell ref="C12:M12"/>
    <mergeCell ref="P32:Z32"/>
    <mergeCell ref="C5:M5"/>
    <mergeCell ref="C6:M6"/>
    <mergeCell ref="C7:M7"/>
    <mergeCell ref="C8:M8"/>
    <mergeCell ref="C16:M16"/>
    <mergeCell ref="C17:M17"/>
    <mergeCell ref="C18:M18"/>
    <mergeCell ref="C13:M13"/>
    <mergeCell ref="C14:M14"/>
    <mergeCell ref="C32:M32"/>
    <mergeCell ref="C30:M30"/>
    <mergeCell ref="C31:M31"/>
    <mergeCell ref="FP29:FZ29"/>
    <mergeCell ref="GC29:GM29"/>
    <mergeCell ref="GP29:GZ29"/>
    <mergeCell ref="BC29:BM29"/>
    <mergeCell ref="BP29:BZ29"/>
    <mergeCell ref="CC29:CM29"/>
    <mergeCell ref="CP29:CZ29"/>
    <mergeCell ref="HP29:HZ29"/>
    <mergeCell ref="IC29:IM29"/>
    <mergeCell ref="IP29:IV29"/>
    <mergeCell ref="C33:M33"/>
    <mergeCell ref="EC29:EM29"/>
    <mergeCell ref="EP29:EZ29"/>
    <mergeCell ref="FC29:FM29"/>
    <mergeCell ref="P29:Z29"/>
    <mergeCell ref="AC29:AM29"/>
    <mergeCell ref="AP29:AZ29"/>
    <mergeCell ref="BC38:BM38"/>
    <mergeCell ref="P30:Z30"/>
    <mergeCell ref="AC30:AM30"/>
    <mergeCell ref="AP30:AZ30"/>
    <mergeCell ref="P31:Z31"/>
    <mergeCell ref="HC29:HM29"/>
    <mergeCell ref="DC29:DM29"/>
    <mergeCell ref="DP29:DZ29"/>
    <mergeCell ref="AC31:AM31"/>
    <mergeCell ref="AP31:AZ31"/>
    <mergeCell ref="EP30:EZ30"/>
    <mergeCell ref="C37:M37"/>
    <mergeCell ref="C38:M38"/>
    <mergeCell ref="C39:M39"/>
    <mergeCell ref="C40:M40"/>
    <mergeCell ref="BC30:BM30"/>
    <mergeCell ref="BP30:BZ30"/>
    <mergeCell ref="P40:Z40"/>
    <mergeCell ref="AC40:AM40"/>
    <mergeCell ref="BP32:BZ32"/>
    <mergeCell ref="BP38:BZ38"/>
    <mergeCell ref="CC31:CM31"/>
    <mergeCell ref="CP31:CZ31"/>
    <mergeCell ref="DC31:DM31"/>
    <mergeCell ref="FC30:FM30"/>
    <mergeCell ref="CC30:CM30"/>
    <mergeCell ref="CP30:CZ30"/>
    <mergeCell ref="DC30:DM30"/>
    <mergeCell ref="DP30:DZ30"/>
    <mergeCell ref="EC30:EM30"/>
    <mergeCell ref="IC30:IM30"/>
    <mergeCell ref="IP30:IV30"/>
    <mergeCell ref="FP30:FZ30"/>
    <mergeCell ref="GC30:GM30"/>
    <mergeCell ref="GP30:GZ30"/>
    <mergeCell ref="HC30:HM30"/>
    <mergeCell ref="HP30:HZ30"/>
    <mergeCell ref="HP32:HZ32"/>
    <mergeCell ref="IC32:IM32"/>
    <mergeCell ref="IP32:IV32"/>
    <mergeCell ref="FC32:FM32"/>
    <mergeCell ref="GP32:GZ32"/>
    <mergeCell ref="FP31:FZ31"/>
    <mergeCell ref="GC31:GM31"/>
    <mergeCell ref="IP31:IV31"/>
    <mergeCell ref="HC31:HM31"/>
    <mergeCell ref="HP31:HZ31"/>
    <mergeCell ref="IC31:IM31"/>
    <mergeCell ref="DP31:DZ31"/>
    <mergeCell ref="EC31:EM31"/>
    <mergeCell ref="EP31:EZ31"/>
    <mergeCell ref="FC31:FM31"/>
    <mergeCell ref="CC38:CM38"/>
    <mergeCell ref="CC32:CM32"/>
    <mergeCell ref="CP38:CZ38"/>
    <mergeCell ref="AC32:AM32"/>
    <mergeCell ref="AP32:AZ32"/>
    <mergeCell ref="GP31:GZ31"/>
    <mergeCell ref="CP32:CZ32"/>
    <mergeCell ref="BC31:BM31"/>
    <mergeCell ref="BC32:BM32"/>
    <mergeCell ref="BP31:BZ31"/>
    <mergeCell ref="P38:Z38"/>
    <mergeCell ref="AC38:AM38"/>
    <mergeCell ref="AP38:AZ38"/>
    <mergeCell ref="HC32:HM32"/>
    <mergeCell ref="DC32:DM32"/>
    <mergeCell ref="DP32:DZ32"/>
    <mergeCell ref="EC32:EM32"/>
    <mergeCell ref="EP32:EZ32"/>
    <mergeCell ref="FP32:FZ32"/>
    <mergeCell ref="GC32:GM32"/>
    <mergeCell ref="IP38:IV38"/>
    <mergeCell ref="DC38:DM38"/>
    <mergeCell ref="DP38:DZ38"/>
    <mergeCell ref="EC38:EM38"/>
    <mergeCell ref="EP38:EZ38"/>
    <mergeCell ref="FC38:FM38"/>
    <mergeCell ref="FP38:FZ38"/>
    <mergeCell ref="GC38:GM38"/>
    <mergeCell ref="GP38:GZ38"/>
    <mergeCell ref="HC38:HM38"/>
    <mergeCell ref="HP38:HZ38"/>
    <mergeCell ref="IP39:IV39"/>
    <mergeCell ref="EP39:EZ39"/>
    <mergeCell ref="FC39:FM39"/>
    <mergeCell ref="FP39:FZ39"/>
    <mergeCell ref="GP39:GZ39"/>
    <mergeCell ref="IC39:IM39"/>
    <mergeCell ref="HC39:HM39"/>
    <mergeCell ref="IC38:IM38"/>
    <mergeCell ref="HP39:HZ39"/>
    <mergeCell ref="CP39:CZ39"/>
    <mergeCell ref="BP39:BZ39"/>
    <mergeCell ref="CC39:CM39"/>
    <mergeCell ref="DC39:DM39"/>
    <mergeCell ref="DP39:DZ39"/>
    <mergeCell ref="EC39:EM39"/>
    <mergeCell ref="GC39:GM39"/>
    <mergeCell ref="DC40:DM40"/>
    <mergeCell ref="EP40:EZ40"/>
    <mergeCell ref="DP40:DZ40"/>
    <mergeCell ref="P39:Z39"/>
    <mergeCell ref="AC39:AM39"/>
    <mergeCell ref="AP39:AZ39"/>
    <mergeCell ref="BC39:BM39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FP40:FZ40"/>
    <mergeCell ref="BC40:BM40"/>
    <mergeCell ref="C43:M43"/>
    <mergeCell ref="IC40:IM40"/>
    <mergeCell ref="AP40:AZ40"/>
    <mergeCell ref="C42:M42"/>
    <mergeCell ref="C41:M41"/>
    <mergeCell ref="IP40:IV40"/>
    <mergeCell ref="BP40:BZ40"/>
    <mergeCell ref="FC40:FM40"/>
    <mergeCell ref="CC40:CM40"/>
    <mergeCell ref="CP40:CZ40"/>
    <mergeCell ref="C52:M52"/>
    <mergeCell ref="C50:M50"/>
    <mergeCell ref="C47:M47"/>
    <mergeCell ref="C48:M48"/>
    <mergeCell ref="C49:M49"/>
    <mergeCell ref="C51:M51"/>
    <mergeCell ref="C61:M61"/>
    <mergeCell ref="C53:M53"/>
    <mergeCell ref="C54:M54"/>
    <mergeCell ref="C55:M55"/>
    <mergeCell ref="C56:M56"/>
    <mergeCell ref="C57:M57"/>
    <mergeCell ref="C59:M59"/>
    <mergeCell ref="C60:M60"/>
    <mergeCell ref="C58:M58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DOE25!Print_Area</vt:lpstr>
      <vt:lpstr>'Indirect Cost Rate'!Print_Area</vt:lpstr>
      <vt:lpstr>'Salaries-Benefits'!Print_Area</vt:lpstr>
      <vt:lpstr>DOE25!Print_Titles</vt:lpstr>
    </vt:vector>
  </TitlesOfParts>
  <Company>N H Department of Education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Eaton, Brian</cp:lastModifiedBy>
  <cp:lastPrinted>2011-09-08T12:33:18Z</cp:lastPrinted>
  <dcterms:created xsi:type="dcterms:W3CDTF">1997-12-04T19:04:30Z</dcterms:created>
  <dcterms:modified xsi:type="dcterms:W3CDTF">2025-01-09T20:35:53Z</dcterms:modified>
</cp:coreProperties>
</file>