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E4C2AFA6-8083-4E3C-983B-063553295A19}" xr6:coauthVersionLast="47" xr6:coauthVersionMax="47" xr10:uidLastSave="{00000000-0000-0000-0000-000000000000}"/>
  <workbookProtection workbookPassword="B30A" lockStructure="1"/>
  <bookViews>
    <workbookView xWindow="28680" yWindow="-120" windowWidth="29040" windowHeight="15990" tabRatio="855" xr2:uid="{783B412E-AB8A-4C72-B139-F339464B7659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55" i="1" l="1"/>
  <c r="C12" i="12"/>
  <c r="B12" i="12"/>
  <c r="G225" i="1"/>
  <c r="G239" i="1" s="1"/>
  <c r="F225" i="1"/>
  <c r="L225" i="1" s="1"/>
  <c r="H458" i="1"/>
  <c r="H460" i="1" s="1"/>
  <c r="H466" i="1" s="1"/>
  <c r="H614" i="1" s="1"/>
  <c r="H142" i="1"/>
  <c r="H154" i="1" s="1"/>
  <c r="H161" i="1" s="1"/>
  <c r="H146" i="1"/>
  <c r="F458" i="1"/>
  <c r="F49" i="1"/>
  <c r="H41" i="1"/>
  <c r="H43" i="1" s="1"/>
  <c r="H9" i="1"/>
  <c r="I210" i="1"/>
  <c r="G210" i="1"/>
  <c r="F210" i="1"/>
  <c r="I208" i="1"/>
  <c r="G208" i="1"/>
  <c r="G221" i="1" s="1"/>
  <c r="F208" i="1"/>
  <c r="L208" i="1" s="1"/>
  <c r="C39" i="12"/>
  <c r="C38" i="12"/>
  <c r="C37" i="12"/>
  <c r="B39" i="12"/>
  <c r="B37" i="12"/>
  <c r="B40" i="12" s="1"/>
  <c r="B38" i="12"/>
  <c r="C29" i="12"/>
  <c r="C28" i="12"/>
  <c r="B29" i="12"/>
  <c r="B28" i="12"/>
  <c r="B31" i="12" s="1"/>
  <c r="C21" i="12"/>
  <c r="C20" i="12"/>
  <c r="C19" i="12"/>
  <c r="B21" i="12"/>
  <c r="B20" i="12"/>
  <c r="B19" i="12"/>
  <c r="C10" i="12"/>
  <c r="C13" i="12" s="1"/>
  <c r="C11" i="12"/>
  <c r="F655" i="1"/>
  <c r="G41" i="1"/>
  <c r="G9" i="1"/>
  <c r="J207" i="1"/>
  <c r="H189" i="1"/>
  <c r="H203" i="1" s="1"/>
  <c r="H249" i="1" s="1"/>
  <c r="H263" i="1" s="1"/>
  <c r="F462" i="1"/>
  <c r="F464" i="1" s="1"/>
  <c r="H462" i="1"/>
  <c r="H623" i="1" s="1"/>
  <c r="I190" i="1"/>
  <c r="J189" i="1"/>
  <c r="I189" i="1"/>
  <c r="J268" i="1"/>
  <c r="J282" i="1" s="1"/>
  <c r="I307" i="1"/>
  <c r="J306" i="1"/>
  <c r="I306" i="1"/>
  <c r="H306" i="1"/>
  <c r="I288" i="1"/>
  <c r="J287" i="1"/>
  <c r="J301" i="1" s="1"/>
  <c r="I269" i="1"/>
  <c r="I268" i="1"/>
  <c r="I282" i="1" s="1"/>
  <c r="G462" i="1"/>
  <c r="G458" i="1"/>
  <c r="G230" i="1"/>
  <c r="J594" i="1"/>
  <c r="K594" i="1" s="1"/>
  <c r="K595" i="1" s="1"/>
  <c r="G638" i="1" s="1"/>
  <c r="I594" i="1"/>
  <c r="H594" i="1"/>
  <c r="J581" i="1"/>
  <c r="H581" i="1"/>
  <c r="I582" i="1"/>
  <c r="I588" i="1" s="1"/>
  <c r="H640" i="1" s="1"/>
  <c r="J640" i="1" s="1"/>
  <c r="H582" i="1"/>
  <c r="K582" i="1" s="1"/>
  <c r="I587" i="1"/>
  <c r="H587" i="1"/>
  <c r="J585" i="1"/>
  <c r="I585" i="1"/>
  <c r="H585" i="1"/>
  <c r="H584" i="1"/>
  <c r="K584" i="1" s="1"/>
  <c r="J584" i="1"/>
  <c r="I584" i="1"/>
  <c r="J582" i="1"/>
  <c r="I581" i="1"/>
  <c r="H572" i="1"/>
  <c r="H653" i="1" s="1"/>
  <c r="G572" i="1"/>
  <c r="G568" i="1"/>
  <c r="I568" i="1" s="1"/>
  <c r="F572" i="1"/>
  <c r="H565" i="1"/>
  <c r="H569" i="1"/>
  <c r="G569" i="1"/>
  <c r="F569" i="1"/>
  <c r="I569" i="1" s="1"/>
  <c r="H549" i="1"/>
  <c r="I547" i="1"/>
  <c r="H547" i="1"/>
  <c r="G547" i="1"/>
  <c r="F547" i="1"/>
  <c r="F550" i="1" s="1"/>
  <c r="F561" i="1" s="1"/>
  <c r="I513" i="1"/>
  <c r="I512" i="1"/>
  <c r="G512" i="1"/>
  <c r="L512" i="1" s="1"/>
  <c r="F540" i="1" s="1"/>
  <c r="F512" i="1"/>
  <c r="G516" i="1"/>
  <c r="F516" i="1"/>
  <c r="G511" i="1"/>
  <c r="G514" i="1" s="1"/>
  <c r="G535" i="1" s="1"/>
  <c r="F511" i="1"/>
  <c r="I511" i="1"/>
  <c r="H511" i="1"/>
  <c r="G518" i="1"/>
  <c r="G517" i="1"/>
  <c r="G519" i="1" s="1"/>
  <c r="F518" i="1"/>
  <c r="L518" i="1" s="1"/>
  <c r="G541" i="1" s="1"/>
  <c r="K541" i="1" s="1"/>
  <c r="F517" i="1"/>
  <c r="L517" i="1" s="1"/>
  <c r="G540" i="1" s="1"/>
  <c r="H518" i="1"/>
  <c r="H519" i="1" s="1"/>
  <c r="H517" i="1"/>
  <c r="H516" i="1"/>
  <c r="J513" i="1"/>
  <c r="J512" i="1"/>
  <c r="J514" i="1" s="1"/>
  <c r="J535" i="1" s="1"/>
  <c r="J511" i="1"/>
  <c r="G513" i="1"/>
  <c r="F513" i="1"/>
  <c r="H533" i="1"/>
  <c r="G533" i="1"/>
  <c r="F533" i="1"/>
  <c r="J518" i="1"/>
  <c r="I518" i="1"/>
  <c r="H513" i="1"/>
  <c r="G532" i="1"/>
  <c r="F532" i="1"/>
  <c r="H512" i="1"/>
  <c r="H514" i="1" s="1"/>
  <c r="H535" i="1" s="1"/>
  <c r="H531" i="1"/>
  <c r="G531" i="1"/>
  <c r="F531" i="1"/>
  <c r="K523" i="1"/>
  <c r="K522" i="1"/>
  <c r="K521" i="1"/>
  <c r="K524" i="1" s="1"/>
  <c r="J523" i="1"/>
  <c r="J522" i="1"/>
  <c r="J521" i="1"/>
  <c r="I523" i="1"/>
  <c r="I522" i="1"/>
  <c r="I521" i="1"/>
  <c r="I524" i="1" s="1"/>
  <c r="H523" i="1"/>
  <c r="H522" i="1"/>
  <c r="H521" i="1"/>
  <c r="G523" i="1"/>
  <c r="G522" i="1"/>
  <c r="L522" i="1" s="1"/>
  <c r="H540" i="1" s="1"/>
  <c r="G521" i="1"/>
  <c r="F521" i="1"/>
  <c r="F524" i="1" s="1"/>
  <c r="J517" i="1"/>
  <c r="J519" i="1" s="1"/>
  <c r="J516" i="1"/>
  <c r="I517" i="1"/>
  <c r="I516" i="1"/>
  <c r="K518" i="1"/>
  <c r="K519" i="1" s="1"/>
  <c r="K517" i="1"/>
  <c r="K516" i="1"/>
  <c r="G497" i="1"/>
  <c r="H488" i="1"/>
  <c r="G236" i="1"/>
  <c r="G235" i="1"/>
  <c r="L235" i="1" s="1"/>
  <c r="G234" i="1"/>
  <c r="G233" i="1"/>
  <c r="L233" i="1" s="1"/>
  <c r="G232" i="1"/>
  <c r="G231" i="1"/>
  <c r="G228" i="1"/>
  <c r="G227" i="1"/>
  <c r="L227" i="1" s="1"/>
  <c r="G226" i="1"/>
  <c r="L226" i="1" s="1"/>
  <c r="G218" i="1"/>
  <c r="G217" i="1"/>
  <c r="G216" i="1"/>
  <c r="G215" i="1"/>
  <c r="G214" i="1"/>
  <c r="G213" i="1"/>
  <c r="L213" i="1" s="1"/>
  <c r="G212" i="1"/>
  <c r="G207" i="1"/>
  <c r="G200" i="1"/>
  <c r="G199" i="1"/>
  <c r="G198" i="1"/>
  <c r="G203" i="1" s="1"/>
  <c r="G249" i="1" s="1"/>
  <c r="G263" i="1" s="1"/>
  <c r="G197" i="1"/>
  <c r="G196" i="1"/>
  <c r="G195" i="1"/>
  <c r="G194" i="1"/>
  <c r="G192" i="1"/>
  <c r="L192" i="1" s="1"/>
  <c r="G190" i="1"/>
  <c r="G189" i="1"/>
  <c r="C9" i="12" s="1"/>
  <c r="H236" i="1"/>
  <c r="H235" i="1"/>
  <c r="I235" i="1"/>
  <c r="H234" i="1"/>
  <c r="H232" i="1"/>
  <c r="L232" i="1" s="1"/>
  <c r="C17" i="10" s="1"/>
  <c r="H228" i="1"/>
  <c r="H218" i="1"/>
  <c r="I217" i="1"/>
  <c r="H216" i="1"/>
  <c r="H214" i="1"/>
  <c r="H210" i="1"/>
  <c r="L210" i="1" s="1"/>
  <c r="I199" i="1"/>
  <c r="H199" i="1"/>
  <c r="H200" i="1"/>
  <c r="H198" i="1"/>
  <c r="H196" i="1"/>
  <c r="H192" i="1"/>
  <c r="K308" i="1"/>
  <c r="K269" i="1"/>
  <c r="K290" i="1"/>
  <c r="K271" i="1"/>
  <c r="F232" i="1"/>
  <c r="F214" i="1"/>
  <c r="F196" i="1"/>
  <c r="F190" i="1"/>
  <c r="B18" i="12" s="1"/>
  <c r="A22" i="12" s="1"/>
  <c r="F189" i="1"/>
  <c r="F197" i="1"/>
  <c r="F212" i="1"/>
  <c r="F207" i="1"/>
  <c r="F221" i="1" s="1"/>
  <c r="F235" i="1"/>
  <c r="F233" i="1"/>
  <c r="F230" i="1"/>
  <c r="F227" i="1"/>
  <c r="I311" i="1"/>
  <c r="I320" i="1" s="1"/>
  <c r="H311" i="1"/>
  <c r="H320" i="1" s="1"/>
  <c r="K309" i="1"/>
  <c r="L309" i="1" s="1"/>
  <c r="J308" i="1"/>
  <c r="J320" i="1" s="1"/>
  <c r="I308" i="1"/>
  <c r="H308" i="1"/>
  <c r="G308" i="1"/>
  <c r="F308" i="1"/>
  <c r="F320" i="1" s="1"/>
  <c r="J307" i="1"/>
  <c r="G306" i="1"/>
  <c r="F306" i="1"/>
  <c r="H317" i="1"/>
  <c r="H312" i="1"/>
  <c r="L312" i="1" s="1"/>
  <c r="G311" i="1"/>
  <c r="F311" i="1"/>
  <c r="L311" i="1" s="1"/>
  <c r="G307" i="1"/>
  <c r="F307" i="1"/>
  <c r="G288" i="1"/>
  <c r="F288" i="1"/>
  <c r="I287" i="1"/>
  <c r="I301" i="1" s="1"/>
  <c r="G287" i="1"/>
  <c r="F287" i="1"/>
  <c r="H298" i="1"/>
  <c r="H293" i="1"/>
  <c r="G292" i="1"/>
  <c r="G301" i="1" s="1"/>
  <c r="F292" i="1"/>
  <c r="F301" i="1" s="1"/>
  <c r="H292" i="1"/>
  <c r="I290" i="1"/>
  <c r="L290" i="1" s="1"/>
  <c r="H290" i="1"/>
  <c r="G290" i="1"/>
  <c r="F290" i="1"/>
  <c r="J288" i="1"/>
  <c r="L288" i="1" s="1"/>
  <c r="E102" i="2" s="1"/>
  <c r="H287" i="1"/>
  <c r="H273" i="1"/>
  <c r="G273" i="1"/>
  <c r="F273" i="1"/>
  <c r="G269" i="1"/>
  <c r="F269" i="1"/>
  <c r="F282" i="1" s="1"/>
  <c r="I279" i="1"/>
  <c r="H279" i="1"/>
  <c r="H282" i="1" s="1"/>
  <c r="H274" i="1"/>
  <c r="H269" i="1"/>
  <c r="H268" i="1"/>
  <c r="G268" i="1"/>
  <c r="L268" i="1" s="1"/>
  <c r="F268" i="1"/>
  <c r="I271" i="1"/>
  <c r="H271" i="1"/>
  <c r="G271" i="1"/>
  <c r="F271" i="1"/>
  <c r="B36" i="12" s="1"/>
  <c r="J269" i="1"/>
  <c r="F236" i="1"/>
  <c r="K233" i="1"/>
  <c r="J233" i="1"/>
  <c r="I233" i="1"/>
  <c r="H233" i="1"/>
  <c r="K232" i="1"/>
  <c r="I232" i="1"/>
  <c r="K231" i="1"/>
  <c r="J231" i="1"/>
  <c r="I231" i="1"/>
  <c r="H231" i="1"/>
  <c r="F231" i="1"/>
  <c r="L231" i="1" s="1"/>
  <c r="K230" i="1"/>
  <c r="K239" i="1" s="1"/>
  <c r="J230" i="1"/>
  <c r="L230" i="1" s="1"/>
  <c r="I230" i="1"/>
  <c r="H230" i="1"/>
  <c r="K228" i="1"/>
  <c r="J228" i="1"/>
  <c r="L228" i="1" s="1"/>
  <c r="I228" i="1"/>
  <c r="F228" i="1"/>
  <c r="J227" i="1"/>
  <c r="I227" i="1"/>
  <c r="H227" i="1"/>
  <c r="J226" i="1"/>
  <c r="I226" i="1"/>
  <c r="H226" i="1"/>
  <c r="H239" i="1" s="1"/>
  <c r="F226" i="1"/>
  <c r="K225" i="1"/>
  <c r="J225" i="1"/>
  <c r="F5" i="13" s="1"/>
  <c r="I225" i="1"/>
  <c r="H225" i="1"/>
  <c r="F218" i="1"/>
  <c r="J217" i="1"/>
  <c r="H217" i="1"/>
  <c r="F217" i="1"/>
  <c r="K215" i="1"/>
  <c r="I215" i="1"/>
  <c r="F215" i="1"/>
  <c r="K213" i="1"/>
  <c r="I213" i="1"/>
  <c r="H213" i="1"/>
  <c r="H221" i="1" s="1"/>
  <c r="F213" i="1"/>
  <c r="K212" i="1"/>
  <c r="I212" i="1"/>
  <c r="H212" i="1"/>
  <c r="K210" i="1"/>
  <c r="J208" i="1"/>
  <c r="H208" i="1"/>
  <c r="K207" i="1"/>
  <c r="G5" i="13" s="1"/>
  <c r="I207" i="1"/>
  <c r="H207" i="1"/>
  <c r="F200" i="1"/>
  <c r="F199" i="1"/>
  <c r="F203" i="1" s="1"/>
  <c r="I197" i="1"/>
  <c r="K197" i="1"/>
  <c r="H197" i="1"/>
  <c r="I196" i="1"/>
  <c r="K195" i="1"/>
  <c r="G7" i="13" s="1"/>
  <c r="I195" i="1"/>
  <c r="I203" i="1" s="1"/>
  <c r="I249" i="1" s="1"/>
  <c r="I263" i="1" s="1"/>
  <c r="H195" i="1"/>
  <c r="F195" i="1"/>
  <c r="L195" i="1" s="1"/>
  <c r="K194" i="1"/>
  <c r="J194" i="1"/>
  <c r="I194" i="1"/>
  <c r="H194" i="1"/>
  <c r="L194" i="1" s="1"/>
  <c r="F194" i="1"/>
  <c r="K192" i="1"/>
  <c r="I192" i="1"/>
  <c r="J190" i="1"/>
  <c r="H190" i="1"/>
  <c r="K352" i="1"/>
  <c r="F352" i="1"/>
  <c r="L352" i="1" s="1"/>
  <c r="K351" i="1"/>
  <c r="J351" i="1"/>
  <c r="I351" i="1"/>
  <c r="H351" i="1"/>
  <c r="G351" i="1"/>
  <c r="L351" i="1" s="1"/>
  <c r="F351" i="1"/>
  <c r="K350" i="1"/>
  <c r="J350" i="1"/>
  <c r="I350" i="1"/>
  <c r="H350" i="1"/>
  <c r="H354" i="1" s="1"/>
  <c r="G350" i="1"/>
  <c r="G354" i="1" s="1"/>
  <c r="F350" i="1"/>
  <c r="F354" i="1" s="1"/>
  <c r="K236" i="1"/>
  <c r="G15" i="13" s="1"/>
  <c r="D15" i="13" s="1"/>
  <c r="C15" i="13" s="1"/>
  <c r="I236" i="1"/>
  <c r="J235" i="1"/>
  <c r="K234" i="1"/>
  <c r="F234" i="1"/>
  <c r="J232" i="1"/>
  <c r="K218" i="1"/>
  <c r="I218" i="1"/>
  <c r="K216" i="1"/>
  <c r="F216" i="1"/>
  <c r="L216" i="1" s="1"/>
  <c r="K214" i="1"/>
  <c r="G8" i="13" s="1"/>
  <c r="J214" i="1"/>
  <c r="F8" i="13" s="1"/>
  <c r="I214" i="1"/>
  <c r="J212" i="1"/>
  <c r="K200" i="1"/>
  <c r="I200" i="1"/>
  <c r="J199" i="1"/>
  <c r="F14" i="13" s="1"/>
  <c r="K198" i="1"/>
  <c r="F198" i="1"/>
  <c r="K196" i="1"/>
  <c r="J196" i="1"/>
  <c r="L196" i="1"/>
  <c r="H153" i="1"/>
  <c r="H151" i="1"/>
  <c r="E80" i="2" s="1"/>
  <c r="H147" i="1"/>
  <c r="H94" i="1"/>
  <c r="C37" i="10"/>
  <c r="C60" i="2"/>
  <c r="B2" i="13"/>
  <c r="L214" i="1"/>
  <c r="D39" i="13"/>
  <c r="F13" i="13"/>
  <c r="G13" i="13"/>
  <c r="L234" i="1"/>
  <c r="F16" i="13"/>
  <c r="G16" i="13"/>
  <c r="L201" i="1"/>
  <c r="E16" i="13" s="1"/>
  <c r="C16" i="13" s="1"/>
  <c r="L219" i="1"/>
  <c r="L237" i="1"/>
  <c r="G12" i="13"/>
  <c r="G14" i="13"/>
  <c r="G17" i="13"/>
  <c r="G18" i="13"/>
  <c r="G19" i="13"/>
  <c r="G29" i="13"/>
  <c r="L191" i="1"/>
  <c r="L207" i="1"/>
  <c r="L221" i="1" s="1"/>
  <c r="L209" i="1"/>
  <c r="F6" i="13"/>
  <c r="L212" i="1"/>
  <c r="F7" i="13"/>
  <c r="F12" i="13"/>
  <c r="L197" i="1"/>
  <c r="L215" i="1"/>
  <c r="L217" i="1"/>
  <c r="F15" i="13"/>
  <c r="L200" i="1"/>
  <c r="L218" i="1"/>
  <c r="L236" i="1"/>
  <c r="G641" i="1" s="1"/>
  <c r="J641" i="1" s="1"/>
  <c r="F17" i="13"/>
  <c r="D17" i="13"/>
  <c r="C17" i="13" s="1"/>
  <c r="L243" i="1"/>
  <c r="F18" i="13"/>
  <c r="D18" i="13"/>
  <c r="C18" i="13"/>
  <c r="L244" i="1"/>
  <c r="F19" i="13"/>
  <c r="L245" i="1"/>
  <c r="D19" i="13" s="1"/>
  <c r="C19" i="13" s="1"/>
  <c r="F29" i="13"/>
  <c r="I359" i="1"/>
  <c r="K282" i="1"/>
  <c r="K301" i="1"/>
  <c r="G31" i="13" s="1"/>
  <c r="K320" i="1"/>
  <c r="L269" i="1"/>
  <c r="L270" i="1"/>
  <c r="L273" i="1"/>
  <c r="L274" i="1"/>
  <c r="L275" i="1"/>
  <c r="L276" i="1"/>
  <c r="L277" i="1"/>
  <c r="L278" i="1"/>
  <c r="L279" i="1"/>
  <c r="L280" i="1"/>
  <c r="L289" i="1"/>
  <c r="L293" i="1"/>
  <c r="L294" i="1"/>
  <c r="L295" i="1"/>
  <c r="L296" i="1"/>
  <c r="L297" i="1"/>
  <c r="L298" i="1"/>
  <c r="L299" i="1"/>
  <c r="L306" i="1"/>
  <c r="L307" i="1"/>
  <c r="L313" i="1"/>
  <c r="L314" i="1"/>
  <c r="L315" i="1"/>
  <c r="L316" i="1"/>
  <c r="L317" i="1"/>
  <c r="H652" i="1"/>
  <c r="L318" i="1"/>
  <c r="L325" i="1"/>
  <c r="L326" i="1"/>
  <c r="L327" i="1"/>
  <c r="L252" i="1"/>
  <c r="H25" i="13" s="1"/>
  <c r="L253" i="1"/>
  <c r="L333" i="1"/>
  <c r="L334" i="1"/>
  <c r="L247" i="1"/>
  <c r="C29" i="10" s="1"/>
  <c r="L328" i="1"/>
  <c r="F22" i="13" s="1"/>
  <c r="C22" i="13" s="1"/>
  <c r="C11" i="13"/>
  <c r="C10" i="13"/>
  <c r="C9" i="13"/>
  <c r="L353" i="1"/>
  <c r="B4" i="12"/>
  <c r="C36" i="12"/>
  <c r="C40" i="12"/>
  <c r="C31" i="12"/>
  <c r="B9" i="12"/>
  <c r="B13" i="12"/>
  <c r="B22" i="12"/>
  <c r="C18" i="12"/>
  <c r="C22" i="12"/>
  <c r="B1" i="12"/>
  <c r="L379" i="1"/>
  <c r="L380" i="1"/>
  <c r="L385" i="1" s="1"/>
  <c r="L381" i="1"/>
  <c r="L382" i="1"/>
  <c r="L383" i="1"/>
  <c r="L384" i="1"/>
  <c r="L387" i="1"/>
  <c r="L388" i="1"/>
  <c r="L393" i="1" s="1"/>
  <c r="C131" i="2" s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J104" i="1" s="1"/>
  <c r="J185" i="1" s="1"/>
  <c r="G51" i="2"/>
  <c r="G53" i="2"/>
  <c r="G54" i="2" s="1"/>
  <c r="F2" i="11"/>
  <c r="L603" i="1"/>
  <c r="L602" i="1"/>
  <c r="G653" i="1"/>
  <c r="L601" i="1"/>
  <c r="C40" i="10"/>
  <c r="F52" i="1"/>
  <c r="G52" i="1"/>
  <c r="C35" i="10" s="1"/>
  <c r="H52" i="1"/>
  <c r="I52" i="1"/>
  <c r="F71" i="1"/>
  <c r="C49" i="2" s="1"/>
  <c r="F86" i="1"/>
  <c r="C50" i="2" s="1"/>
  <c r="F103" i="1"/>
  <c r="G103" i="1"/>
  <c r="H71" i="1"/>
  <c r="H104" i="1" s="1"/>
  <c r="H86" i="1"/>
  <c r="E50" i="2" s="1"/>
  <c r="H103" i="1"/>
  <c r="I103" i="1"/>
  <c r="I104" i="1" s="1"/>
  <c r="J103" i="1"/>
  <c r="F113" i="1"/>
  <c r="F128" i="1"/>
  <c r="F132" i="1"/>
  <c r="G113" i="1"/>
  <c r="G128" i="1"/>
  <c r="G132" i="1"/>
  <c r="H113" i="1"/>
  <c r="H132" i="1" s="1"/>
  <c r="C38" i="10" s="1"/>
  <c r="H128" i="1"/>
  <c r="I113" i="1"/>
  <c r="I128" i="1"/>
  <c r="I132" i="1"/>
  <c r="J113" i="1"/>
  <c r="J128" i="1"/>
  <c r="J132" i="1"/>
  <c r="F139" i="1"/>
  <c r="F154" i="1"/>
  <c r="F161" i="1"/>
  <c r="G139" i="1"/>
  <c r="G161" i="1" s="1"/>
  <c r="G154" i="1"/>
  <c r="H139" i="1"/>
  <c r="I139" i="1"/>
  <c r="I154" i="1"/>
  <c r="I161" i="1"/>
  <c r="L242" i="1"/>
  <c r="L324" i="1"/>
  <c r="C23" i="10"/>
  <c r="L246" i="1"/>
  <c r="C24" i="10"/>
  <c r="C25" i="10"/>
  <c r="L260" i="1"/>
  <c r="C26" i="10" s="1"/>
  <c r="L261" i="1"/>
  <c r="L341" i="1"/>
  <c r="L342" i="1"/>
  <c r="I655" i="1"/>
  <c r="I660" i="1"/>
  <c r="F652" i="1"/>
  <c r="I652" i="1" s="1"/>
  <c r="G652" i="1"/>
  <c r="I659" i="1"/>
  <c r="C42" i="10"/>
  <c r="L366" i="1"/>
  <c r="L367" i="1"/>
  <c r="L374" i="1" s="1"/>
  <c r="G626" i="1" s="1"/>
  <c r="J626" i="1" s="1"/>
  <c r="L368" i="1"/>
  <c r="L369" i="1"/>
  <c r="L370" i="1"/>
  <c r="L371" i="1"/>
  <c r="L372" i="1"/>
  <c r="B2" i="10"/>
  <c r="L336" i="1"/>
  <c r="L343" i="1" s="1"/>
  <c r="L337" i="1"/>
  <c r="E127" i="2" s="1"/>
  <c r="L338" i="1"/>
  <c r="L339" i="1"/>
  <c r="K343" i="1"/>
  <c r="L513" i="1"/>
  <c r="F541" i="1"/>
  <c r="L516" i="1"/>
  <c r="L519" i="1" s="1"/>
  <c r="G539" i="1"/>
  <c r="L523" i="1"/>
  <c r="H541" i="1"/>
  <c r="L526" i="1"/>
  <c r="L529" i="1" s="1"/>
  <c r="I539" i="1"/>
  <c r="I542" i="1" s="1"/>
  <c r="L527" i="1"/>
  <c r="I540" i="1"/>
  <c r="L528" i="1"/>
  <c r="I541" i="1" s="1"/>
  <c r="L531" i="1"/>
  <c r="J539" i="1"/>
  <c r="L532" i="1"/>
  <c r="J540" i="1"/>
  <c r="J542" i="1" s="1"/>
  <c r="L533" i="1"/>
  <c r="J541" i="1" s="1"/>
  <c r="E124" i="2"/>
  <c r="E123" i="2"/>
  <c r="K262" i="1"/>
  <c r="J262" i="1"/>
  <c r="I262" i="1"/>
  <c r="L262" i="1" s="1"/>
  <c r="H262" i="1"/>
  <c r="G262" i="1"/>
  <c r="F262" i="1"/>
  <c r="C124" i="2"/>
  <c r="A1" i="2"/>
  <c r="A2" i="2"/>
  <c r="C9" i="2"/>
  <c r="C19" i="2" s="1"/>
  <c r="D9" i="2"/>
  <c r="D10" i="2"/>
  <c r="D12" i="2"/>
  <c r="D13" i="2"/>
  <c r="D19" i="2" s="1"/>
  <c r="D14" i="2"/>
  <c r="D16" i="2"/>
  <c r="D17" i="2"/>
  <c r="D18" i="2"/>
  <c r="E9" i="2"/>
  <c r="E19" i="2" s="1"/>
  <c r="F9" i="2"/>
  <c r="F19" i="2" s="1"/>
  <c r="I431" i="1"/>
  <c r="J9" i="1" s="1"/>
  <c r="G12" i="2"/>
  <c r="C10" i="2"/>
  <c r="E10" i="2"/>
  <c r="F10" i="2"/>
  <c r="F12" i="2"/>
  <c r="F13" i="2"/>
  <c r="F14" i="2"/>
  <c r="F15" i="2"/>
  <c r="F16" i="2"/>
  <c r="F17" i="2"/>
  <c r="F18" i="2"/>
  <c r="I432" i="1"/>
  <c r="J10" i="1"/>
  <c r="G10" i="2" s="1"/>
  <c r="C11" i="2"/>
  <c r="C12" i="2"/>
  <c r="E12" i="2"/>
  <c r="I433" i="1"/>
  <c r="J12" i="1"/>
  <c r="C13" i="2"/>
  <c r="E13" i="2"/>
  <c r="I434" i="1"/>
  <c r="J13" i="1"/>
  <c r="G13" i="2" s="1"/>
  <c r="C14" i="2"/>
  <c r="E14" i="2"/>
  <c r="I435" i="1"/>
  <c r="J14" i="1" s="1"/>
  <c r="G14" i="2" s="1"/>
  <c r="C16" i="2"/>
  <c r="E16" i="2"/>
  <c r="C17" i="2"/>
  <c r="E17" i="2"/>
  <c r="I436" i="1"/>
  <c r="I438" i="1" s="1"/>
  <c r="G632" i="1" s="1"/>
  <c r="C18" i="2"/>
  <c r="E18" i="2"/>
  <c r="I437" i="1"/>
  <c r="J18" i="1"/>
  <c r="G18" i="2" s="1"/>
  <c r="C22" i="2"/>
  <c r="D22" i="2"/>
  <c r="E22" i="2"/>
  <c r="E32" i="2" s="1"/>
  <c r="E23" i="2"/>
  <c r="E24" i="2"/>
  <c r="E25" i="2"/>
  <c r="E28" i="2"/>
  <c r="E29" i="2"/>
  <c r="E30" i="2"/>
  <c r="E31" i="2"/>
  <c r="F22" i="2"/>
  <c r="I440" i="1"/>
  <c r="J23" i="1" s="1"/>
  <c r="C23" i="2"/>
  <c r="D23" i="2"/>
  <c r="F23" i="2"/>
  <c r="I441" i="1"/>
  <c r="J24" i="1" s="1"/>
  <c r="G23" i="2" s="1"/>
  <c r="C24" i="2"/>
  <c r="D24" i="2"/>
  <c r="F24" i="2"/>
  <c r="I442" i="1"/>
  <c r="J25" i="1"/>
  <c r="G24" i="2" s="1"/>
  <c r="C25" i="2"/>
  <c r="D25" i="2"/>
  <c r="F25" i="2"/>
  <c r="C26" i="2"/>
  <c r="F26" i="2"/>
  <c r="F32" i="2" s="1"/>
  <c r="C27" i="2"/>
  <c r="F27" i="2"/>
  <c r="C28" i="2"/>
  <c r="D28" i="2"/>
  <c r="F28" i="2"/>
  <c r="C29" i="2"/>
  <c r="D29" i="2"/>
  <c r="F29" i="2"/>
  <c r="C30" i="2"/>
  <c r="D30" i="2"/>
  <c r="F30" i="2"/>
  <c r="C31" i="2"/>
  <c r="C32" i="2" s="1"/>
  <c r="D31" i="2"/>
  <c r="F31" i="2"/>
  <c r="I443" i="1"/>
  <c r="J32" i="1" s="1"/>
  <c r="G31" i="2" s="1"/>
  <c r="C34" i="2"/>
  <c r="C42" i="2" s="1"/>
  <c r="D34" i="2"/>
  <c r="D42" i="2" s="1"/>
  <c r="D43" i="2" s="1"/>
  <c r="E34" i="2"/>
  <c r="F34" i="2"/>
  <c r="C35" i="2"/>
  <c r="D35" i="2"/>
  <c r="E35" i="2"/>
  <c r="E42" i="2" s="1"/>
  <c r="E43" i="2" s="1"/>
  <c r="F35" i="2"/>
  <c r="C36" i="2"/>
  <c r="D36" i="2"/>
  <c r="E36" i="2"/>
  <c r="F36" i="2"/>
  <c r="F42" i="2" s="1"/>
  <c r="I446" i="1"/>
  <c r="I450" i="1" s="1"/>
  <c r="C37" i="2"/>
  <c r="D37" i="2"/>
  <c r="E37" i="2"/>
  <c r="F37" i="2"/>
  <c r="I447" i="1"/>
  <c r="J38" i="1" s="1"/>
  <c r="G37" i="2" s="1"/>
  <c r="C38" i="2"/>
  <c r="D38" i="2"/>
  <c r="E38" i="2"/>
  <c r="F38" i="2"/>
  <c r="I448" i="1"/>
  <c r="J40" i="1"/>
  <c r="G39" i="2" s="1"/>
  <c r="C40" i="2"/>
  <c r="D40" i="2"/>
  <c r="E40" i="2"/>
  <c r="F40" i="2"/>
  <c r="I449" i="1"/>
  <c r="J41" i="1"/>
  <c r="G40" i="2" s="1"/>
  <c r="C41" i="2"/>
  <c r="D41" i="2"/>
  <c r="E41" i="2"/>
  <c r="F41" i="2"/>
  <c r="C48" i="2"/>
  <c r="C51" i="2"/>
  <c r="C53" i="2"/>
  <c r="C71" i="2"/>
  <c r="C72" i="2"/>
  <c r="C64" i="2"/>
  <c r="C65" i="2"/>
  <c r="C66" i="2"/>
  <c r="C67" i="2"/>
  <c r="C68" i="2"/>
  <c r="C69" i="2"/>
  <c r="C70" i="2"/>
  <c r="C73" i="2" s="1"/>
  <c r="C58" i="2"/>
  <c r="C62" i="2" s="1"/>
  <c r="C59" i="2"/>
  <c r="C61" i="2"/>
  <c r="C77" i="2"/>
  <c r="C83" i="2" s="1"/>
  <c r="C79" i="2"/>
  <c r="C80" i="2"/>
  <c r="C81" i="2"/>
  <c r="C82" i="2"/>
  <c r="C85" i="2"/>
  <c r="C95" i="2" s="1"/>
  <c r="C86" i="2"/>
  <c r="C89" i="2"/>
  <c r="C90" i="2"/>
  <c r="C91" i="2"/>
  <c r="C92" i="2"/>
  <c r="C93" i="2"/>
  <c r="C94" i="2"/>
  <c r="D48" i="2"/>
  <c r="E48" i="2"/>
  <c r="E49" i="2"/>
  <c r="E51" i="2"/>
  <c r="E53" i="2"/>
  <c r="F48" i="2"/>
  <c r="D51" i="2"/>
  <c r="D54" i="2" s="1"/>
  <c r="D55" i="2" s="1"/>
  <c r="F51" i="2"/>
  <c r="F54" i="2" s="1"/>
  <c r="F55" i="2" s="1"/>
  <c r="D52" i="2"/>
  <c r="D53" i="2"/>
  <c r="F53" i="2"/>
  <c r="D61" i="2"/>
  <c r="D62" i="2"/>
  <c r="E61" i="2"/>
  <c r="E62" i="2"/>
  <c r="F61" i="2"/>
  <c r="F62" i="2"/>
  <c r="G61" i="2"/>
  <c r="G62" i="2" s="1"/>
  <c r="G73" i="2" s="1"/>
  <c r="G69" i="2"/>
  <c r="G70" i="2"/>
  <c r="F64" i="2"/>
  <c r="F65" i="2"/>
  <c r="E68" i="2"/>
  <c r="E70" i="2" s="1"/>
  <c r="E73" i="2" s="1"/>
  <c r="F68" i="2"/>
  <c r="F69" i="2"/>
  <c r="F70" i="2"/>
  <c r="F73" i="2"/>
  <c r="D69" i="2"/>
  <c r="D70" i="2" s="1"/>
  <c r="D73" i="2" s="1"/>
  <c r="D71" i="2"/>
  <c r="E69" i="2"/>
  <c r="E71" i="2"/>
  <c r="E72" i="2"/>
  <c r="E77" i="2"/>
  <c r="F77" i="2"/>
  <c r="E79" i="2"/>
  <c r="F79" i="2"/>
  <c r="F80" i="2"/>
  <c r="F81" i="2"/>
  <c r="F83" i="2"/>
  <c r="D80" i="2"/>
  <c r="D81" i="2"/>
  <c r="E81" i="2"/>
  <c r="E88" i="2"/>
  <c r="E95" i="2" s="1"/>
  <c r="E89" i="2"/>
  <c r="E90" i="2"/>
  <c r="E91" i="2"/>
  <c r="E92" i="2"/>
  <c r="E93" i="2"/>
  <c r="E94" i="2"/>
  <c r="F85" i="2"/>
  <c r="F86" i="2"/>
  <c r="D88" i="2"/>
  <c r="D95" i="2" s="1"/>
  <c r="D89" i="2"/>
  <c r="D90" i="2"/>
  <c r="D91" i="2"/>
  <c r="D92" i="2"/>
  <c r="D93" i="2"/>
  <c r="D94" i="2"/>
  <c r="F88" i="2"/>
  <c r="F89" i="2"/>
  <c r="F91" i="2"/>
  <c r="F92" i="2"/>
  <c r="F93" i="2"/>
  <c r="F94" i="2"/>
  <c r="F95" i="2" s="1"/>
  <c r="G88" i="2"/>
  <c r="G89" i="2"/>
  <c r="G90" i="2"/>
  <c r="C105" i="2"/>
  <c r="E105" i="2"/>
  <c r="C106" i="2"/>
  <c r="E106" i="2"/>
  <c r="D107" i="2"/>
  <c r="F107" i="2"/>
  <c r="G107" i="2"/>
  <c r="E112" i="2"/>
  <c r="E113" i="2"/>
  <c r="E114" i="2"/>
  <c r="E115" i="2"/>
  <c r="E116" i="2"/>
  <c r="E117" i="2"/>
  <c r="D126" i="2"/>
  <c r="D136" i="2"/>
  <c r="F120" i="2"/>
  <c r="G120" i="2"/>
  <c r="C122" i="2"/>
  <c r="E122" i="2"/>
  <c r="F126" i="2"/>
  <c r="K411" i="1"/>
  <c r="K419" i="1"/>
  <c r="K426" i="1" s="1"/>
  <c r="G126" i="2" s="1"/>
  <c r="G136" i="2" s="1"/>
  <c r="G137" i="2" s="1"/>
  <c r="K425" i="1"/>
  <c r="L255" i="1"/>
  <c r="C127" i="2" s="1"/>
  <c r="L256" i="1"/>
  <c r="C128" i="2" s="1"/>
  <c r="L257" i="1"/>
  <c r="C129" i="2"/>
  <c r="E129" i="2"/>
  <c r="C134" i="2"/>
  <c r="E134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G148" i="2" s="1"/>
  <c r="E148" i="2"/>
  <c r="F148" i="2"/>
  <c r="B149" i="2"/>
  <c r="C149" i="2"/>
  <c r="G149" i="2" s="1"/>
  <c r="D149" i="2"/>
  <c r="E149" i="2"/>
  <c r="F149" i="2"/>
  <c r="B150" i="2"/>
  <c r="C150" i="2"/>
  <c r="D150" i="2"/>
  <c r="G150" i="2" s="1"/>
  <c r="E150" i="2"/>
  <c r="F150" i="2"/>
  <c r="B151" i="2"/>
  <c r="C151" i="2"/>
  <c r="D151" i="2"/>
  <c r="G151" i="2" s="1"/>
  <c r="E151" i="2"/>
  <c r="F151" i="2"/>
  <c r="B152" i="2"/>
  <c r="C152" i="2"/>
  <c r="D152" i="2"/>
  <c r="E152" i="2"/>
  <c r="F152" i="2"/>
  <c r="F490" i="1"/>
  <c r="B153" i="2" s="1"/>
  <c r="G490" i="1"/>
  <c r="C153" i="2" s="1"/>
  <c r="H490" i="1"/>
  <c r="D153" i="2" s="1"/>
  <c r="I490" i="1"/>
  <c r="E153" i="2" s="1"/>
  <c r="F153" i="2"/>
  <c r="J490" i="1"/>
  <c r="B154" i="2"/>
  <c r="G154" i="2" s="1"/>
  <c r="C154" i="2"/>
  <c r="D154" i="2"/>
  <c r="E154" i="2"/>
  <c r="F154" i="2"/>
  <c r="B155" i="2"/>
  <c r="C155" i="2"/>
  <c r="D155" i="2"/>
  <c r="E155" i="2"/>
  <c r="F155" i="2"/>
  <c r="F493" i="1"/>
  <c r="B156" i="2"/>
  <c r="G493" i="1"/>
  <c r="K493" i="1" s="1"/>
  <c r="H493" i="1"/>
  <c r="D156" i="2"/>
  <c r="I493" i="1"/>
  <c r="E156" i="2"/>
  <c r="J493" i="1"/>
  <c r="F156" i="2"/>
  <c r="F19" i="1"/>
  <c r="G19" i="1"/>
  <c r="H19" i="1"/>
  <c r="I19" i="1"/>
  <c r="F33" i="1"/>
  <c r="F44" i="1" s="1"/>
  <c r="H607" i="1" s="1"/>
  <c r="J607" i="1" s="1"/>
  <c r="G33" i="1"/>
  <c r="H33" i="1"/>
  <c r="I33" i="1"/>
  <c r="F43" i="1"/>
  <c r="G43" i="1"/>
  <c r="G613" i="1" s="1"/>
  <c r="J613" i="1" s="1"/>
  <c r="I43" i="1"/>
  <c r="I44" i="1" s="1"/>
  <c r="H610" i="1" s="1"/>
  <c r="F169" i="1"/>
  <c r="F184" i="1" s="1"/>
  <c r="I169" i="1"/>
  <c r="I184" i="1" s="1"/>
  <c r="F175" i="1"/>
  <c r="G175" i="1"/>
  <c r="G184" i="1" s="1"/>
  <c r="H175" i="1"/>
  <c r="H184" i="1" s="1"/>
  <c r="I175" i="1"/>
  <c r="J175" i="1"/>
  <c r="J184" i="1"/>
  <c r="F180" i="1"/>
  <c r="G180" i="1"/>
  <c r="H180" i="1"/>
  <c r="I180" i="1"/>
  <c r="K203" i="1"/>
  <c r="K249" i="1" s="1"/>
  <c r="K263" i="1" s="1"/>
  <c r="I221" i="1"/>
  <c r="J221" i="1"/>
  <c r="K221" i="1"/>
  <c r="I239" i="1"/>
  <c r="F248" i="1"/>
  <c r="G248" i="1"/>
  <c r="H248" i="1"/>
  <c r="L248" i="1" s="1"/>
  <c r="I248" i="1"/>
  <c r="J248" i="1"/>
  <c r="K248" i="1"/>
  <c r="G282" i="1"/>
  <c r="G330" i="1" s="1"/>
  <c r="G344" i="1" s="1"/>
  <c r="H301" i="1"/>
  <c r="G320" i="1"/>
  <c r="F329" i="1"/>
  <c r="G329" i="1"/>
  <c r="H329" i="1"/>
  <c r="I329" i="1"/>
  <c r="L329" i="1" s="1"/>
  <c r="J329" i="1"/>
  <c r="K329" i="1"/>
  <c r="I354" i="1"/>
  <c r="G624" i="1" s="1"/>
  <c r="J354" i="1"/>
  <c r="K354" i="1"/>
  <c r="I360" i="1"/>
  <c r="F361" i="1"/>
  <c r="G361" i="1"/>
  <c r="H361" i="1"/>
  <c r="I361" i="1"/>
  <c r="H624" i="1" s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G400" i="1" s="1"/>
  <c r="H635" i="1" s="1"/>
  <c r="H393" i="1"/>
  <c r="H400" i="1" s="1"/>
  <c r="H634" i="1" s="1"/>
  <c r="J634" i="1" s="1"/>
  <c r="I393" i="1"/>
  <c r="F399" i="1"/>
  <c r="F400" i="1" s="1"/>
  <c r="H633" i="1" s="1"/>
  <c r="J633" i="1" s="1"/>
  <c r="G399" i="1"/>
  <c r="H399" i="1"/>
  <c r="I399" i="1"/>
  <c r="I400" i="1"/>
  <c r="L405" i="1"/>
  <c r="L411" i="1" s="1"/>
  <c r="L406" i="1"/>
  <c r="L407" i="1"/>
  <c r="L408" i="1"/>
  <c r="L409" i="1"/>
  <c r="L410" i="1"/>
  <c r="F411" i="1"/>
  <c r="F426" i="1" s="1"/>
  <c r="G411" i="1"/>
  <c r="H411" i="1"/>
  <c r="I411" i="1"/>
  <c r="I426" i="1" s="1"/>
  <c r="J411" i="1"/>
  <c r="J426" i="1" s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H426" i="1" s="1"/>
  <c r="I425" i="1"/>
  <c r="J425" i="1"/>
  <c r="G426" i="1"/>
  <c r="F438" i="1"/>
  <c r="G438" i="1"/>
  <c r="H438" i="1"/>
  <c r="F444" i="1"/>
  <c r="F451" i="1" s="1"/>
  <c r="H629" i="1" s="1"/>
  <c r="J629" i="1" s="1"/>
  <c r="G444" i="1"/>
  <c r="H444" i="1"/>
  <c r="F450" i="1"/>
  <c r="G450" i="1"/>
  <c r="H450" i="1"/>
  <c r="G451" i="1"/>
  <c r="H451" i="1"/>
  <c r="H631" i="1" s="1"/>
  <c r="F460" i="1"/>
  <c r="G460" i="1"/>
  <c r="G466" i="1" s="1"/>
  <c r="H613" i="1" s="1"/>
  <c r="I460" i="1"/>
  <c r="J460" i="1"/>
  <c r="J466" i="1" s="1"/>
  <c r="H616" i="1" s="1"/>
  <c r="G464" i="1"/>
  <c r="H464" i="1"/>
  <c r="I464" i="1"/>
  <c r="I466" i="1"/>
  <c r="H615" i="1" s="1"/>
  <c r="J464" i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I514" i="1"/>
  <c r="K514" i="1"/>
  <c r="K535" i="1" s="1"/>
  <c r="I519" i="1"/>
  <c r="G524" i="1"/>
  <c r="H524" i="1"/>
  <c r="J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47" i="1"/>
  <c r="L550" i="1" s="1"/>
  <c r="L561" i="1" s="1"/>
  <c r="L548" i="1"/>
  <c r="L549" i="1"/>
  <c r="G550" i="1"/>
  <c r="H550" i="1"/>
  <c r="H561" i="1" s="1"/>
  <c r="I550" i="1"/>
  <c r="I561" i="1" s="1"/>
  <c r="J550" i="1"/>
  <c r="J561" i="1" s="1"/>
  <c r="K550" i="1"/>
  <c r="L552" i="1"/>
  <c r="L555" i="1" s="1"/>
  <c r="L553" i="1"/>
  <c r="L554" i="1"/>
  <c r="F555" i="1"/>
  <c r="G555" i="1"/>
  <c r="G561" i="1" s="1"/>
  <c r="H555" i="1"/>
  <c r="I555" i="1"/>
  <c r="J555" i="1"/>
  <c r="K555" i="1"/>
  <c r="K561" i="1" s="1"/>
  <c r="L557" i="1"/>
  <c r="L558" i="1"/>
  <c r="L560" i="1" s="1"/>
  <c r="L559" i="1"/>
  <c r="F560" i="1"/>
  <c r="G560" i="1"/>
  <c r="H560" i="1"/>
  <c r="I560" i="1"/>
  <c r="J560" i="1"/>
  <c r="K560" i="1"/>
  <c r="I565" i="1"/>
  <c r="I566" i="1"/>
  <c r="I567" i="1"/>
  <c r="I570" i="1"/>
  <c r="I571" i="1"/>
  <c r="I572" i="1"/>
  <c r="I573" i="1"/>
  <c r="I574" i="1"/>
  <c r="I575" i="1"/>
  <c r="I576" i="1"/>
  <c r="I577" i="1"/>
  <c r="K581" i="1"/>
  <c r="K583" i="1"/>
  <c r="K585" i="1"/>
  <c r="K586" i="1"/>
  <c r="K587" i="1"/>
  <c r="J588" i="1"/>
  <c r="H641" i="1" s="1"/>
  <c r="K592" i="1"/>
  <c r="K593" i="1"/>
  <c r="H595" i="1"/>
  <c r="I595" i="1"/>
  <c r="F604" i="1"/>
  <c r="G604" i="1"/>
  <c r="H604" i="1"/>
  <c r="I604" i="1"/>
  <c r="J604" i="1"/>
  <c r="K604" i="1"/>
  <c r="L604" i="1"/>
  <c r="G607" i="1"/>
  <c r="G608" i="1"/>
  <c r="G609" i="1"/>
  <c r="G610" i="1"/>
  <c r="G612" i="1"/>
  <c r="H617" i="1"/>
  <c r="H618" i="1"/>
  <c r="H620" i="1"/>
  <c r="H621" i="1"/>
  <c r="H625" i="1"/>
  <c r="H626" i="1"/>
  <c r="H627" i="1"/>
  <c r="H628" i="1"/>
  <c r="G629" i="1"/>
  <c r="G630" i="1"/>
  <c r="H630" i="1"/>
  <c r="J630" i="1"/>
  <c r="G631" i="1"/>
  <c r="G633" i="1"/>
  <c r="G634" i="1"/>
  <c r="G635" i="1"/>
  <c r="J635" i="1" s="1"/>
  <c r="G639" i="1"/>
  <c r="G640" i="1"/>
  <c r="G642" i="1"/>
  <c r="H642" i="1"/>
  <c r="J642" i="1"/>
  <c r="G643" i="1"/>
  <c r="H643" i="1"/>
  <c r="J643" i="1" s="1"/>
  <c r="G644" i="1"/>
  <c r="J644" i="1" s="1"/>
  <c r="H644" i="1"/>
  <c r="G645" i="1"/>
  <c r="J645" i="1" s="1"/>
  <c r="H645" i="1"/>
  <c r="G104" i="1"/>
  <c r="F104" i="1"/>
  <c r="D32" i="2"/>
  <c r="G95" i="2"/>
  <c r="G152" i="2"/>
  <c r="G155" i="2"/>
  <c r="E101" i="2" l="1"/>
  <c r="J609" i="1"/>
  <c r="I535" i="1"/>
  <c r="F466" i="1"/>
  <c r="H612" i="1" s="1"/>
  <c r="J612" i="1" s="1"/>
  <c r="J632" i="1"/>
  <c r="C36" i="10"/>
  <c r="C41" i="10" s="1"/>
  <c r="E83" i="2"/>
  <c r="C43" i="2"/>
  <c r="I185" i="1"/>
  <c r="G620" i="1" s="1"/>
  <c r="J620" i="1" s="1"/>
  <c r="C130" i="2"/>
  <c r="C133" i="2" s="1"/>
  <c r="L400" i="1"/>
  <c r="E111" i="2"/>
  <c r="D12" i="13"/>
  <c r="C12" i="13" s="1"/>
  <c r="C110" i="2"/>
  <c r="D6" i="13"/>
  <c r="C6" i="13" s="1"/>
  <c r="F249" i="1"/>
  <c r="F263" i="1" s="1"/>
  <c r="C103" i="2"/>
  <c r="G614" i="1"/>
  <c r="J614" i="1" s="1"/>
  <c r="H44" i="1"/>
  <c r="H609" i="1" s="1"/>
  <c r="F43" i="2"/>
  <c r="C55" i="2"/>
  <c r="C96" i="2" s="1"/>
  <c r="F31" i="13"/>
  <c r="F33" i="13" s="1"/>
  <c r="J330" i="1"/>
  <c r="J344" i="1" s="1"/>
  <c r="F185" i="1"/>
  <c r="G617" i="1" s="1"/>
  <c r="J617" i="1" s="1"/>
  <c r="J639" i="1"/>
  <c r="F96" i="2"/>
  <c r="G542" i="1"/>
  <c r="H185" i="1"/>
  <c r="G619" i="1" s="1"/>
  <c r="H330" i="1"/>
  <c r="H344" i="1" s="1"/>
  <c r="C113" i="2"/>
  <c r="C18" i="10"/>
  <c r="K540" i="1"/>
  <c r="I330" i="1"/>
  <c r="I344" i="1" s="1"/>
  <c r="G9" i="2"/>
  <c r="C111" i="2"/>
  <c r="C16" i="10"/>
  <c r="D7" i="13"/>
  <c r="C7" i="13" s="1"/>
  <c r="K588" i="1"/>
  <c r="G637" i="1" s="1"/>
  <c r="L426" i="1"/>
  <c r="G628" i="1" s="1"/>
  <c r="J628" i="1" s="1"/>
  <c r="G153" i="2"/>
  <c r="G185" i="1"/>
  <c r="G618" i="1" s="1"/>
  <c r="J618" i="1" s="1"/>
  <c r="C39" i="10"/>
  <c r="F330" i="1"/>
  <c r="F344" i="1" s="1"/>
  <c r="L239" i="1"/>
  <c r="G22" i="2"/>
  <c r="G32" i="2" s="1"/>
  <c r="J33" i="1"/>
  <c r="A40" i="12"/>
  <c r="C104" i="2"/>
  <c r="C13" i="10"/>
  <c r="J631" i="1"/>
  <c r="C54" i="2"/>
  <c r="A13" i="12"/>
  <c r="E8" i="13"/>
  <c r="E54" i="2"/>
  <c r="E55" i="2" s="1"/>
  <c r="E96" i="2" s="1"/>
  <c r="G621" i="1"/>
  <c r="J621" i="1" s="1"/>
  <c r="G636" i="1"/>
  <c r="J610" i="1"/>
  <c r="J624" i="1"/>
  <c r="H33" i="13"/>
  <c r="C25" i="13"/>
  <c r="C112" i="2"/>
  <c r="H622" i="1"/>
  <c r="J239" i="1"/>
  <c r="G44" i="1"/>
  <c r="H608" i="1" s="1"/>
  <c r="J608" i="1" s="1"/>
  <c r="C156" i="2"/>
  <c r="G156" i="2" s="1"/>
  <c r="E126" i="2"/>
  <c r="E136" i="2" s="1"/>
  <c r="J17" i="1"/>
  <c r="G17" i="2" s="1"/>
  <c r="L521" i="1"/>
  <c r="L511" i="1"/>
  <c r="H637" i="1"/>
  <c r="J595" i="1"/>
  <c r="L534" i="1"/>
  <c r="I444" i="1"/>
  <c r="I451" i="1" s="1"/>
  <c r="H632" i="1" s="1"/>
  <c r="J203" i="1"/>
  <c r="C117" i="2"/>
  <c r="L292" i="1"/>
  <c r="E110" i="2" s="1"/>
  <c r="E120" i="2" s="1"/>
  <c r="L199" i="1"/>
  <c r="H619" i="1"/>
  <c r="K330" i="1"/>
  <c r="K344" i="1" s="1"/>
  <c r="C116" i="2"/>
  <c r="L271" i="1"/>
  <c r="E104" i="2" s="1"/>
  <c r="G6" i="13"/>
  <c r="G33" i="13" s="1"/>
  <c r="L198" i="1"/>
  <c r="F519" i="1"/>
  <c r="F535" i="1" s="1"/>
  <c r="F239" i="1"/>
  <c r="F122" i="2"/>
  <c r="F136" i="2" s="1"/>
  <c r="F137" i="2" s="1"/>
  <c r="C32" i="10"/>
  <c r="C27" i="12"/>
  <c r="L308" i="1"/>
  <c r="C12" i="10" s="1"/>
  <c r="L350" i="1"/>
  <c r="G651" i="1" s="1"/>
  <c r="L190" i="1"/>
  <c r="G48" i="2"/>
  <c r="G55" i="2" s="1"/>
  <c r="G96" i="2" s="1"/>
  <c r="B27" i="12"/>
  <c r="G615" i="1"/>
  <c r="J615" i="1" s="1"/>
  <c r="H588" i="1"/>
  <c r="H639" i="1" s="1"/>
  <c r="J37" i="1"/>
  <c r="F653" i="1"/>
  <c r="I653" i="1" s="1"/>
  <c r="L287" i="1"/>
  <c r="D77" i="2"/>
  <c r="D83" i="2" s="1"/>
  <c r="D96" i="2" s="1"/>
  <c r="C123" i="2"/>
  <c r="C136" i="2" s="1"/>
  <c r="C21" i="10"/>
  <c r="L189" i="1"/>
  <c r="D37" i="10" l="1"/>
  <c r="D40" i="10"/>
  <c r="D38" i="10"/>
  <c r="D35" i="10"/>
  <c r="C120" i="2"/>
  <c r="C114" i="2"/>
  <c r="E13" i="13"/>
  <c r="C13" i="13" s="1"/>
  <c r="C19" i="10"/>
  <c r="A31" i="12"/>
  <c r="F539" i="1"/>
  <c r="L514" i="1"/>
  <c r="J637" i="1"/>
  <c r="C15" i="10"/>
  <c r="C115" i="2"/>
  <c r="C20" i="10"/>
  <c r="D14" i="13"/>
  <c r="C14" i="13" s="1"/>
  <c r="G36" i="2"/>
  <c r="G42" i="2" s="1"/>
  <c r="G43" i="2" s="1"/>
  <c r="J43" i="1"/>
  <c r="H539" i="1"/>
  <c r="H542" i="1" s="1"/>
  <c r="L524" i="1"/>
  <c r="D36" i="10"/>
  <c r="C102" i="2"/>
  <c r="C11" i="10"/>
  <c r="C101" i="2"/>
  <c r="C107" i="2" s="1"/>
  <c r="C10" i="10"/>
  <c r="L203" i="1"/>
  <c r="F651" i="1"/>
  <c r="I651" i="1" s="1"/>
  <c r="D29" i="13"/>
  <c r="C29" i="13" s="1"/>
  <c r="D119" i="2"/>
  <c r="D120" i="2" s="1"/>
  <c r="D137" i="2" s="1"/>
  <c r="L354" i="1"/>
  <c r="J619" i="1"/>
  <c r="G627" i="1"/>
  <c r="J627" i="1" s="1"/>
  <c r="H636" i="1"/>
  <c r="J636" i="1" s="1"/>
  <c r="E103" i="2"/>
  <c r="L320" i="1"/>
  <c r="H650" i="1" s="1"/>
  <c r="H654" i="1" s="1"/>
  <c r="L301" i="1"/>
  <c r="G650" i="1" s="1"/>
  <c r="G654" i="1" s="1"/>
  <c r="J249" i="1"/>
  <c r="D39" i="10"/>
  <c r="J19" i="1"/>
  <c r="G611" i="1" s="1"/>
  <c r="D5" i="13"/>
  <c r="L282" i="1"/>
  <c r="C8" i="13"/>
  <c r="H651" i="1"/>
  <c r="G19" i="2"/>
  <c r="E107" i="2"/>
  <c r="E137" i="2" s="1"/>
  <c r="H662" i="1" l="1"/>
  <c r="C6" i="10" s="1"/>
  <c r="H657" i="1"/>
  <c r="J611" i="1"/>
  <c r="C27" i="10"/>
  <c r="C28" i="10" s="1"/>
  <c r="G625" i="1"/>
  <c r="J625" i="1" s="1"/>
  <c r="C5" i="13"/>
  <c r="D33" i="13"/>
  <c r="D36" i="13" s="1"/>
  <c r="J44" i="1"/>
  <c r="H611" i="1" s="1"/>
  <c r="G616" i="1"/>
  <c r="J616" i="1" s="1"/>
  <c r="L330" i="1"/>
  <c r="L344" i="1" s="1"/>
  <c r="G623" i="1" s="1"/>
  <c r="J623" i="1" s="1"/>
  <c r="D31" i="13"/>
  <c r="C31" i="13" s="1"/>
  <c r="F542" i="1"/>
  <c r="K539" i="1"/>
  <c r="K542" i="1" s="1"/>
  <c r="J263" i="1"/>
  <c r="H638" i="1"/>
  <c r="J638" i="1" s="1"/>
  <c r="G657" i="1"/>
  <c r="G662" i="1"/>
  <c r="C5" i="10" s="1"/>
  <c r="L249" i="1"/>
  <c r="L263" i="1" s="1"/>
  <c r="G622" i="1" s="1"/>
  <c r="J622" i="1" s="1"/>
  <c r="F650" i="1"/>
  <c r="E33" i="13"/>
  <c r="D35" i="13" s="1"/>
  <c r="C137" i="2"/>
  <c r="D41" i="10"/>
  <c r="L535" i="1"/>
  <c r="D23" i="10" l="1"/>
  <c r="D24" i="10"/>
  <c r="C30" i="10"/>
  <c r="D22" i="10"/>
  <c r="D17" i="10"/>
  <c r="D25" i="10"/>
  <c r="D26" i="10"/>
  <c r="D21" i="10"/>
  <c r="D18" i="10"/>
  <c r="D16" i="10"/>
  <c r="D12" i="10"/>
  <c r="D13" i="10"/>
  <c r="D15" i="10"/>
  <c r="D11" i="10"/>
  <c r="D20" i="10"/>
  <c r="D19" i="10"/>
  <c r="D10" i="10"/>
  <c r="F654" i="1"/>
  <c r="I650" i="1"/>
  <c r="I654" i="1" s="1"/>
  <c r="H646" i="1"/>
  <c r="D27" i="10"/>
  <c r="I657" i="1" l="1"/>
  <c r="I662" i="1"/>
  <c r="C7" i="10" s="1"/>
  <c r="F657" i="1"/>
  <c r="F662" i="1"/>
  <c r="C4" i="10" s="1"/>
  <c r="D2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87C14855-0B88-4C84-8560-D20BC138CE3F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F677CBC0-01BC-4650-847B-09031DD0994B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4B85A996-B2B1-403B-BE81-717FC35D79D9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73E16305-2D09-4676-A06C-DC54BD740DBB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25BBB254-24C6-46C2-9C27-849C66A1B99A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1F622AF6-38EE-4BF3-A88F-84FCE8A5FE43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CFA356BB-6C66-4E54-9224-7080B0DAB177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16D8AF04-89B7-48DA-B966-4453973245B3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9817D98D-751A-49EA-B8C8-8B13BA3E7042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BF258DA3-2063-4C7D-8EE2-57163D7FA02E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F3463259-9D8B-4791-8A91-C4E2B0C8F797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9CB8F0BB-7890-4E21-9A88-D02815C89BE6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<sst xmlns="http://schemas.openxmlformats.org/spreadsheetml/2006/main" count="3866" uniqueCount="902">
  <si>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</si>
  <si>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</si>
  <si>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</si>
  <si>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</si>
  <si>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</si>
  <si>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</si>
  <si>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</si>
  <si>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</si>
  <si>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</si>
  <si>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</si>
  <si>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</si>
  <si>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</si>
  <si>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</si>
  <si>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</si>
  <si>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</si>
  <si>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</si>
  <si>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</si>
  <si>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</si>
  <si>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</si>
  <si>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</si>
  <si>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</si>
  <si>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</si>
  <si>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</si>
  <si>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</si>
  <si>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</si>
  <si>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</si>
  <si>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</si>
  <si>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</si>
  <si>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</si>
  <si>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</si>
  <si>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</si>
  <si>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</si>
  <si>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</si>
  <si>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</si>
  <si>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</si>
  <si>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</si>
  <si>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</si>
  <si>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</si>
  <si>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</si>
  <si>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</si>
  <si>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</si>
  <si>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</si>
  <si>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</si>
  <si>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</si>
  <si>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</si>
  <si>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</si>
  <si>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</si>
  <si>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</si>
  <si>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</si>
  <si>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</si>
  <si>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</si>
  <si>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</si>
  <si>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</si>
  <si>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</si>
  <si>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</si>
  <si>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</si>
  <si>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</si>
  <si>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</si>
  <si>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</si>
  <si>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</si>
  <si>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</si>
  <si>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</si>
  <si>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</si>
  <si>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</si>
  <si>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</si>
  <si>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</si>
  <si>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</si>
  <si>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</si>
  <si>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</si>
  <si>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</si>
  <si>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</si>
  <si>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</si>
  <si>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</si>
  <si>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</si>
  <si>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</si>
  <si>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</si>
  <si>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</si>
  <si>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</si>
  <si>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</si>
  <si>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</si>
  <si>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</si>
  <si>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</si>
  <si>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</si>
  <si>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</si>
  <si>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</si>
  <si>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</si>
  <si>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</si>
  <si>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</si>
  <si>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</si>
  <si>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</si>
  <si>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</si>
  <si>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</si>
  <si>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</si>
  <si>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</si>
  <si>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</si>
  <si>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</si>
  <si>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</si>
  <si>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</si>
  <si>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</si>
  <si>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</si>
  <si>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</si>
  <si>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</si>
  <si>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</si>
  <si>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</si>
  <si>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</si>
  <si>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</si>
  <si>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</si>
  <si>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</si>
  <si>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</si>
  <si>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</si>
  <si>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</si>
  <si>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</si>
  <si>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</si>
  <si>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</si>
  <si>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</si>
  <si>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</si>
  <si>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</si>
  <si>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</si>
  <si>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</si>
  <si>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</si>
  <si>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</si>
  <si>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</si>
  <si>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</si>
  <si>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</si>
  <si>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</si>
  <si>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</si>
  <si>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</si>
  <si>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</si>
  <si>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</si>
  <si>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</si>
  <si>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</si>
  <si>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</si>
  <si>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</si>
  <si>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</si>
  <si>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</si>
  <si>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</si>
  <si>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</si>
  <si>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</si>
  <si>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</si>
  <si>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</si>
  <si>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</si>
  <si>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</si>
  <si>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</si>
  <si>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</si>
  <si>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</si>
  <si>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</si>
  <si>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</si>
  <si>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</si>
  <si>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</si>
  <si>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</si>
  <si>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</si>
  <si>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</si>
  <si>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</si>
  <si>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</si>
  <si>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</si>
  <si>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</si>
  <si>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</si>
  <si>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</si>
  <si>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</si>
  <si>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</si>
  <si>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</si>
  <si>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</si>
  <si>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</si>
  <si>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</si>
  <si>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</si>
  <si>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</si>
  <si>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</si>
  <si>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</si>
  <si>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</si>
  <si>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</si>
  <si>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</si>
  <si>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</si>
  <si>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</si>
  <si>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</si>
  <si>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</si>
  <si>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</si>
  <si>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</si>
  <si>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</si>
  <si>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</si>
  <si>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</si>
  <si>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</si>
  <si>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</si>
  <si>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</si>
  <si>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</si>
  <si>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</si>
  <si>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</si>
  <si>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</si>
  <si>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</si>
  <si>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</si>
  <si>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</si>
  <si>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</si>
  <si>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</si>
  <si>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</si>
  <si>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</si>
  <si>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</si>
  <si>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</si>
  <si>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</si>
  <si>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</si>
  <si>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</si>
  <si>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</si>
  <si>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</si>
  <si>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</si>
  <si>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</si>
  <si>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</si>
  <si>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</si>
  <si>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</si>
  <si>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</si>
  <si>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</si>
  <si>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</si>
  <si>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</si>
  <si>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</si>
  <si>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</si>
  <si>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</si>
  <si>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</si>
  <si>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</si>
  <si>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</si>
  <si>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</si>
  <si>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</si>
  <si>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</si>
  <si>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</si>
  <si>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</si>
  <si>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</si>
  <si>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</si>
  <si>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</si>
  <si>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</si>
  <si>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</si>
  <si>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</si>
  <si>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</si>
  <si>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</si>
  <si>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</si>
  <si>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</si>
  <si>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</si>
  <si>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</si>
  <si>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</si>
  <si>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</si>
  <si>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</si>
  <si>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</si>
  <si>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</si>
  <si>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</si>
  <si>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</si>
  <si>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</si>
  <si>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</si>
  <si>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</si>
  <si>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</si>
  <si>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</si>
  <si>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</si>
  <si>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</si>
  <si>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</si>
  <si>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</si>
  <si>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</si>
  <si>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</si>
  <si>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</si>
  <si>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</si>
  <si>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</si>
  <si>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</si>
  <si>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</si>
  <si>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</si>
  <si>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</si>
  <si>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</si>
  <si>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</si>
  <si>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</si>
  <si>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</si>
  <si>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</si>
  <si>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</si>
  <si>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</si>
  <si>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</si>
  <si>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</si>
  <si>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</si>
  <si>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</si>
  <si>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</si>
  <si>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</si>
  <si>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</si>
  <si>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</si>
  <si>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</si>
  <si>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</si>
  <si>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</si>
  <si>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</si>
  <si>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</si>
  <si>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</si>
  <si>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</si>
  <si>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</si>
  <si>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</si>
  <si>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</si>
  <si>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</si>
  <si>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</si>
  <si>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</si>
  <si>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</si>
  <si>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</si>
  <si>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</si>
  <si>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</si>
  <si>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</si>
  <si>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</si>
  <si>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</si>
  <si>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</si>
  <si>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</si>
  <si>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</si>
  <si>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</si>
  <si>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</si>
  <si>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</si>
  <si>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</si>
  <si>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</si>
  <si>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</si>
  <si>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</si>
  <si>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</si>
  <si>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</si>
  <si>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</si>
  <si>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</si>
  <si>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</si>
  <si>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</si>
  <si>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</si>
  <si>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</si>
  <si>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</si>
  <si>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</si>
  <si>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</si>
  <si>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</si>
  <si>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</si>
  <si>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</si>
  <si>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</si>
  <si>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</si>
  <si>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</si>
  <si>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</si>
  <si>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</si>
  <si>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</si>
  <si>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</si>
  <si>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</si>
  <si>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</si>
  <si>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</si>
  <si>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</si>
  <si>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</si>
  <si>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</si>
  <si>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</si>
  <si>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</si>
  <si>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</si>
  <si>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</si>
  <si>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</si>
  <si>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</si>
  <si>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</si>
  <si>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</si>
  <si>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</si>
  <si>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</si>
  <si>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</si>
  <si>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</si>
  <si>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</si>
  <si>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</si>
  <si>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</si>
  <si>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</si>
  <si>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</si>
  <si>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</si>
  <si>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</si>
  <si>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</si>
  <si>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</si>
  <si>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</si>
  <si>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</si>
  <si>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</si>
  <si>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</si>
  <si>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</si>
  <si>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</si>
  <si>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</si>
  <si>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</si>
  <si>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</si>
  <si>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</si>
  <si>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</si>
  <si>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</si>
  <si>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</si>
  <si>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</si>
  <si>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</si>
  <si>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</si>
  <si>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</si>
  <si>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</si>
  <si>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</si>
  <si>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</si>
  <si>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</si>
  <si>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</si>
  <si>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</si>
  <si>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</si>
  <si>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</si>
  <si>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</si>
  <si>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</si>
  <si>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</si>
  <si>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</si>
  <si>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</si>
  <si>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</si>
  <si>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</si>
  <si>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</si>
  <si>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</si>
  <si>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</si>
  <si>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</si>
  <si>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</si>
  <si>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</si>
  <si>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</si>
  <si>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</si>
  <si>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</si>
  <si>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</si>
  <si>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</si>
  <si>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</si>
  <si>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</si>
  <si>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</si>
  <si>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</si>
  <si>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</si>
  <si>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</si>
  <si>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</si>
  <si>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</si>
  <si>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</si>
  <si>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</si>
  <si>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</si>
  <si>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</si>
  <si>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</si>
  <si>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</si>
  <si>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</si>
  <si>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</si>
  <si>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</si>
  <si>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</si>
  <si>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</si>
  <si>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</si>
  <si>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</si>
  <si>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</si>
  <si>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</si>
  <si>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</si>
  <si>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</si>
  <si>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</si>
  <si>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</si>
  <si>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</si>
  <si>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</si>
  <si>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</si>
  <si>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</si>
  <si>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</si>
  <si>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</si>
  <si>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</si>
  <si>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</si>
  <si>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</si>
  <si>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</si>
  <si>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</si>
  <si>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</si>
  <si>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</si>
  <si>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</si>
  <si>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</si>
  <si>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</si>
  <si>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</si>
  <si>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</si>
  <si>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</si>
  <si>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</si>
  <si>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</si>
  <si>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</si>
  <si>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</si>
  <si>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</si>
  <si>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</si>
  <si>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</si>
  <si>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</si>
  <si>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</si>
  <si>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</si>
  <si>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</si>
  <si>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</si>
  <si>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</si>
  <si>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</si>
  <si>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</si>
  <si>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</si>
  <si>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</si>
  <si>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</si>
  <si>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</si>
  <si>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</si>
  <si>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</si>
  <si>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</si>
  <si>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</si>
  <si>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</si>
  <si>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</si>
  <si>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</si>
  <si>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</si>
  <si>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</si>
  <si>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</si>
  <si>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</si>
  <si>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</si>
  <si>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</si>
  <si>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</si>
  <si>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</si>
  <si>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</si>
  <si>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</si>
  <si>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</si>
  <si>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</si>
  <si>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</si>
  <si>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</si>
  <si>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</si>
  <si>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</si>
  <si>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</si>
  <si>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</si>
  <si>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</si>
  <si>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</si>
  <si>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</si>
  <si>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</si>
  <si>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</si>
  <si>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</si>
  <si>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</si>
  <si>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</si>
  <si>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</si>
  <si>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</si>
  <si>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</si>
  <si>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</si>
  <si>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</si>
  <si>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</si>
  <si>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</si>
  <si>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</si>
  <si>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</si>
  <si>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</si>
  <si>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</si>
  <si>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</si>
  <si>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</si>
  <si>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</si>
  <si>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</si>
  <si>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</si>
  <si>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</si>
  <si>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</si>
  <si>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</si>
  <si>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</si>
  <si>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</si>
  <si>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</si>
  <si>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</si>
  <si>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</si>
  <si>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</si>
  <si>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</si>
  <si>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</si>
  <si>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</si>
  <si>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</si>
  <si>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</si>
  <si>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</si>
  <si>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</si>
  <si>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</si>
  <si>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</si>
  <si>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</si>
  <si>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</si>
  <si>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</si>
  <si>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</si>
  <si>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</si>
  <si>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</si>
  <si>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</si>
  <si>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</si>
  <si>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</si>
  <si>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</si>
  <si>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</si>
  <si>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</si>
  <si>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</si>
  <si>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</si>
  <si>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</si>
  <si>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</si>
  <si>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</si>
  <si>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</si>
  <si>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</si>
  <si>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</si>
  <si>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</si>
  <si>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</si>
  <si>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</si>
  <si>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</si>
  <si>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</si>
  <si>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</si>
  <si>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</si>
  <si>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</si>
  <si>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</si>
  <si>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</si>
  <si>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</si>
  <si>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</si>
  <si>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</si>
  <si>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</si>
  <si>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</si>
  <si>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</si>
  <si>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</si>
  <si>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</si>
  <si>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</si>
  <si>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</si>
  <si>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</si>
  <si>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</si>
  <si>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</si>
  <si>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</si>
  <si>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</si>
  <si>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</si>
  <si>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</si>
  <si>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</si>
  <si>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</si>
  <si>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</si>
  <si>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</si>
  <si>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</si>
  <si>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</si>
  <si>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</si>
  <si>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</si>
  <si>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</si>
  <si>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</si>
  <si>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</si>
  <si>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</si>
  <si>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</si>
  <si>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</si>
  <si>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</si>
  <si>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</si>
  <si>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</si>
  <si>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</si>
  <si>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</si>
  <si>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</si>
  <si>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</si>
  <si>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</si>
  <si>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</si>
  <si>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</si>
  <si>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</si>
  <si>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</si>
  <si>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</si>
  <si>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</si>
  <si>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</si>
  <si>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</si>
  <si>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</si>
  <si>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</si>
  <si>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</si>
  <si>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</si>
  <si>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</si>
  <si>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</si>
  <si>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</si>
  <si>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</si>
  <si>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</si>
  <si>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</si>
  <si>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</si>
  <si>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</si>
  <si>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</si>
  <si>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</si>
  <si>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</si>
  <si>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</si>
  <si>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</si>
  <si>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</si>
  <si>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</si>
  <si>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</si>
  <si>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</si>
  <si>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</si>
  <si>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</si>
  <si>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</si>
  <si>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</si>
  <si>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</si>
  <si>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</si>
  <si>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</si>
  <si>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</si>
  <si>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</si>
  <si>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</si>
  <si>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</si>
  <si>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</si>
  <si>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</si>
  <si>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</si>
  <si>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</si>
  <si>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</si>
  <si>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</si>
  <si>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</si>
  <si>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</si>
  <si>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</si>
  <si>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</si>
  <si>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</si>
  <si>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</si>
  <si>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</si>
  <si>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</si>
  <si>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</si>
  <si>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</si>
  <si>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</si>
  <si>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</si>
  <si>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</si>
  <si>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</si>
  <si>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</si>
  <si>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</si>
  <si>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</si>
  <si>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</si>
  <si>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</si>
  <si>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</si>
  <si>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</si>
  <si>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</si>
  <si>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</si>
  <si>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</si>
  <si>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</si>
  <si>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</si>
  <si>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</si>
  <si>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</si>
  <si>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</si>
  <si>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</si>
  <si>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</si>
  <si>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</si>
  <si>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</si>
  <si>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</si>
  <si>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</si>
  <si>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</si>
  <si>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</si>
  <si>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</si>
  <si>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</si>
  <si>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</si>
  <si>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</si>
  <si>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</si>
  <si>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</si>
  <si>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</si>
  <si>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</si>
  <si>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</si>
  <si>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</si>
  <si>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</si>
  <si>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</si>
  <si>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</si>
  <si>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</si>
  <si>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</si>
  <si>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</si>
  <si>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</si>
  <si>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</si>
  <si>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</si>
  <si>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</si>
  <si>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</si>
  <si>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</si>
  <si>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</si>
  <si>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</si>
  <si>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</si>
  <si>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</si>
  <si>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</si>
  <si>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</si>
  <si>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</si>
  <si>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</si>
  <si>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</si>
  <si>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</si>
  <si>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</si>
  <si>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</si>
  <si>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</si>
  <si>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</si>
  <si>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</si>
  <si>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</si>
  <si>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</si>
  <si>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</si>
  <si>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</si>
  <si>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</si>
  <si>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</si>
  <si>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</si>
  <si>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</si>
  <si>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</si>
  <si>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</si>
  <si>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</si>
  <si>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</si>
  <si>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</si>
  <si>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</si>
  <si>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</si>
  <si>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</si>
  <si>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</si>
  <si>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</si>
  <si>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</si>
  <si>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</si>
  <si>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</si>
  <si>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</si>
  <si>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</si>
  <si>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</si>
  <si>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</si>
  <si>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</si>
  <si>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</si>
  <si>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</si>
  <si>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</si>
  <si>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</si>
  <si>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</si>
  <si>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</si>
  <si>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</si>
  <si>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</si>
  <si>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</si>
  <si>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</si>
  <si>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</si>
  <si>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</si>
  <si>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</si>
  <si>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</si>
  <si>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</si>
  <si>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</si>
  <si>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</si>
  <si>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</si>
  <si>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</si>
  <si>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</si>
  <si>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</si>
  <si>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</si>
  <si>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</si>
  <si>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</si>
  <si>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</si>
  <si>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</si>
  <si>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</si>
  <si>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</si>
  <si>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</si>
  <si>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</si>
  <si>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</si>
  <si>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</si>
  <si>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</si>
  <si>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</si>
  <si>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</si>
  <si>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</si>
  <si>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</si>
  <si>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</si>
  <si>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</si>
  <si>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</si>
  <si>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</si>
  <si>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</si>
  <si>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</si>
  <si>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</si>
  <si>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</si>
  <si>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</si>
  <si>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</si>
  <si>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</si>
  <si>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</si>
  <si>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</si>
  <si>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</si>
  <si>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</si>
  <si>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</si>
  <si>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</si>
  <si>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</si>
  <si>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</si>
  <si>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</si>
  <si>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</si>
  <si>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</si>
  <si>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</si>
  <si>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</si>
  <si>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</si>
  <si>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</si>
  <si>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</si>
  <si>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</si>
  <si>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</si>
  <si>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</si>
  <si>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</si>
  <si>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</si>
  <si>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</si>
  <si>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</si>
  <si>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</si>
  <si>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</si>
  <si>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</si>
  <si>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</si>
  <si>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</si>
  <si>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</si>
  <si>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</si>
  <si>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</si>
  <si>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</si>
  <si>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</si>
  <si>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</si>
  <si>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</si>
  <si>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</si>
  <si>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</si>
  <si>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</si>
  <si>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</si>
  <si>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</si>
  <si>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</si>
  <si>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</si>
  <si>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</si>
  <si>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</si>
  <si>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</si>
  <si>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</si>
  <si>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</si>
  <si>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</si>
  <si>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</si>
  <si>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</si>
  <si>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</si>
  <si>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</si>
  <si>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</si>
  <si>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</si>
  <si>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</si>
  <si>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</si>
  <si>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</si>
  <si>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</si>
  <si>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</si>
  <si>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</si>
  <si>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</si>
  <si>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</si>
  <si>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</si>
  <si>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</si>
  <si>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</si>
  <si>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</si>
  <si>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</si>
  <si>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</si>
  <si>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</si>
  <si>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</si>
  <si>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</si>
  <si>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</si>
  <si>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</si>
  <si>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</si>
  <si>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</si>
  <si>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</si>
  <si>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</si>
  <si>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</si>
  <si>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</si>
  <si>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</si>
  <si>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</si>
  <si>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</si>
  <si>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</si>
  <si>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</si>
  <si>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</si>
  <si>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</si>
  <si>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</si>
  <si>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</si>
  <si>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</si>
  <si>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</si>
  <si>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</si>
  <si>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</si>
  <si>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</si>
  <si>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</si>
  <si>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</si>
  <si>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</si>
  <si>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</si>
  <si>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</si>
  <si>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</si>
  <si>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</si>
  <si>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</si>
  <si>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</si>
  <si>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</si>
  <si>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</si>
  <si>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</si>
  <si>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BERLIN PUBLIC SCHOOLS</t>
  </si>
  <si>
    <t>12/97</t>
  </si>
  <si>
    <t>07/06</t>
  </si>
  <si>
    <t>01/13</t>
  </si>
  <si>
    <t>01/03</t>
  </si>
  <si>
    <t>07/16</t>
  </si>
  <si>
    <t>12/14</t>
  </si>
  <si>
    <t>01/10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</si>
</sst>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10" fillId="0" borderId="0" xfId="0" applyNumberFormat="1" applyFont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25D76-E055-4641-B36E-7CF1193F81A1}">
  <sheetPr transitionEvaluation="1" transitionEntry="1" codeName="Sheet1">
    <tabColor indexed="56"/>
  </sheetPr>
  <dimension ref="A1:AQ666"/>
  <sheetViews>
    <sheetView tabSelected="1" zoomScale="75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51</v>
      </c>
      <c r="C2" s="21"/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6664.57</v>
      </c>
      <c r="G9" s="18">
        <f>87397.75</f>
        <v>87397.75</v>
      </c>
      <c r="H9" s="18">
        <f>43008.31-6664.57</f>
        <v>36343.74</v>
      </c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/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6664.57</v>
      </c>
      <c r="G19" s="41">
        <f>SUM(G9:G18)</f>
        <v>87397.75</v>
      </c>
      <c r="H19" s="41">
        <f>SUM(H9:H18)</f>
        <v>36343.74</v>
      </c>
      <c r="I19" s="41">
        <f>SUM(I9:I18)</f>
        <v>0</v>
      </c>
      <c r="J19" s="41">
        <f>SUM(J9:J18)</f>
        <v>0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/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0</v>
      </c>
      <c r="G33" s="41">
        <f>SUM(G23:G32)</f>
        <v>0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6664.57</v>
      </c>
      <c r="G41" s="18">
        <f>87397.75</f>
        <v>87397.75</v>
      </c>
      <c r="H41" s="18">
        <f>43008.31-6664.57</f>
        <v>36343.74</v>
      </c>
      <c r="I41" s="18"/>
      <c r="J41" s="13">
        <f>SUM(I449)</f>
        <v>0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/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6664.57</v>
      </c>
      <c r="G43" s="41">
        <f>SUM(G35:G42)</f>
        <v>87397.75</v>
      </c>
      <c r="H43" s="41">
        <f>SUM(H35:H42)</f>
        <v>36343.74</v>
      </c>
      <c r="I43" s="41">
        <f>SUM(I35:I42)</f>
        <v>0</v>
      </c>
      <c r="J43" s="41">
        <f>SUM(J35:J42)</f>
        <v>0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6664.57</v>
      </c>
      <c r="G44" s="41">
        <f>G43+G33</f>
        <v>87397.75</v>
      </c>
      <c r="H44" s="41">
        <f>H43+H33</f>
        <v>36343.74</v>
      </c>
      <c r="I44" s="41">
        <f>I43+I33</f>
        <v>0</v>
      </c>
      <c r="J44" s="41">
        <f>J43+J33</f>
        <v>0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f>2076556.05+27350.53+6664.57</f>
        <v>2110571.15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2110571.15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1399828.95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31994.26</v>
      </c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1431823.21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>
        <v>8701.41</v>
      </c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8701.41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/>
      <c r="G88" s="18"/>
      <c r="H88" s="18"/>
      <c r="I88" s="18"/>
      <c r="J88" s="18"/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191475.1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>
        <v>200</v>
      </c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f>28500+5000+42000+17500+9895.61+8500</f>
        <v>111395.61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>
        <v>141</v>
      </c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13696.42</v>
      </c>
      <c r="G97" s="18"/>
      <c r="H97" s="18">
        <v>51970</v>
      </c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41762.120000000003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55799.54</v>
      </c>
      <c r="G103" s="41">
        <f>SUM(G88:G102)</f>
        <v>191475.1</v>
      </c>
      <c r="H103" s="41">
        <f>SUM(H88:H102)</f>
        <v>163365.60999999999</v>
      </c>
      <c r="I103" s="41">
        <f>SUM(I88:I102)</f>
        <v>0</v>
      </c>
      <c r="J103" s="41">
        <f>SUM(J88:J102)</f>
        <v>0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3606895.31</v>
      </c>
      <c r="G104" s="41">
        <f>G52+G103</f>
        <v>191475.1</v>
      </c>
      <c r="H104" s="41">
        <f>H52+H71+H86+H103</f>
        <v>163365.60999999999</v>
      </c>
      <c r="I104" s="41">
        <f>I52+I103</f>
        <v>0</v>
      </c>
      <c r="J104" s="41">
        <f>J52+J103</f>
        <v>0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10380358.34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820937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376492.66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11577788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314184.94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69187.98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35813.599999999999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9702.51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>
        <v>11700</v>
      </c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419186.51999999996</v>
      </c>
      <c r="G128" s="41">
        <f>SUM(G115:G127)</f>
        <v>9702.51</v>
      </c>
      <c r="H128" s="41">
        <f>SUM(H115:H127)</f>
        <v>11700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11996974.52</v>
      </c>
      <c r="G132" s="41">
        <f>G113+SUM(G128:G129)</f>
        <v>9702.51</v>
      </c>
      <c r="H132" s="41">
        <f>H113+SUM(H128:H131)</f>
        <v>11700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>
        <f>196565.87+11881.88</f>
        <v>208447.75</v>
      </c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657531.04+264521.03+23573.85</f>
        <v>945625.92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173217.59+229367.91+25028.41+23510.29</f>
        <v>451124.19999999995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16156.67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372167.9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11298.71+335599.44+204609.31+5020.36</f>
        <v>556527.81999999995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191303.57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>
        <f>1689.01+49910.6</f>
        <v>51599.61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191303.57</v>
      </c>
      <c r="G154" s="41">
        <f>SUM(G142:G153)</f>
        <v>372167.9</v>
      </c>
      <c r="H154" s="41">
        <f>SUM(H142:H153)</f>
        <v>2229481.9699999997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>
        <v>24229.1</v>
      </c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34015.1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249547.77000000002</v>
      </c>
      <c r="G161" s="41">
        <f>G139+G154+SUM(G155:G160)</f>
        <v>372167.9</v>
      </c>
      <c r="H161" s="41">
        <f>H139+H154+SUM(H155:H160)</f>
        <v>2229481.9699999997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15853417.6</v>
      </c>
      <c r="G185" s="47">
        <f>G104+G132+G161+G184</f>
        <v>573345.51</v>
      </c>
      <c r="H185" s="47">
        <f>H104+H132+H161+H184</f>
        <v>2404547.5799999996</v>
      </c>
      <c r="I185" s="47">
        <f>I104+I132+I161+I184</f>
        <v>0</v>
      </c>
      <c r="J185" s="47">
        <f>J104+J132+J184</f>
        <v>0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30782.18+1795821.03+43236</f>
        <v>1869839.21</v>
      </c>
      <c r="G189" s="18">
        <f>38137.22+638220.49+9239.78</f>
        <v>685597.49</v>
      </c>
      <c r="H189" s="18">
        <f>32008.45+666+5991</f>
        <v>38665.449999999997</v>
      </c>
      <c r="I189" s="18">
        <f>2140.52+66228.76+3375.06+1166.4+1470.25</f>
        <v>74380.989999999991</v>
      </c>
      <c r="J189" s="18">
        <f>19728.73+283.49+4929+4638.77</f>
        <v>29579.99</v>
      </c>
      <c r="K189" s="18"/>
      <c r="L189" s="19">
        <f>SUM(F189:K189)</f>
        <v>2698063.1300000008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47389.83+748896.95+4804</f>
        <v>801090.77999999991</v>
      </c>
      <c r="G190" s="18">
        <f>5244.78+143025.13+3958.58</f>
        <v>152228.49</v>
      </c>
      <c r="H190" s="18">
        <f>5532.94+215347.82</f>
        <v>220880.76</v>
      </c>
      <c r="I190" s="18">
        <f>453.41+3659.85+1780.54+1136.51</f>
        <v>7030.31</v>
      </c>
      <c r="J190" s="18">
        <f>748</f>
        <v>748</v>
      </c>
      <c r="K190" s="18"/>
      <c r="L190" s="19">
        <f>SUM(F190:K190)</f>
        <v>1181978.3399999999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40333.870000000003</v>
      </c>
      <c r="G192" s="18">
        <f>4339.47+199.31</f>
        <v>4538.7800000000007</v>
      </c>
      <c r="H192" s="18">
        <f>352+4723.5</f>
        <v>5075.5</v>
      </c>
      <c r="I192" s="18">
        <f>572.07</f>
        <v>572.07000000000005</v>
      </c>
      <c r="J192" s="18"/>
      <c r="K192" s="18">
        <f>150</f>
        <v>150</v>
      </c>
      <c r="L192" s="19">
        <f>SUM(F192:K192)</f>
        <v>50670.22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186705.35+3526+169829.98</f>
        <v>360061.33</v>
      </c>
      <c r="G194" s="18">
        <f>45298.42+269.76+73830.74+1779.24</f>
        <v>121178.16000000002</v>
      </c>
      <c r="H194" s="18">
        <f>484+756+150282.72+9127.55+14281.65+552</f>
        <v>175483.91999999998</v>
      </c>
      <c r="I194" s="18">
        <f>2207.55+1562.84+1724.56</f>
        <v>5494.9500000000007</v>
      </c>
      <c r="J194" s="18">
        <f>703.75+54.88</f>
        <v>758.63</v>
      </c>
      <c r="K194" s="18">
        <f>71.2+155</f>
        <v>226.2</v>
      </c>
      <c r="L194" s="19">
        <f t="shared" ref="L194:L200" si="0">SUM(F194:K194)</f>
        <v>663203.18999999994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78840.89</f>
        <v>78840.89</v>
      </c>
      <c r="G195" s="18">
        <f>467.41+41075.73+389.59</f>
        <v>41932.730000000003</v>
      </c>
      <c r="H195" s="18">
        <f>376+2807</f>
        <v>3183</v>
      </c>
      <c r="I195" s="18">
        <f>7103.15</f>
        <v>7103.15</v>
      </c>
      <c r="J195" s="18"/>
      <c r="K195" s="18">
        <f>622</f>
        <v>622</v>
      </c>
      <c r="L195" s="19">
        <f t="shared" si="0"/>
        <v>131681.76999999999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67269.37+55059.43+5092.24</f>
        <v>127421.04</v>
      </c>
      <c r="G196" s="18">
        <f>26405.43+11796.9+629.65</f>
        <v>38831.980000000003</v>
      </c>
      <c r="H196" s="18">
        <f>10055.28+11248.91+2783.15+26610.2</f>
        <v>50697.540000000008</v>
      </c>
      <c r="I196" s="18">
        <f>2279.89+1008.02</f>
        <v>3287.91</v>
      </c>
      <c r="J196" s="18">
        <f>909.44+618.03</f>
        <v>1527.47</v>
      </c>
      <c r="K196" s="18">
        <f>8425.95+470+571.33+240.09</f>
        <v>9707.3700000000008</v>
      </c>
      <c r="L196" s="19">
        <f t="shared" si="0"/>
        <v>231473.31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193892.25+4804</f>
        <v>198696.25</v>
      </c>
      <c r="G197" s="18">
        <f>49998.54+981.85</f>
        <v>50980.39</v>
      </c>
      <c r="H197" s="18">
        <f>29379.33</f>
        <v>29379.33</v>
      </c>
      <c r="I197" s="18">
        <f>327.73</f>
        <v>327.73</v>
      </c>
      <c r="J197" s="18"/>
      <c r="K197" s="18">
        <f>1420</f>
        <v>1420</v>
      </c>
      <c r="L197" s="19">
        <f t="shared" si="0"/>
        <v>280803.7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f>68216.67</f>
        <v>68216.67</v>
      </c>
      <c r="G198" s="18">
        <f>29830.81+337.09</f>
        <v>30167.9</v>
      </c>
      <c r="H198" s="18">
        <f>506.16+11525.81</f>
        <v>12031.97</v>
      </c>
      <c r="I198" s="18"/>
      <c r="J198" s="18"/>
      <c r="K198" s="18">
        <f>135.25</f>
        <v>135.25</v>
      </c>
      <c r="L198" s="19">
        <f t="shared" si="0"/>
        <v>110551.79000000001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69727.48+74732.47</f>
        <v>144459.95000000001</v>
      </c>
      <c r="G199" s="18">
        <f>21145.93+43507.55+713.85</f>
        <v>65367.33</v>
      </c>
      <c r="H199" s="18">
        <f>68137.89+35626.33+725.73</f>
        <v>104489.95</v>
      </c>
      <c r="I199" s="18">
        <f>77895.25+187633.24+21567.29</f>
        <v>287095.77999999997</v>
      </c>
      <c r="J199" s="18">
        <f>14741.31</f>
        <v>14741.31</v>
      </c>
      <c r="K199" s="18"/>
      <c r="L199" s="19">
        <f t="shared" si="0"/>
        <v>616154.32000000007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f>93145.7+991.91+4118.71+5735.95</f>
        <v>103992.27</v>
      </c>
      <c r="G200" s="18">
        <f>18684.99+75.87+314.94+438.5+513.88</f>
        <v>20028.18</v>
      </c>
      <c r="H200" s="18">
        <f>19897.89+5050.25+3767.63</f>
        <v>28715.77</v>
      </c>
      <c r="I200" s="18">
        <f>44717.91</f>
        <v>44717.91</v>
      </c>
      <c r="J200" s="18"/>
      <c r="K200" s="18">
        <f>294.63</f>
        <v>294.63</v>
      </c>
      <c r="L200" s="19">
        <f t="shared" si="0"/>
        <v>197748.76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3792952.2600000002</v>
      </c>
      <c r="G203" s="41">
        <f t="shared" si="1"/>
        <v>1210851.43</v>
      </c>
      <c r="H203" s="41">
        <f t="shared" si="1"/>
        <v>668603.19000000006</v>
      </c>
      <c r="I203" s="41">
        <f t="shared" si="1"/>
        <v>430010.79999999993</v>
      </c>
      <c r="J203" s="41">
        <f t="shared" si="1"/>
        <v>47355.4</v>
      </c>
      <c r="K203" s="41">
        <f t="shared" si="1"/>
        <v>12555.45</v>
      </c>
      <c r="L203" s="41">
        <f t="shared" si="1"/>
        <v>6162328.5300000003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f>11133.98+895170.2+14412</f>
        <v>920716.17999999993</v>
      </c>
      <c r="G207" s="18">
        <f>13794.31+348619.2+4549.71</f>
        <v>366963.22000000003</v>
      </c>
      <c r="H207" s="18">
        <f>11577.53+3069.24</f>
        <v>14646.77</v>
      </c>
      <c r="I207" s="18">
        <f>774.23+39076.07</f>
        <v>39850.300000000003</v>
      </c>
      <c r="J207" s="18">
        <f>7135.92+2464.71+2863</f>
        <v>12463.630000000001</v>
      </c>
      <c r="K207" s="18">
        <f>1085</f>
        <v>1085</v>
      </c>
      <c r="L207" s="19">
        <f>SUM(F207:K207)</f>
        <v>1355725.0999999999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f>6318.64+253603.98+4804+4804-11970.88</f>
        <v>257559.74</v>
      </c>
      <c r="G208" s="18">
        <f>699.3+34163.16+1331.88-1515.9</f>
        <v>34678.44</v>
      </c>
      <c r="H208" s="18">
        <f>737.73+212506.98</f>
        <v>213244.71000000002</v>
      </c>
      <c r="I208" s="18">
        <f>60.46+2206.83-500</f>
        <v>1767.29</v>
      </c>
      <c r="J208" s="18">
        <f>21.88</f>
        <v>21.88</v>
      </c>
      <c r="K208" s="18"/>
      <c r="L208" s="19">
        <f>SUM(F208:K208)</f>
        <v>507272.06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f>23218+11970.88</f>
        <v>35188.879999999997</v>
      </c>
      <c r="G210" s="18">
        <f>2724.31+114.73+1515.9</f>
        <v>4354.9400000000005</v>
      </c>
      <c r="H210" s="18">
        <f>1708.5</f>
        <v>1708.5</v>
      </c>
      <c r="I210" s="18">
        <f>2146.1+500</f>
        <v>2646.1</v>
      </c>
      <c r="J210" s="18"/>
      <c r="K210" s="18">
        <f>590</f>
        <v>590</v>
      </c>
      <c r="L210" s="19">
        <f>SUM(F210:K210)</f>
        <v>44488.42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f>18670.53+83832.17+4804</f>
        <v>107306.7</v>
      </c>
      <c r="G212" s="18">
        <f>4529.84+33651.26+530.25</f>
        <v>38711.350000000006</v>
      </c>
      <c r="H212" s="18">
        <f>66.55+75.6+18785.34+1123.39+5908</f>
        <v>25958.880000000001</v>
      </c>
      <c r="I212" s="18">
        <f>303.54+156.28+1043.42</f>
        <v>1503.2400000000002</v>
      </c>
      <c r="J212" s="18">
        <f>70.38</f>
        <v>70.38</v>
      </c>
      <c r="K212" s="18">
        <f>9.79+100</f>
        <v>109.78999999999999</v>
      </c>
      <c r="L212" s="19">
        <f t="shared" ref="L212:L218" si="2">SUM(F212:K212)</f>
        <v>173660.34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f>28480.5</f>
        <v>28480.5</v>
      </c>
      <c r="G213" s="18">
        <f>169.07+15957.49+140.74</f>
        <v>16267.3</v>
      </c>
      <c r="H213" s="18">
        <f>136+2858.91</f>
        <v>2994.91</v>
      </c>
      <c r="I213" s="18">
        <f>4096.28</f>
        <v>4096.28</v>
      </c>
      <c r="J213" s="18"/>
      <c r="K213" s="18">
        <f>202</f>
        <v>202</v>
      </c>
      <c r="L213" s="19">
        <f t="shared" si="2"/>
        <v>52040.990000000005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f>24331.47+15582.86+1441.2</f>
        <v>41355.53</v>
      </c>
      <c r="G214" s="18">
        <f>9550.9+3338.75+204.36</f>
        <v>13094.01</v>
      </c>
      <c r="H214" s="18">
        <f>3637.01+4068.75+787.69+9624.96</f>
        <v>18118.41</v>
      </c>
      <c r="I214" s="18">
        <f>824.64+285.29</f>
        <v>1109.93</v>
      </c>
      <c r="J214" s="18">
        <f>328.95+174.92</f>
        <v>503.87</v>
      </c>
      <c r="K214" s="18">
        <f>3047.69+170+206.65+67.95</f>
        <v>3492.29</v>
      </c>
      <c r="L214" s="19">
        <f t="shared" si="2"/>
        <v>77674.039999999979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f>119995.84</f>
        <v>119995.84</v>
      </c>
      <c r="G215" s="18">
        <f>59746.32+592.96</f>
        <v>60339.28</v>
      </c>
      <c r="H215" s="18">
        <v>14502.88</v>
      </c>
      <c r="I215" s="18">
        <f>576.37</f>
        <v>576.37</v>
      </c>
      <c r="J215" s="18"/>
      <c r="K215" s="18">
        <f>940</f>
        <v>940</v>
      </c>
      <c r="L215" s="19">
        <f t="shared" si="2"/>
        <v>196354.37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f>24674.11</f>
        <v>24674.11</v>
      </c>
      <c r="G216" s="18">
        <f>10789.87+121.93</f>
        <v>10911.800000000001</v>
      </c>
      <c r="H216" s="18">
        <f>183.08+4168.91</f>
        <v>4351.99</v>
      </c>
      <c r="I216" s="18"/>
      <c r="J216" s="18"/>
      <c r="K216" s="18">
        <f>48.92</f>
        <v>48.92</v>
      </c>
      <c r="L216" s="19">
        <f t="shared" si="2"/>
        <v>39986.82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f>25220.58+79419.69</f>
        <v>104640.27</v>
      </c>
      <c r="G217" s="18">
        <f>7648.53+36018.66+517.08</f>
        <v>44184.270000000004</v>
      </c>
      <c r="H217" s="18">
        <f>24645.62+20503.47</f>
        <v>45149.09</v>
      </c>
      <c r="I217" s="18">
        <f>28174.88+81011.11+7800.94+262.5</f>
        <v>117249.43000000001</v>
      </c>
      <c r="J217" s="18">
        <f>5331.96</f>
        <v>5331.96</v>
      </c>
      <c r="K217" s="18"/>
      <c r="L217" s="19">
        <f t="shared" si="2"/>
        <v>316555.02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f>42755.4+132.25+637.42+8130.48</f>
        <v>51655.55</v>
      </c>
      <c r="G218" s="18">
        <f>8576.71+10.12+48.74+621.52+255.26</f>
        <v>9512.35</v>
      </c>
      <c r="H218" s="18">
        <f>9133.46+1729.41</f>
        <v>10862.869999999999</v>
      </c>
      <c r="I218" s="18">
        <f>20526.25</f>
        <v>20526.25</v>
      </c>
      <c r="J218" s="18"/>
      <c r="K218" s="18">
        <f>135.24</f>
        <v>135.24</v>
      </c>
      <c r="L218" s="19">
        <f t="shared" si="2"/>
        <v>92692.260000000009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1691573.3</v>
      </c>
      <c r="G221" s="41">
        <f>SUM(G207:G220)</f>
        <v>599016.96000000008</v>
      </c>
      <c r="H221" s="41">
        <f>SUM(H207:H220)</f>
        <v>351539.01</v>
      </c>
      <c r="I221" s="41">
        <f>SUM(I207:I220)</f>
        <v>189325.19</v>
      </c>
      <c r="J221" s="41">
        <f>SUM(J207:J220)</f>
        <v>18391.72</v>
      </c>
      <c r="K221" s="41">
        <f t="shared" si="3"/>
        <v>6603.24</v>
      </c>
      <c r="L221" s="41">
        <f t="shared" si="3"/>
        <v>2856449.42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23577.84+1833635.36+28824+4.97</f>
        <v>1886042.1700000002</v>
      </c>
      <c r="G225" s="18">
        <f>29211.49+715059.5+9319.8-4.97</f>
        <v>753585.82000000007</v>
      </c>
      <c r="H225" s="18">
        <f>24517.12+1156.14</f>
        <v>25673.26</v>
      </c>
      <c r="I225" s="18">
        <f>1639.54+74855.63</f>
        <v>76495.17</v>
      </c>
      <c r="J225" s="18">
        <f>15111.37+24223.27</f>
        <v>39334.639999999999</v>
      </c>
      <c r="K225" s="18">
        <f>530</f>
        <v>530</v>
      </c>
      <c r="L225" s="19">
        <f>SUM(F225:K225)</f>
        <v>2781661.06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f>9477.96+472930.05</f>
        <v>482408.01</v>
      </c>
      <c r="G226" s="18">
        <f>1048.95+118071.54+2383.81</f>
        <v>121504.29999999999</v>
      </c>
      <c r="H226" s="18">
        <f>1106.59+727211.31</f>
        <v>728317.9</v>
      </c>
      <c r="I226" s="18">
        <f>90.68+2419.63</f>
        <v>2510.31</v>
      </c>
      <c r="J226" s="18">
        <f>2969.7</f>
        <v>2969.7</v>
      </c>
      <c r="K226" s="18"/>
      <c r="L226" s="19">
        <f>SUM(F226:K226)</f>
        <v>1337710.22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f>410586.49+4804</f>
        <v>415390.49</v>
      </c>
      <c r="G227" s="18">
        <f>165444.39+2052.65</f>
        <v>167497.04</v>
      </c>
      <c r="H227" s="18">
        <f>3011.37</f>
        <v>3011.37</v>
      </c>
      <c r="I227" s="18">
        <f>45324.01</f>
        <v>45324.01</v>
      </c>
      <c r="J227" s="18">
        <f>1183.87</f>
        <v>1183.8699999999999</v>
      </c>
      <c r="K227" s="18"/>
      <c r="L227" s="19">
        <f>SUM(F227:K227)</f>
        <v>632406.78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f>100880.14</f>
        <v>100880.14</v>
      </c>
      <c r="G228" s="18">
        <f>12815.49+498.5</f>
        <v>13313.99</v>
      </c>
      <c r="H228" s="18">
        <f>38310.92+3618</f>
        <v>41928.92</v>
      </c>
      <c r="I228" s="18">
        <f>15752.11</f>
        <v>15752.11</v>
      </c>
      <c r="J228" s="18">
        <f>1734.95</f>
        <v>1734.95</v>
      </c>
      <c r="K228" s="18">
        <f>7043.17</f>
        <v>7043.17</v>
      </c>
      <c r="L228" s="19">
        <f>SUM(F228:K228)</f>
        <v>180653.28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f>2074.5+4674+211560.72+4804</f>
        <v>223113.22</v>
      </c>
      <c r="G230" s="18">
        <f>503.32+357.6+74075.5+1102.51+575.59</f>
        <v>76614.51999999999</v>
      </c>
      <c r="H230" s="18">
        <f>54.45+8.4+39657.94+3791.45+18931.49+8308.59</f>
        <v>70752.319999999992</v>
      </c>
      <c r="I230" s="18">
        <f>248.35+17.36+6530.79</f>
        <v>6796.5</v>
      </c>
      <c r="J230" s="18">
        <f>7.82+2507.72</f>
        <v>2515.54</v>
      </c>
      <c r="K230" s="18">
        <f>8.01+220</f>
        <v>228.01</v>
      </c>
      <c r="L230" s="19">
        <f t="shared" ref="L230:L236" si="4">SUM(F230:K230)</f>
        <v>380020.11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f>52263.9</f>
        <v>52263.9</v>
      </c>
      <c r="G231" s="18">
        <f>358.02+22258.87+258.26</f>
        <v>22875.149999999998</v>
      </c>
      <c r="H231" s="18">
        <f>288+6506.07</f>
        <v>6794.07</v>
      </c>
      <c r="I231" s="18">
        <f>12190.94</f>
        <v>12190.94</v>
      </c>
      <c r="J231" s="18">
        <f>4343.49</f>
        <v>4343.49</v>
      </c>
      <c r="K231" s="18">
        <f>476</f>
        <v>476</v>
      </c>
      <c r="L231" s="19">
        <f t="shared" si="4"/>
        <v>98943.55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f>51525.48+33243.43+88869.4+3074.56</f>
        <v>176712.87</v>
      </c>
      <c r="G232" s="18">
        <f>20225.44+7122.66+28075.62+873.22</f>
        <v>56296.94</v>
      </c>
      <c r="H232" s="18">
        <f>7701.91+8616.19+1680.4+3881.37+20382.28</f>
        <v>42262.149999999994</v>
      </c>
      <c r="I232" s="18">
        <f>1746.3+608.62</f>
        <v>2354.92</v>
      </c>
      <c r="J232" s="18">
        <f>696.59+373.15</f>
        <v>1069.74</v>
      </c>
      <c r="K232" s="18">
        <f>6453.92+360+437.62+144.96+100</f>
        <v>7496.5</v>
      </c>
      <c r="L232" s="19">
        <f t="shared" si="4"/>
        <v>286193.11999999994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f>235544.12+9608</f>
        <v>245152.12</v>
      </c>
      <c r="G233" s="18">
        <f>55333+1211.42</f>
        <v>56544.42</v>
      </c>
      <c r="H233" s="18">
        <f>13807.78</f>
        <v>13807.78</v>
      </c>
      <c r="I233" s="18">
        <f>4141.32</f>
        <v>4141.32</v>
      </c>
      <c r="J233" s="18">
        <f>6016.44</f>
        <v>6016.44</v>
      </c>
      <c r="K233" s="18">
        <f>19496.01</f>
        <v>19496.009999999998</v>
      </c>
      <c r="L233" s="19">
        <f t="shared" si="4"/>
        <v>345158.09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f>52251.07</f>
        <v>52251.07</v>
      </c>
      <c r="G234" s="18">
        <f>22849.13+258.2</f>
        <v>23107.33</v>
      </c>
      <c r="H234" s="18">
        <f>387.69+8828.28</f>
        <v>9215.9700000000012</v>
      </c>
      <c r="I234" s="18"/>
      <c r="J234" s="18"/>
      <c r="K234" s="18">
        <f>103.59</f>
        <v>103.59</v>
      </c>
      <c r="L234" s="19">
        <f t="shared" si="4"/>
        <v>84677.959999999992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f>53408.29+90200.49+4804</f>
        <v>148412.78</v>
      </c>
      <c r="G235" s="18">
        <f>16196.89+49086.24+733.38</f>
        <v>66016.509999999995</v>
      </c>
      <c r="H235" s="18">
        <f>52190.72+39610.96+555.88</f>
        <v>92357.56</v>
      </c>
      <c r="I235" s="18">
        <f>59664.45+218524.64+16519.63</f>
        <v>294708.72000000003</v>
      </c>
      <c r="J235" s="18">
        <f>11291.21</f>
        <v>11291.21</v>
      </c>
      <c r="K235" s="18"/>
      <c r="L235" s="19">
        <f t="shared" si="4"/>
        <v>612786.78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f>16796.76+198.38+21157.55</f>
        <v>38152.69</v>
      </c>
      <c r="G236" s="18">
        <f>3369.42+15.17+1617.86+188.53</f>
        <v>5190.9799999999996</v>
      </c>
      <c r="H236" s="18">
        <f>3588.15+32035.88+679.41</f>
        <v>36303.440000000002</v>
      </c>
      <c r="I236" s="18">
        <f>8063.89</f>
        <v>8063.89</v>
      </c>
      <c r="J236" s="18"/>
      <c r="K236" s="18">
        <f>53.13</f>
        <v>53.13</v>
      </c>
      <c r="L236" s="19">
        <f t="shared" si="4"/>
        <v>87764.13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3820779.46</v>
      </c>
      <c r="G239" s="41">
        <f t="shared" si="5"/>
        <v>1362547</v>
      </c>
      <c r="H239" s="41">
        <f t="shared" si="5"/>
        <v>1070424.74</v>
      </c>
      <c r="I239" s="41">
        <f t="shared" si="5"/>
        <v>468337.89</v>
      </c>
      <c r="J239" s="41">
        <f t="shared" si="5"/>
        <v>70459.579999999987</v>
      </c>
      <c r="K239" s="41">
        <f t="shared" si="5"/>
        <v>35426.409999999996</v>
      </c>
      <c r="L239" s="41">
        <f t="shared" si="5"/>
        <v>6827975.080000001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9305305.0199999996</v>
      </c>
      <c r="G249" s="41">
        <f t="shared" si="8"/>
        <v>3172415.39</v>
      </c>
      <c r="H249" s="41">
        <f t="shared" si="8"/>
        <v>2090566.94</v>
      </c>
      <c r="I249" s="41">
        <f t="shared" si="8"/>
        <v>1087673.8799999999</v>
      </c>
      <c r="J249" s="41">
        <f t="shared" si="8"/>
        <v>136206.69999999998</v>
      </c>
      <c r="K249" s="41">
        <f t="shared" si="8"/>
        <v>54585.1</v>
      </c>
      <c r="L249" s="41">
        <f t="shared" si="8"/>
        <v>15846753.030000001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0</v>
      </c>
      <c r="L262" s="41">
        <f t="shared" si="9"/>
        <v>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9305305.0199999996</v>
      </c>
      <c r="G263" s="42">
        <f t="shared" si="11"/>
        <v>3172415.39</v>
      </c>
      <c r="H263" s="42">
        <f t="shared" si="11"/>
        <v>2090566.94</v>
      </c>
      <c r="I263" s="42">
        <f t="shared" si="11"/>
        <v>1087673.8799999999</v>
      </c>
      <c r="J263" s="42">
        <f t="shared" si="11"/>
        <v>136206.69999999998</v>
      </c>
      <c r="K263" s="42">
        <f t="shared" si="11"/>
        <v>54585.1</v>
      </c>
      <c r="L263" s="42">
        <f t="shared" si="11"/>
        <v>15846753.030000001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158148.44</f>
        <v>158148.44</v>
      </c>
      <c r="G268" s="18">
        <f>23610.53</f>
        <v>23610.53</v>
      </c>
      <c r="H268" s="18">
        <f>549.9+1400</f>
        <v>1949.9</v>
      </c>
      <c r="I268" s="18">
        <f>2675.61+16252.72-3375.06</f>
        <v>15553.269999999999</v>
      </c>
      <c r="J268" s="18">
        <f>25468.42-4929</f>
        <v>20539.419999999998</v>
      </c>
      <c r="K268" s="18"/>
      <c r="L268" s="19">
        <f>SUM(F268:K268)</f>
        <v>219801.56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15315.96+67267.71+639703.3+4663.67</f>
        <v>726950.64000000013</v>
      </c>
      <c r="G269" s="18">
        <f>2598.46+5314.87+131154.85+356.69</f>
        <v>139424.87</v>
      </c>
      <c r="H269" s="18">
        <f>10184.21</f>
        <v>10184.209999999999</v>
      </c>
      <c r="I269" s="18">
        <f>747.34+1780.54+24411.11-1780.54</f>
        <v>25158.45</v>
      </c>
      <c r="J269" s="18">
        <f>8449.53</f>
        <v>8449.5300000000007</v>
      </c>
      <c r="K269" s="18">
        <f>21012.33</f>
        <v>21012.33</v>
      </c>
      <c r="L269" s="19">
        <f>SUM(F269:K269)</f>
        <v>931180.03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f>129472.95</f>
        <v>129472.95</v>
      </c>
      <c r="G271" s="18">
        <f>17614.38</f>
        <v>17614.38</v>
      </c>
      <c r="H271" s="18">
        <f>4215.03</f>
        <v>4215.03</v>
      </c>
      <c r="I271" s="18">
        <f>6637.73</f>
        <v>6637.73</v>
      </c>
      <c r="J271" s="18"/>
      <c r="K271" s="18">
        <f>2597.94</f>
        <v>2597.94</v>
      </c>
      <c r="L271" s="19">
        <f>SUM(F271:K271)</f>
        <v>160538.03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f>100757.99+126056.7+8030</f>
        <v>234844.69</v>
      </c>
      <c r="G273" s="18">
        <f>45052.14+27943.84+3268.71</f>
        <v>76264.69</v>
      </c>
      <c r="H273" s="18">
        <f>7200</f>
        <v>7200</v>
      </c>
      <c r="I273" s="18"/>
      <c r="J273" s="18"/>
      <c r="K273" s="18"/>
      <c r="L273" s="19">
        <f t="shared" ref="L273:L279" si="12">SUM(F273:K273)</f>
        <v>318309.38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>
        <f>3844.6+38900+1407+119160.12</f>
        <v>163311.72</v>
      </c>
      <c r="I274" s="18"/>
      <c r="J274" s="18"/>
      <c r="K274" s="18"/>
      <c r="L274" s="19">
        <f t="shared" si="12"/>
        <v>163311.72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>
        <f>3660+129.4</f>
        <v>3789.4</v>
      </c>
      <c r="I279" s="18">
        <f>1559.61</f>
        <v>1559.61</v>
      </c>
      <c r="J279" s="18"/>
      <c r="K279" s="18"/>
      <c r="L279" s="19">
        <f t="shared" si="12"/>
        <v>5349.01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1249416.72</v>
      </c>
      <c r="G282" s="42">
        <f t="shared" si="13"/>
        <v>256914.47</v>
      </c>
      <c r="H282" s="42">
        <f t="shared" si="13"/>
        <v>190650.25999999998</v>
      </c>
      <c r="I282" s="42">
        <f t="shared" si="13"/>
        <v>48909.06</v>
      </c>
      <c r="J282" s="42">
        <f t="shared" si="13"/>
        <v>28988.949999999997</v>
      </c>
      <c r="K282" s="42">
        <f t="shared" si="13"/>
        <v>23610.27</v>
      </c>
      <c r="L282" s="41">
        <f t="shared" si="13"/>
        <v>1798489.73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f>4550</f>
        <v>4550</v>
      </c>
      <c r="G287" s="18">
        <f>712.99</f>
        <v>712.99</v>
      </c>
      <c r="H287" s="18">
        <f>198.9</f>
        <v>198.9</v>
      </c>
      <c r="I287" s="18">
        <f>967.78+8362.98</f>
        <v>9330.76</v>
      </c>
      <c r="J287" s="18">
        <f>5378.63-2863</f>
        <v>2515.63</v>
      </c>
      <c r="K287" s="18"/>
      <c r="L287" s="19">
        <f>SUM(F287:K287)</f>
        <v>17308.28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f>4334.71+58133.03</f>
        <v>62467.74</v>
      </c>
      <c r="G288" s="18">
        <f>735.41+8283.39</f>
        <v>9018.7999999999993</v>
      </c>
      <c r="H288" s="18"/>
      <c r="I288" s="18">
        <f>211.51+1166.4-1166.4</f>
        <v>211.51</v>
      </c>
      <c r="J288" s="18">
        <f>2391.38</f>
        <v>2391.38</v>
      </c>
      <c r="K288" s="18"/>
      <c r="L288" s="19">
        <f>SUM(F288:K288)</f>
        <v>74089.429999999993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f>20037.48</f>
        <v>20037.48</v>
      </c>
      <c r="G290" s="18">
        <f>2726.03</f>
        <v>2726.03</v>
      </c>
      <c r="H290" s="18">
        <f>652.33</f>
        <v>652.33000000000004</v>
      </c>
      <c r="I290" s="18">
        <f>1027.27</f>
        <v>1027.27</v>
      </c>
      <c r="J290" s="18"/>
      <c r="K290" s="18">
        <f>402.06</f>
        <v>402.06</v>
      </c>
      <c r="L290" s="19">
        <f>SUM(F290:K290)</f>
        <v>24845.170000000002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f>13854.23+12605.67</f>
        <v>26459.9</v>
      </c>
      <c r="G292" s="18">
        <f>6194.67+2794.38</f>
        <v>8989.0499999999993</v>
      </c>
      <c r="H292" s="18">
        <f>990</f>
        <v>990</v>
      </c>
      <c r="I292" s="18"/>
      <c r="J292" s="18"/>
      <c r="K292" s="18"/>
      <c r="L292" s="19">
        <f t="shared" ref="L292:L298" si="14">SUM(F292:K292)</f>
        <v>36438.949999999997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>
        <f>1390.6</f>
        <v>1390.6</v>
      </c>
      <c r="I293" s="18"/>
      <c r="J293" s="18"/>
      <c r="K293" s="18"/>
      <c r="L293" s="19">
        <f t="shared" si="14"/>
        <v>1390.6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>
        <f>1680</f>
        <v>1680</v>
      </c>
      <c r="I298" s="18"/>
      <c r="J298" s="18"/>
      <c r="K298" s="18"/>
      <c r="L298" s="19">
        <f t="shared" si="14"/>
        <v>1680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113515.12</v>
      </c>
      <c r="G301" s="42">
        <f t="shared" si="15"/>
        <v>21446.87</v>
      </c>
      <c r="H301" s="42">
        <f t="shared" si="15"/>
        <v>4911.83</v>
      </c>
      <c r="I301" s="42">
        <f t="shared" si="15"/>
        <v>10569.54</v>
      </c>
      <c r="J301" s="42">
        <f t="shared" si="15"/>
        <v>4907.01</v>
      </c>
      <c r="K301" s="42">
        <f t="shared" si="15"/>
        <v>402.06</v>
      </c>
      <c r="L301" s="41">
        <f t="shared" si="15"/>
        <v>155752.43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f>2850</f>
        <v>2850</v>
      </c>
      <c r="G306" s="18">
        <f>446.6</f>
        <v>446.6</v>
      </c>
      <c r="H306" s="18">
        <f>421.2+5991-5991</f>
        <v>421.19999999999982</v>
      </c>
      <c r="I306" s="18">
        <f>2049.41+1470.25-1470.25</f>
        <v>2049.41</v>
      </c>
      <c r="J306" s="18">
        <f>15078.48-4638.77</f>
        <v>10439.709999999999</v>
      </c>
      <c r="K306" s="18"/>
      <c r="L306" s="19">
        <f>SUM(F306:K306)</f>
        <v>16206.919999999998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f>9247.37</f>
        <v>9247.3700000000008</v>
      </c>
      <c r="G307" s="18">
        <f>1568.88</f>
        <v>1568.88</v>
      </c>
      <c r="H307" s="18"/>
      <c r="I307" s="18">
        <f>451.22+1136.51-1136.51</f>
        <v>451.22</v>
      </c>
      <c r="J307" s="18">
        <f>5101.6</f>
        <v>5101.6000000000004</v>
      </c>
      <c r="K307" s="18"/>
      <c r="L307" s="19">
        <f>SUM(F307:K307)</f>
        <v>16369.07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f>5974.03</f>
        <v>5974.03</v>
      </c>
      <c r="G308" s="18">
        <f>858.02</f>
        <v>858.02</v>
      </c>
      <c r="H308" s="18">
        <f>1283</f>
        <v>1283</v>
      </c>
      <c r="I308" s="18">
        <f>6175.61</f>
        <v>6175.61</v>
      </c>
      <c r="J308" s="18">
        <f>45345.61</f>
        <v>45345.61</v>
      </c>
      <c r="K308" s="18">
        <f>5000+1431</f>
        <v>6431</v>
      </c>
      <c r="L308" s="19">
        <f>SUM(F308:K308)</f>
        <v>66067.27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>
        <f>11700</f>
        <v>11700</v>
      </c>
      <c r="L309" s="19">
        <f>SUM(F309:K309)</f>
        <v>11700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f>11335.28+1400.63</f>
        <v>12735.91</v>
      </c>
      <c r="G311" s="18">
        <f>5068.37+310.49</f>
        <v>5378.86</v>
      </c>
      <c r="H311" s="18">
        <f>810+32200</f>
        <v>33010</v>
      </c>
      <c r="I311" s="18">
        <f>999.22</f>
        <v>999.22</v>
      </c>
      <c r="J311" s="18"/>
      <c r="K311" s="18"/>
      <c r="L311" s="19">
        <f t="shared" ref="L311:L317" si="16">SUM(F311:K311)</f>
        <v>52123.990000000005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>
        <f>2944.8</f>
        <v>2944.8</v>
      </c>
      <c r="I312" s="18"/>
      <c r="J312" s="18"/>
      <c r="K312" s="18"/>
      <c r="L312" s="19">
        <f t="shared" si="16"/>
        <v>2944.8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>
        <f>660</f>
        <v>660</v>
      </c>
      <c r="I317" s="18"/>
      <c r="J317" s="18"/>
      <c r="K317" s="18"/>
      <c r="L317" s="19">
        <f t="shared" si="16"/>
        <v>660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30807.31</v>
      </c>
      <c r="G320" s="42">
        <f t="shared" si="17"/>
        <v>8252.36</v>
      </c>
      <c r="H320" s="42">
        <f t="shared" si="17"/>
        <v>38319</v>
      </c>
      <c r="I320" s="42">
        <f t="shared" si="17"/>
        <v>9675.4599999999991</v>
      </c>
      <c r="J320" s="42">
        <f t="shared" si="17"/>
        <v>60886.92</v>
      </c>
      <c r="K320" s="42">
        <f t="shared" si="17"/>
        <v>18131</v>
      </c>
      <c r="L320" s="41">
        <f t="shared" si="17"/>
        <v>166072.04999999999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1393739.15</v>
      </c>
      <c r="G330" s="41">
        <f t="shared" si="20"/>
        <v>286613.7</v>
      </c>
      <c r="H330" s="41">
        <f t="shared" si="20"/>
        <v>233881.08999999997</v>
      </c>
      <c r="I330" s="41">
        <f t="shared" si="20"/>
        <v>69154.06</v>
      </c>
      <c r="J330" s="41">
        <f t="shared" si="20"/>
        <v>94782.88</v>
      </c>
      <c r="K330" s="41">
        <f t="shared" si="20"/>
        <v>42143.33</v>
      </c>
      <c r="L330" s="41">
        <f t="shared" si="20"/>
        <v>2120314.21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>
        <v>265417.75</v>
      </c>
      <c r="L342" s="19">
        <f t="shared" si="21"/>
        <v>265417.75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265417.75</v>
      </c>
      <c r="L343" s="41">
        <f>SUM(L333:L342)</f>
        <v>265417.75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1393739.15</v>
      </c>
      <c r="G344" s="41">
        <f>G330</f>
        <v>286613.7</v>
      </c>
      <c r="H344" s="41">
        <f>H330</f>
        <v>233881.08999999997</v>
      </c>
      <c r="I344" s="41">
        <f>I330</f>
        <v>69154.06</v>
      </c>
      <c r="J344" s="41">
        <f>J330</f>
        <v>94782.88</v>
      </c>
      <c r="K344" s="47">
        <f>K330+K343</f>
        <v>307561.08</v>
      </c>
      <c r="L344" s="41">
        <f>L330+L343</f>
        <v>2385731.96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f>120359.22</f>
        <v>120359.22</v>
      </c>
      <c r="G350" s="18">
        <f>12324.43</f>
        <v>12324.43</v>
      </c>
      <c r="H350" s="18">
        <f>4760.96</f>
        <v>4760.96</v>
      </c>
      <c r="I350" s="18">
        <f>145438.36</f>
        <v>145438.35999999999</v>
      </c>
      <c r="J350" s="18">
        <f>981.08</f>
        <v>981.08</v>
      </c>
      <c r="K350" s="18">
        <f>152.75</f>
        <v>152.75</v>
      </c>
      <c r="L350" s="13">
        <f>SUM(F350:K350)</f>
        <v>284016.8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f>43534.19</f>
        <v>43534.19</v>
      </c>
      <c r="G351" s="18">
        <f>4457.78</f>
        <v>4457.78</v>
      </c>
      <c r="H351" s="18">
        <f>1722.05</f>
        <v>1722.05</v>
      </c>
      <c r="I351" s="18">
        <f>52605.36</f>
        <v>52605.36</v>
      </c>
      <c r="J351" s="18">
        <f>354.86</f>
        <v>354.86</v>
      </c>
      <c r="K351" s="18">
        <f>55.25</f>
        <v>55.25</v>
      </c>
      <c r="L351" s="19">
        <f>SUM(F351:K351)</f>
        <v>102729.49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f>92190.05</f>
        <v>92190.05</v>
      </c>
      <c r="G352" s="18">
        <v>9440</v>
      </c>
      <c r="H352" s="18">
        <v>3646.7</v>
      </c>
      <c r="I352" s="18">
        <v>111399.6</v>
      </c>
      <c r="J352" s="18">
        <v>751.47</v>
      </c>
      <c r="K352" s="18">
        <f>117</f>
        <v>117</v>
      </c>
      <c r="L352" s="19">
        <f>SUM(F352:K352)</f>
        <v>217544.82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256083.46000000002</v>
      </c>
      <c r="G354" s="47">
        <f t="shared" si="22"/>
        <v>26222.21</v>
      </c>
      <c r="H354" s="47">
        <f t="shared" si="22"/>
        <v>10129.709999999999</v>
      </c>
      <c r="I354" s="47">
        <f t="shared" si="22"/>
        <v>309443.31999999995</v>
      </c>
      <c r="J354" s="47">
        <f t="shared" si="22"/>
        <v>2087.41</v>
      </c>
      <c r="K354" s="47">
        <f t="shared" si="22"/>
        <v>325</v>
      </c>
      <c r="L354" s="47">
        <f t="shared" si="22"/>
        <v>604291.11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136359.53</v>
      </c>
      <c r="G359" s="18">
        <v>42612.36</v>
      </c>
      <c r="H359" s="18">
        <v>105110.48</v>
      </c>
      <c r="I359" s="56">
        <f>SUM(F359:H359)</f>
        <v>284082.37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12173.26</v>
      </c>
      <c r="G360" s="63">
        <v>3804.14</v>
      </c>
      <c r="H360" s="63">
        <v>9383.5499999999993</v>
      </c>
      <c r="I360" s="56">
        <f>SUM(F360:H360)</f>
        <v>25360.949999999997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148532.79</v>
      </c>
      <c r="G361" s="47">
        <f>SUM(G359:G360)</f>
        <v>46416.5</v>
      </c>
      <c r="H361" s="47">
        <f>SUM(H359:H360)</f>
        <v>114494.03</v>
      </c>
      <c r="I361" s="47">
        <f>SUM(I359:I360)</f>
        <v>309443.32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0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0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0</v>
      </c>
      <c r="H438" s="13">
        <f>SUM(H431:H437)</f>
        <v>0</v>
      </c>
      <c r="I438" s="13">
        <f>SUM(I431:I437)</f>
        <v>0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/>
      <c r="H449" s="18"/>
      <c r="I449" s="56">
        <f>SUM(F449:H449)</f>
        <v>0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0</v>
      </c>
      <c r="H450" s="83">
        <f>SUM(H446:H449)</f>
        <v>0</v>
      </c>
      <c r="I450" s="83">
        <f>SUM(I446:I449)</f>
        <v>0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0</v>
      </c>
      <c r="H451" s="42">
        <f>H444+H450</f>
        <v>0</v>
      </c>
      <c r="I451" s="42">
        <f>I444+I450</f>
        <v>0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0</v>
      </c>
      <c r="G455" s="18">
        <v>118343.35</v>
      </c>
      <c r="H455" s="18">
        <v>17528.12</v>
      </c>
      <c r="I455" s="18"/>
      <c r="J455" s="18"/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15853417.6</f>
        <v>15853417.6</v>
      </c>
      <c r="G458" s="18">
        <f>573345.51</f>
        <v>573345.51</v>
      </c>
      <c r="H458" s="18">
        <f>2404547.58</f>
        <v>2404547.58</v>
      </c>
      <c r="I458" s="18"/>
      <c r="J458" s="18"/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15853417.6</v>
      </c>
      <c r="G460" s="53">
        <f>SUM(G458:G459)</f>
        <v>573345.51</v>
      </c>
      <c r="H460" s="53">
        <f>SUM(H458:H459)</f>
        <v>2404547.58</v>
      </c>
      <c r="I460" s="53">
        <f>SUM(I458:I459)</f>
        <v>0</v>
      </c>
      <c r="J460" s="53">
        <f>SUM(J458:J459)</f>
        <v>0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15846753.03</f>
        <v>15846753.029999999</v>
      </c>
      <c r="G462" s="18">
        <f>604291.11</f>
        <v>604291.11</v>
      </c>
      <c r="H462" s="18">
        <f>2385731.96</f>
        <v>2385731.96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15846753.029999999</v>
      </c>
      <c r="G464" s="53">
        <f>SUM(G462:G463)</f>
        <v>604291.11</v>
      </c>
      <c r="H464" s="53">
        <f>SUM(H462:H463)</f>
        <v>2385731.96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6664.570000000298</v>
      </c>
      <c r="G466" s="53">
        <f>(G455+G460)- G464</f>
        <v>87397.75</v>
      </c>
      <c r="H466" s="53">
        <f>(H455+H460)- H464</f>
        <v>36343.740000000224</v>
      </c>
      <c r="I466" s="53">
        <f>(I455+I460)- I464</f>
        <v>0</v>
      </c>
      <c r="J466" s="53">
        <f>(J455+J460)- J464</f>
        <v>0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15</v>
      </c>
      <c r="G480" s="154">
        <v>15</v>
      </c>
      <c r="H480" s="154">
        <v>10</v>
      </c>
      <c r="I480" s="154">
        <v>5</v>
      </c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 t="s">
        <v>895</v>
      </c>
      <c r="H481" s="155" t="s">
        <v>896</v>
      </c>
      <c r="I481" s="155" t="s">
        <v>901</v>
      </c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897</v>
      </c>
      <c r="G482" s="155" t="s">
        <v>898</v>
      </c>
      <c r="H482" s="155" t="s">
        <v>899</v>
      </c>
      <c r="I482" s="155" t="s">
        <v>900</v>
      </c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1500000</v>
      </c>
      <c r="G483" s="18">
        <v>4500000</v>
      </c>
      <c r="H483" s="18">
        <v>2146074.81</v>
      </c>
      <c r="I483" s="18">
        <v>477185</v>
      </c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4.7</v>
      </c>
      <c r="G484" s="18">
        <v>4.7</v>
      </c>
      <c r="H484" s="18">
        <v>4.3</v>
      </c>
      <c r="I484" s="18">
        <v>2.99</v>
      </c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300000</v>
      </c>
      <c r="G485" s="18">
        <v>900000</v>
      </c>
      <c r="H485" s="18">
        <v>1245927.6599999999</v>
      </c>
      <c r="I485" s="18">
        <v>477185</v>
      </c>
      <c r="J485" s="18"/>
      <c r="K485" s="53">
        <f>SUM(F485:J485)</f>
        <v>2923112.66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100000</v>
      </c>
      <c r="G487" s="18">
        <v>300000</v>
      </c>
      <c r="H487" s="18">
        <v>155933.89000000001</v>
      </c>
      <c r="I487" s="18">
        <v>104617.12</v>
      </c>
      <c r="J487" s="18"/>
      <c r="K487" s="53">
        <f t="shared" si="34"/>
        <v>660551.01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200000</v>
      </c>
      <c r="G488" s="205">
        <v>600000</v>
      </c>
      <c r="H488" s="205">
        <f>H485-H487</f>
        <v>1089993.77</v>
      </c>
      <c r="I488" s="205">
        <v>372567.88</v>
      </c>
      <c r="J488" s="205"/>
      <c r="K488" s="206">
        <f t="shared" si="34"/>
        <v>2262561.65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14700</v>
      </c>
      <c r="G489" s="18">
        <v>43800</v>
      </c>
      <c r="H489" s="18">
        <v>173081.65</v>
      </c>
      <c r="I489" s="18">
        <v>32028.92</v>
      </c>
      <c r="J489" s="18"/>
      <c r="K489" s="53">
        <f t="shared" si="34"/>
        <v>263610.57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214700</v>
      </c>
      <c r="G490" s="42">
        <f>SUM(G488:G489)</f>
        <v>643800</v>
      </c>
      <c r="H490" s="42">
        <f>SUM(H488:H489)</f>
        <v>1263075.42</v>
      </c>
      <c r="I490" s="42">
        <f>SUM(I488:I489)</f>
        <v>404596.8</v>
      </c>
      <c r="J490" s="42">
        <f>SUM(J488:J489)</f>
        <v>0</v>
      </c>
      <c r="K490" s="42">
        <f t="shared" si="34"/>
        <v>2526172.2199999997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100000</v>
      </c>
      <c r="G491" s="205">
        <v>300000</v>
      </c>
      <c r="H491" s="205">
        <v>162764.68</v>
      </c>
      <c r="I491" s="205">
        <v>93692.63</v>
      </c>
      <c r="J491" s="205"/>
      <c r="K491" s="206">
        <f t="shared" si="34"/>
        <v>656457.30999999994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9800</v>
      </c>
      <c r="G492" s="18">
        <v>29100</v>
      </c>
      <c r="H492" s="18">
        <v>47747.89</v>
      </c>
      <c r="I492" s="18">
        <v>9654.18</v>
      </c>
      <c r="J492" s="18"/>
      <c r="K492" s="53">
        <f t="shared" si="34"/>
        <v>96302.07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109800</v>
      </c>
      <c r="G493" s="42">
        <f>SUM(G491:G492)</f>
        <v>329100</v>
      </c>
      <c r="H493" s="42">
        <f>SUM(H491:H492)</f>
        <v>210512.57</v>
      </c>
      <c r="I493" s="42">
        <f>SUM(I491:I492)</f>
        <v>103346.81</v>
      </c>
      <c r="J493" s="42">
        <f>SUM(J491:J492)</f>
        <v>0</v>
      </c>
      <c r="K493" s="42">
        <f t="shared" si="34"/>
        <v>752759.38000000012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>
        <v>580169.46</v>
      </c>
      <c r="G497" s="144">
        <f>I497-F497</f>
        <v>23303.970000000088</v>
      </c>
      <c r="H497" s="144"/>
      <c r="I497" s="144">
        <v>603473.43000000005</v>
      </c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47389.83+729299.28+19597.67+15315.96+67267.71+4663.67</f>
        <v>883534.12</v>
      </c>
      <c r="G511" s="18">
        <f>5244.78+141476.41+1548.72+2598.46+5314.87+356.69</f>
        <v>156539.93</v>
      </c>
      <c r="H511" s="18">
        <f>5532.94+204980.77+10367.05</f>
        <v>220880.75999999998</v>
      </c>
      <c r="I511" s="18">
        <f>453.41+2143.91+1515.94+747.34+1780.54</f>
        <v>6641.14</v>
      </c>
      <c r="J511" s="18">
        <f>748+8449.53</f>
        <v>9197.5300000000007</v>
      </c>
      <c r="K511" s="18"/>
      <c r="L511" s="88">
        <f>SUM(F511:K511)</f>
        <v>1276793.48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>6318.64+241633.1+4334.71+58133.03</f>
        <v>310419.48</v>
      </c>
      <c r="G512" s="18">
        <f>699.3+32647.26+735.41+8283.39</f>
        <v>42365.36</v>
      </c>
      <c r="H512" s="18">
        <f>737.73+212506.98</f>
        <v>213244.71000000002</v>
      </c>
      <c r="I512" s="18">
        <f>60.46+1706.83+211.51+1166.4</f>
        <v>3145.2</v>
      </c>
      <c r="J512" s="18">
        <f>21.88+2391.38</f>
        <v>2413.2600000000002</v>
      </c>
      <c r="K512" s="18"/>
      <c r="L512" s="88">
        <f>SUM(F512:K512)</f>
        <v>571588.01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9477.96+472930.05+9247.37</f>
        <v>491655.38</v>
      </c>
      <c r="G513" s="18">
        <f>1048.95+118071.54+1568.88</f>
        <v>120689.37</v>
      </c>
      <c r="H513" s="18">
        <f>1106.59+692259.31</f>
        <v>693365.9</v>
      </c>
      <c r="I513" s="18">
        <f>90.68+2419.63+451.22+1136.51</f>
        <v>4098.04</v>
      </c>
      <c r="J513" s="18">
        <f>2969.7+5101.6</f>
        <v>8071.3</v>
      </c>
      <c r="K513" s="18"/>
      <c r="L513" s="88">
        <f>SUM(F513:K513)</f>
        <v>1317879.99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1685608.98</v>
      </c>
      <c r="G514" s="108">
        <f t="shared" ref="G514:L514" si="35">SUM(G511:G513)</f>
        <v>319594.65999999997</v>
      </c>
      <c r="H514" s="108">
        <f t="shared" si="35"/>
        <v>1127491.3700000001</v>
      </c>
      <c r="I514" s="108">
        <f t="shared" si="35"/>
        <v>13884.380000000001</v>
      </c>
      <c r="J514" s="108">
        <f t="shared" si="35"/>
        <v>19682.09</v>
      </c>
      <c r="K514" s="108">
        <f t="shared" si="35"/>
        <v>0</v>
      </c>
      <c r="L514" s="89">
        <f t="shared" si="35"/>
        <v>3166261.48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186705.35+3526+100757.99+126056.7+8030</f>
        <v>425076.04000000004</v>
      </c>
      <c r="G516" s="18">
        <f>45298.42+269.76+45052.14+27943.84+3268.71</f>
        <v>121832.87000000001</v>
      </c>
      <c r="H516" s="18">
        <f>484+756+150282.72+9127.55+14281.65+7200</f>
        <v>182131.91999999998</v>
      </c>
      <c r="I516" s="18">
        <f>2207.55+1562.84</f>
        <v>3770.3900000000003</v>
      </c>
      <c r="J516" s="18">
        <f>703.75</f>
        <v>703.75</v>
      </c>
      <c r="K516" s="18">
        <f>71.2</f>
        <v>71.2</v>
      </c>
      <c r="L516" s="88">
        <f>SUM(F516:K516)</f>
        <v>733586.17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f>18670.53+13854.23+12605.67</f>
        <v>45130.43</v>
      </c>
      <c r="G517" s="18">
        <f>4529.84+6194.67+2794.38</f>
        <v>13518.89</v>
      </c>
      <c r="H517" s="18">
        <f>66.55+75.6+18785.34+1123.39+990</f>
        <v>21040.880000000001</v>
      </c>
      <c r="I517" s="18">
        <f>303.54+156.28</f>
        <v>459.82000000000005</v>
      </c>
      <c r="J517" s="18">
        <f>70.38</f>
        <v>70.38</v>
      </c>
      <c r="K517" s="18">
        <f>9.79</f>
        <v>9.7899999999999991</v>
      </c>
      <c r="L517" s="88">
        <f>SUM(F517:K517)</f>
        <v>80230.19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f>2074.5+4674+11335.28+1400.63</f>
        <v>19484.41</v>
      </c>
      <c r="G518" s="18">
        <f>503.32+357.6+5068.37+310.49</f>
        <v>6239.78</v>
      </c>
      <c r="H518" s="18">
        <f>54.45+8.4+39657.94+3791.45+18931.49+678.94+810</f>
        <v>63932.67</v>
      </c>
      <c r="I518" s="18">
        <f>248.35+17.36+608.54</f>
        <v>874.25</v>
      </c>
      <c r="J518" s="18">
        <f>7.82+941.88</f>
        <v>949.7</v>
      </c>
      <c r="K518" s="18">
        <f>8.01</f>
        <v>8.01</v>
      </c>
      <c r="L518" s="88">
        <f>SUM(F518:K518)</f>
        <v>91488.819999999992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489690.88</v>
      </c>
      <c r="G519" s="89">
        <f t="shared" ref="G519:L519" si="36">SUM(G516:G518)</f>
        <v>141591.54</v>
      </c>
      <c r="H519" s="89">
        <f t="shared" si="36"/>
        <v>267105.46999999997</v>
      </c>
      <c r="I519" s="89">
        <f t="shared" si="36"/>
        <v>5104.46</v>
      </c>
      <c r="J519" s="89">
        <f t="shared" si="36"/>
        <v>1723.83</v>
      </c>
      <c r="K519" s="89">
        <f t="shared" si="36"/>
        <v>89.000000000000014</v>
      </c>
      <c r="L519" s="89">
        <f t="shared" si="36"/>
        <v>905305.18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f>55059.43</f>
        <v>55059.43</v>
      </c>
      <c r="G521" s="18">
        <f>11796.9</f>
        <v>11796.9</v>
      </c>
      <c r="H521" s="18">
        <f>2783.15</f>
        <v>2783.15</v>
      </c>
      <c r="I521" s="18">
        <f>1008.02</f>
        <v>1008.02</v>
      </c>
      <c r="J521" s="18">
        <f>618.03</f>
        <v>618.03</v>
      </c>
      <c r="K521" s="18">
        <f>240.09</f>
        <v>240.09</v>
      </c>
      <c r="L521" s="88">
        <f>SUM(F521:K521)</f>
        <v>71505.62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15582.86</v>
      </c>
      <c r="G522" s="18">
        <f>3338.75</f>
        <v>3338.75</v>
      </c>
      <c r="H522" s="18">
        <f>787.69</f>
        <v>787.69</v>
      </c>
      <c r="I522" s="18">
        <f>285.29</f>
        <v>285.29000000000002</v>
      </c>
      <c r="J522" s="18">
        <f>174.92</f>
        <v>174.92</v>
      </c>
      <c r="K522" s="18">
        <f>67.95</f>
        <v>67.95</v>
      </c>
      <c r="L522" s="88">
        <f>SUM(F522:K522)</f>
        <v>20237.46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33243.43</v>
      </c>
      <c r="G523" s="18">
        <f>7122.66</f>
        <v>7122.66</v>
      </c>
      <c r="H523" s="18">
        <f>1680.4</f>
        <v>1680.4</v>
      </c>
      <c r="I523" s="18">
        <f>608.62</f>
        <v>608.62</v>
      </c>
      <c r="J523" s="18">
        <f>373.15</f>
        <v>373.15</v>
      </c>
      <c r="K523" s="18">
        <f>144.96</f>
        <v>144.96</v>
      </c>
      <c r="L523" s="88">
        <f>SUM(F523:K523)</f>
        <v>43173.22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103885.72</v>
      </c>
      <c r="G524" s="89">
        <f t="shared" ref="G524:L524" si="37">SUM(G521:G523)</f>
        <v>22258.309999999998</v>
      </c>
      <c r="H524" s="89">
        <f t="shared" si="37"/>
        <v>5251.24</v>
      </c>
      <c r="I524" s="89">
        <f t="shared" si="37"/>
        <v>1901.9299999999998</v>
      </c>
      <c r="J524" s="89">
        <f t="shared" si="37"/>
        <v>1166.0999999999999</v>
      </c>
      <c r="K524" s="89">
        <f t="shared" si="37"/>
        <v>453</v>
      </c>
      <c r="L524" s="89">
        <f t="shared" si="37"/>
        <v>134916.29999999999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>
        <f>991.91+2998.94</f>
        <v>3990.85</v>
      </c>
      <c r="G531" s="18">
        <f>75.87+229.32</f>
        <v>305.19</v>
      </c>
      <c r="H531" s="18">
        <f>5050.25</f>
        <v>5050.25</v>
      </c>
      <c r="I531" s="18"/>
      <c r="J531" s="18"/>
      <c r="K531" s="18"/>
      <c r="L531" s="88">
        <f>SUM(F531:K531)</f>
        <v>9346.2900000000009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>
        <f>132.25+2439.89</f>
        <v>2572.14</v>
      </c>
      <c r="G532" s="18">
        <f>10.12+186.57</f>
        <v>196.69</v>
      </c>
      <c r="H532" s="18"/>
      <c r="I532" s="18"/>
      <c r="J532" s="18"/>
      <c r="K532" s="18"/>
      <c r="L532" s="88">
        <f>SUM(F532:K532)</f>
        <v>2768.83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>
        <f>198.38+1212.94</f>
        <v>1411.3200000000002</v>
      </c>
      <c r="G533" s="18">
        <f>15.17+92.62</f>
        <v>107.79</v>
      </c>
      <c r="H533" s="18">
        <f>32035.88</f>
        <v>32035.88</v>
      </c>
      <c r="I533" s="18"/>
      <c r="J533" s="18"/>
      <c r="K533" s="18"/>
      <c r="L533" s="88">
        <f>SUM(F533:K533)</f>
        <v>33554.99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7974.3099999999995</v>
      </c>
      <c r="G534" s="194">
        <f t="shared" ref="G534:L534" si="39">SUM(G531:G533)</f>
        <v>609.66999999999996</v>
      </c>
      <c r="H534" s="194">
        <f t="shared" si="39"/>
        <v>37086.130000000005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45670.11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2287159.89</v>
      </c>
      <c r="G535" s="89">
        <f t="shared" ref="G535:L535" si="40">G514+G519+G524+G529+G534</f>
        <v>484054.17999999993</v>
      </c>
      <c r="H535" s="89">
        <f t="shared" si="40"/>
        <v>1436934.21</v>
      </c>
      <c r="I535" s="89">
        <f t="shared" si="40"/>
        <v>20890.77</v>
      </c>
      <c r="J535" s="89">
        <f t="shared" si="40"/>
        <v>22572.019999999997</v>
      </c>
      <c r="K535" s="89">
        <f t="shared" si="40"/>
        <v>542</v>
      </c>
      <c r="L535" s="89">
        <f t="shared" si="40"/>
        <v>4252153.07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1276793.48</v>
      </c>
      <c r="G539" s="87">
        <f>L516</f>
        <v>733586.17</v>
      </c>
      <c r="H539" s="87">
        <f>L521</f>
        <v>71505.62</v>
      </c>
      <c r="I539" s="87">
        <f>L526</f>
        <v>0</v>
      </c>
      <c r="J539" s="87">
        <f>L531</f>
        <v>9346.2900000000009</v>
      </c>
      <c r="K539" s="87">
        <f>SUM(F539:J539)</f>
        <v>2091231.56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571588.01</v>
      </c>
      <c r="G540" s="87">
        <f>L517</f>
        <v>80230.19</v>
      </c>
      <c r="H540" s="87">
        <f>L522</f>
        <v>20237.46</v>
      </c>
      <c r="I540" s="87">
        <f>L527</f>
        <v>0</v>
      </c>
      <c r="J540" s="87">
        <f>L532</f>
        <v>2768.83</v>
      </c>
      <c r="K540" s="87">
        <f>SUM(F540:J540)</f>
        <v>674824.48999999987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1317879.99</v>
      </c>
      <c r="G541" s="87">
        <f>L518</f>
        <v>91488.819999999992</v>
      </c>
      <c r="H541" s="87">
        <f>L523</f>
        <v>43173.22</v>
      </c>
      <c r="I541" s="87">
        <f>L528</f>
        <v>0</v>
      </c>
      <c r="J541" s="87">
        <f>L533</f>
        <v>33554.99</v>
      </c>
      <c r="K541" s="87">
        <f>SUM(F541:J541)</f>
        <v>1486097.02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3166261.48</v>
      </c>
      <c r="G542" s="89">
        <f t="shared" si="41"/>
        <v>905305.18</v>
      </c>
      <c r="H542" s="89">
        <f t="shared" si="41"/>
        <v>134916.29999999999</v>
      </c>
      <c r="I542" s="89">
        <f t="shared" si="41"/>
        <v>0</v>
      </c>
      <c r="J542" s="89">
        <f t="shared" si="41"/>
        <v>45670.11</v>
      </c>
      <c r="K542" s="89">
        <f t="shared" si="41"/>
        <v>4252153.07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>
        <f>639703.3</f>
        <v>639703.30000000005</v>
      </c>
      <c r="G547" s="18">
        <f>131154.85</f>
        <v>131154.85</v>
      </c>
      <c r="H547" s="18">
        <f>10184.21</f>
        <v>10184.209999999999</v>
      </c>
      <c r="I547" s="18">
        <f>24411.11</f>
        <v>24411.11</v>
      </c>
      <c r="J547" s="18"/>
      <c r="K547" s="18"/>
      <c r="L547" s="88">
        <f>SUM(F547:K547)</f>
        <v>805453.47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>
        <f>34952</f>
        <v>34952</v>
      </c>
      <c r="I549" s="18"/>
      <c r="J549" s="18"/>
      <c r="K549" s="18"/>
      <c r="L549" s="88">
        <f>SUM(F549:K549)</f>
        <v>34952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639703.30000000005</v>
      </c>
      <c r="G550" s="108">
        <f t="shared" si="42"/>
        <v>131154.85</v>
      </c>
      <c r="H550" s="108">
        <f t="shared" si="42"/>
        <v>45136.21</v>
      </c>
      <c r="I550" s="108">
        <f t="shared" si="42"/>
        <v>24411.11</v>
      </c>
      <c r="J550" s="108">
        <f t="shared" si="42"/>
        <v>0</v>
      </c>
      <c r="K550" s="108">
        <f t="shared" si="42"/>
        <v>0</v>
      </c>
      <c r="L550" s="89">
        <f t="shared" si="42"/>
        <v>840405.47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639703.30000000005</v>
      </c>
      <c r="G561" s="89">
        <f t="shared" ref="G561:L561" si="45">G550+G555+G560</f>
        <v>131154.85</v>
      </c>
      <c r="H561" s="89">
        <f t="shared" si="45"/>
        <v>45136.21</v>
      </c>
      <c r="I561" s="89">
        <f t="shared" si="45"/>
        <v>24411.11</v>
      </c>
      <c r="J561" s="89">
        <f t="shared" si="45"/>
        <v>0</v>
      </c>
      <c r="K561" s="89">
        <f t="shared" si="45"/>
        <v>0</v>
      </c>
      <c r="L561" s="89">
        <f t="shared" si="45"/>
        <v>840405.47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f>5991</f>
        <v>5991</v>
      </c>
      <c r="I565" s="87">
        <f>SUM(F565:H565)</f>
        <v>5991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>
        <f>2646.42</f>
        <v>2646.42</v>
      </c>
      <c r="H568" s="18"/>
      <c r="I568" s="87">
        <f t="shared" si="46"/>
        <v>2646.42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f>36107.04</f>
        <v>36107.040000000001</v>
      </c>
      <c r="G569" s="18">
        <f>4865.04</f>
        <v>4865.04</v>
      </c>
      <c r="H569" s="18">
        <f>4088.25</f>
        <v>4088.25</v>
      </c>
      <c r="I569" s="87">
        <f t="shared" si="46"/>
        <v>45060.33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f>10521.9+158351.83+10367.05</f>
        <v>179240.77999999997</v>
      </c>
      <c r="G572" s="18">
        <f>11638+196003.94</f>
        <v>207641.94</v>
      </c>
      <c r="H572" s="18">
        <f>66688.1+621267.96</f>
        <v>687956.05999999994</v>
      </c>
      <c r="I572" s="87">
        <f t="shared" si="46"/>
        <v>1074838.7799999998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176741.12+3767.63+513.88</f>
        <v>181022.63</v>
      </c>
      <c r="I581" s="18">
        <f>81127.07+1729.41+255.26</f>
        <v>83111.740000000005</v>
      </c>
      <c r="J581" s="18">
        <f>31871.34+679.41+188.53</f>
        <v>32739.279999999999</v>
      </c>
      <c r="K581" s="104">
        <f t="shared" ref="K581:K587" si="47">SUM(H581:J581)</f>
        <v>296873.65000000002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f>1067.78+8278.51</f>
        <v>9346.2900000000009</v>
      </c>
      <c r="I582" s="18">
        <f>142.36+2626.46</f>
        <v>2768.82</v>
      </c>
      <c r="J582" s="18">
        <f>213.56+33341.44</f>
        <v>33555</v>
      </c>
      <c r="K582" s="104">
        <f t="shared" si="47"/>
        <v>45670.11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f>107.83</f>
        <v>107.83</v>
      </c>
      <c r="I584" s="18">
        <f>4599.26</f>
        <v>4599.26</v>
      </c>
      <c r="J584" s="18">
        <f>16363.03</f>
        <v>16363.03</v>
      </c>
      <c r="K584" s="104">
        <f t="shared" si="47"/>
        <v>21070.120000000003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f>2838.36</f>
        <v>2838.36</v>
      </c>
      <c r="I585" s="18">
        <f>1526.28</f>
        <v>1526.28</v>
      </c>
      <c r="J585" s="18">
        <f>5106.82</f>
        <v>5106.82</v>
      </c>
      <c r="K585" s="104">
        <f t="shared" si="47"/>
        <v>9471.4599999999991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>
        <f>4433.65</f>
        <v>4433.6499999999996</v>
      </c>
      <c r="I587" s="18">
        <f>686.16</f>
        <v>686.16</v>
      </c>
      <c r="J587" s="18"/>
      <c r="K587" s="104">
        <f t="shared" si="47"/>
        <v>5119.8099999999995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197748.75999999998</v>
      </c>
      <c r="I588" s="108">
        <f>SUM(I581:I587)</f>
        <v>92692.260000000009</v>
      </c>
      <c r="J588" s="108">
        <f>SUM(J581:J587)</f>
        <v>87764.13</v>
      </c>
      <c r="K588" s="108">
        <f>SUM(K581:K587)</f>
        <v>378205.15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71705.58</f>
        <v>71705.58</v>
      </c>
      <c r="I594" s="18">
        <f>23298.73</f>
        <v>23298.73</v>
      </c>
      <c r="J594" s="18">
        <f>135985.27</f>
        <v>135985.26999999999</v>
      </c>
      <c r="K594" s="104">
        <f>SUM(H594:J594)</f>
        <v>230989.58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71705.58</v>
      </c>
      <c r="I595" s="108">
        <f>SUM(I592:I594)</f>
        <v>23298.73</v>
      </c>
      <c r="J595" s="108">
        <f>SUM(J592:J594)</f>
        <v>135985.26999999999</v>
      </c>
      <c r="K595" s="108">
        <f>SUM(K592:K594)</f>
        <v>230989.58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6664.57</v>
      </c>
      <c r="H607" s="109">
        <f>SUM(F44)</f>
        <v>6664.57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87397.75</v>
      </c>
      <c r="H608" s="109">
        <f>SUM(G44)</f>
        <v>87397.75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36343.74</v>
      </c>
      <c r="H609" s="109">
        <f>SUM(H44)</f>
        <v>36343.74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0</v>
      </c>
      <c r="H611" s="109">
        <f>SUM(J44)</f>
        <v>0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6664.57</v>
      </c>
      <c r="H612" s="109">
        <f>F466</f>
        <v>6664.570000000298</v>
      </c>
      <c r="I612" s="121" t="s">
        <v>106</v>
      </c>
      <c r="J612" s="109">
        <f t="shared" ref="J612:J645" si="49">G612-H612</f>
        <v>-2.9831426218152046E-10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87397.75</v>
      </c>
      <c r="H613" s="109">
        <f>G466</f>
        <v>87397.75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36343.74</v>
      </c>
      <c r="H614" s="109">
        <f>H466</f>
        <v>36343.740000000224</v>
      </c>
      <c r="I614" s="121" t="s">
        <v>110</v>
      </c>
      <c r="J614" s="109">
        <f t="shared" si="49"/>
        <v>-2.255546860396862E-10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0</v>
      </c>
      <c r="H616" s="109">
        <f>J466</f>
        <v>0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15853417.6</v>
      </c>
      <c r="H617" s="104">
        <f>SUM(F458)</f>
        <v>15853417.6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573345.51</v>
      </c>
      <c r="H618" s="104">
        <f>SUM(G458)</f>
        <v>573345.51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2404547.5799999996</v>
      </c>
      <c r="H619" s="104">
        <f>SUM(H458)</f>
        <v>2404547.58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0</v>
      </c>
      <c r="H621" s="104">
        <f>SUM(J458)</f>
        <v>0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15846753.030000001</v>
      </c>
      <c r="H622" s="104">
        <f>SUM(F462)</f>
        <v>15846753.029999999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2385731.96</v>
      </c>
      <c r="H623" s="104">
        <f>SUM(H462)</f>
        <v>2385731.96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309443.31999999995</v>
      </c>
      <c r="H624" s="104">
        <f>I361</f>
        <v>309443.32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604291.11</v>
      </c>
      <c r="H625" s="104">
        <f>SUM(G462)</f>
        <v>604291.11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0</v>
      </c>
      <c r="H627" s="164">
        <f>SUM(J458)</f>
        <v>0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0</v>
      </c>
      <c r="H632" s="104">
        <f>SUM(I451)</f>
        <v>0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0</v>
      </c>
      <c r="H634" s="104">
        <f>H400</f>
        <v>0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0</v>
      </c>
      <c r="H636" s="104">
        <f>L400</f>
        <v>0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378205.15</v>
      </c>
      <c r="H637" s="104">
        <f>L200+L218+L236</f>
        <v>378205.15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230989.58</v>
      </c>
      <c r="H638" s="104">
        <f>(J249+J330)-(J247+J328)</f>
        <v>230989.58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197748.76</v>
      </c>
      <c r="H639" s="104">
        <f>H588</f>
        <v>197748.75999999998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92692.260000000009</v>
      </c>
      <c r="H640" s="104">
        <f>I588</f>
        <v>92692.260000000009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87764.13</v>
      </c>
      <c r="H641" s="104">
        <f>J588</f>
        <v>87764.13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8244835.0599999996</v>
      </c>
      <c r="G650" s="19">
        <f>(L221+L301+L351)</f>
        <v>3114931.3400000003</v>
      </c>
      <c r="H650" s="19">
        <f>(L239+L320+L352)</f>
        <v>7211591.9500000011</v>
      </c>
      <c r="I650" s="19">
        <f>SUM(F650:H650)</f>
        <v>18571358.350000001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89993.29012415887</v>
      </c>
      <c r="G651" s="19">
        <f>(L351/IF(SUM(L350:L352)=0,1,SUM(L350:L352))*(SUM(G89:G102)))</f>
        <v>32550.76741191675</v>
      </c>
      <c r="H651" s="19">
        <f>(L352/IF(SUM(L350:L352)=0,1,SUM(L350:L352))*(SUM(G89:G102)))</f>
        <v>68931.042463924387</v>
      </c>
      <c r="I651" s="19">
        <f>SUM(F651:H651)</f>
        <v>191475.1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203097.77000000002</v>
      </c>
      <c r="G652" s="19">
        <f>(L218+L298)-(J218+J298)</f>
        <v>94372.260000000009</v>
      </c>
      <c r="H652" s="19">
        <f>(L236+L317)-(J236+J317)</f>
        <v>88424.13</v>
      </c>
      <c r="I652" s="19">
        <f>SUM(F652:H652)</f>
        <v>385894.16000000003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287053.39999999997</v>
      </c>
      <c r="G653" s="200">
        <f>SUM(G565:G577)+SUM(I592:I594)+L602</f>
        <v>238452.13</v>
      </c>
      <c r="H653" s="200">
        <f>SUM(H565:H577)+SUM(J592:J594)+L603</f>
        <v>834020.58</v>
      </c>
      <c r="I653" s="19">
        <f>SUM(F653:H653)</f>
        <v>1359526.1099999999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7664690.5998758413</v>
      </c>
      <c r="G654" s="19">
        <f>G650-SUM(G651:G653)</f>
        <v>2749556.1825880837</v>
      </c>
      <c r="H654" s="19">
        <f>H650-SUM(H651:H653)</f>
        <v>6220216.1975360764</v>
      </c>
      <c r="I654" s="19">
        <f>I650-SUM(I651:I653)</f>
        <v>16634462.980000002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f>217.77+381.02</f>
        <v>598.79</v>
      </c>
      <c r="G655" s="249">
        <v>221.24</v>
      </c>
      <c r="H655" s="249">
        <f>464.26</f>
        <v>464.26</v>
      </c>
      <c r="I655" s="19">
        <f>SUM(F655:H655)</f>
        <v>1284.29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12800.3</v>
      </c>
      <c r="G657" s="19">
        <f>ROUND(G654/G655,2)</f>
        <v>12427.93</v>
      </c>
      <c r="H657" s="19">
        <f>ROUND(H654/H655,2)</f>
        <v>13398.13</v>
      </c>
      <c r="I657" s="19">
        <f>ROUND(I654/I655,2)</f>
        <v>12952.26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7.83</v>
      </c>
      <c r="I660" s="19">
        <f>SUM(F660:H660)</f>
        <v>7.83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12800.3</v>
      </c>
      <c r="G662" s="19">
        <f>ROUND((G654+G659)/(G655+G660),2)</f>
        <v>12427.93</v>
      </c>
      <c r="H662" s="19">
        <f>ROUND((H654+H659)/(H655+H660),2)</f>
        <v>13175.91</v>
      </c>
      <c r="I662" s="19">
        <f>ROUND((I654+I659)/(I655+I660),2)</f>
        <v>12873.78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57FA4-347C-4827-B745-EFAB134C3BAB}">
  <sheetPr>
    <tabColor indexed="20"/>
  </sheetPr>
  <dimension ref="A1:C52"/>
  <sheetViews>
    <sheetView topLeftCell="A12" workbookViewId="0">
      <selection activeCell="C12" sqref="C1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BERLIN PUBLIC SCHOOLS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4842146</v>
      </c>
      <c r="C9" s="230">
        <f>'DOE25'!G189+'DOE25'!G207+'DOE25'!G225+'DOE25'!G268+'DOE25'!G287+'DOE25'!G306</f>
        <v>1830916.6500000001</v>
      </c>
    </row>
    <row r="10" spans="1:3" x14ac:dyDescent="0.2">
      <c r="A10" t="s">
        <v>810</v>
      </c>
      <c r="B10" s="241">
        <v>4668321.88</v>
      </c>
      <c r="C10" s="241">
        <f>(1793121.49+0.01)+22279.73</f>
        <v>1815401.23</v>
      </c>
    </row>
    <row r="11" spans="1:3" x14ac:dyDescent="0.2">
      <c r="A11" t="s">
        <v>811</v>
      </c>
      <c r="B11" s="241">
        <v>109196.41</v>
      </c>
      <c r="C11" s="241">
        <f>9229.06+521.14</f>
        <v>9750.1999999999989</v>
      </c>
    </row>
    <row r="12" spans="1:3" x14ac:dyDescent="0.2">
      <c r="A12" t="s">
        <v>812</v>
      </c>
      <c r="B12" s="241">
        <f>64622.74+4.97</f>
        <v>64627.71</v>
      </c>
      <c r="C12" s="241">
        <f>5461.78+308.41-4.97</f>
        <v>5765.2199999999993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4842146</v>
      </c>
      <c r="C13" s="232">
        <f>SUM(C10:C12)</f>
        <v>1830916.65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2339724.2800000003</v>
      </c>
      <c r="C18" s="230">
        <f>'DOE25'!G190+'DOE25'!G208+'DOE25'!G226+'DOE25'!G269+'DOE25'!G288+'DOE25'!G307</f>
        <v>458423.77999999997</v>
      </c>
    </row>
    <row r="19" spans="1:3" x14ac:dyDescent="0.2">
      <c r="A19" t="s">
        <v>810</v>
      </c>
      <c r="B19" s="241">
        <f>701074.49+285478.58</f>
        <v>986553.07000000007</v>
      </c>
      <c r="C19" s="241">
        <f>243175.25+102553.83+3235.88</f>
        <v>348964.96</v>
      </c>
    </row>
    <row r="20" spans="1:3" x14ac:dyDescent="0.2">
      <c r="A20" t="s">
        <v>811</v>
      </c>
      <c r="B20" s="241">
        <f>945873.45+329394.14</f>
        <v>1275267.5899999999</v>
      </c>
      <c r="C20" s="241">
        <f>72359.32+26596.14+4182.87</f>
        <v>103138.33</v>
      </c>
    </row>
    <row r="21" spans="1:3" x14ac:dyDescent="0.2">
      <c r="A21" t="s">
        <v>812</v>
      </c>
      <c r="B21" s="241">
        <f>53073.04+24830.58</f>
        <v>77903.62</v>
      </c>
      <c r="C21" s="241">
        <f>4060.09+2004.88+255.52</f>
        <v>6320.4900000000007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2339724.2800000003</v>
      </c>
      <c r="C22" s="232">
        <f>SUM(C19:C21)</f>
        <v>458423.78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421364.52</v>
      </c>
      <c r="C27" s="235">
        <f>'DOE25'!G191+'DOE25'!G209+'DOE25'!G227+'DOE25'!G270+'DOE25'!G289+'DOE25'!G308</f>
        <v>168355.06</v>
      </c>
    </row>
    <row r="28" spans="1:3" x14ac:dyDescent="0.2">
      <c r="A28" t="s">
        <v>810</v>
      </c>
      <c r="B28" s="241">
        <f>403568.03</f>
        <v>403568.03</v>
      </c>
      <c r="C28" s="241">
        <f>164940.98+1965.95</f>
        <v>166906.93000000002</v>
      </c>
    </row>
    <row r="29" spans="1:3" x14ac:dyDescent="0.2">
      <c r="A29" t="s">
        <v>811</v>
      </c>
      <c r="B29" s="241">
        <f>17796.49</f>
        <v>17796.490000000002</v>
      </c>
      <c r="C29" s="241">
        <f>1361.43+86.7</f>
        <v>1448.13</v>
      </c>
    </row>
    <row r="30" spans="1:3" x14ac:dyDescent="0.2">
      <c r="A30" t="s">
        <v>812</v>
      </c>
      <c r="B30" s="241">
        <v>0</v>
      </c>
      <c r="C30" s="241">
        <v>0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421364.52</v>
      </c>
      <c r="C31" s="232">
        <f>SUM(C28:C30)</f>
        <v>168355.06000000003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325913.32</v>
      </c>
      <c r="C36" s="236">
        <f>'DOE25'!G192+'DOE25'!G210+'DOE25'!G228+'DOE25'!G271+'DOE25'!G290+'DOE25'!G309</f>
        <v>42548.119999999995</v>
      </c>
    </row>
    <row r="37" spans="1:3" x14ac:dyDescent="0.2">
      <c r="A37" t="s">
        <v>810</v>
      </c>
      <c r="B37" s="241">
        <f>33812.08+125183</f>
        <v>158995.08000000002</v>
      </c>
      <c r="C37" s="241">
        <f>4993.17+15070.31+732.35</f>
        <v>20795.829999999998</v>
      </c>
    </row>
    <row r="38" spans="1:3" x14ac:dyDescent="0.2">
      <c r="A38" t="s">
        <v>811</v>
      </c>
      <c r="B38" s="241">
        <f>13882.81</f>
        <v>13882.81</v>
      </c>
      <c r="C38" s="241">
        <f>1062.03+63.95</f>
        <v>1125.98</v>
      </c>
    </row>
    <row r="39" spans="1:3" x14ac:dyDescent="0.2">
      <c r="A39" t="s">
        <v>812</v>
      </c>
      <c r="B39" s="241">
        <f>0+3525+149510.43</f>
        <v>153035.43</v>
      </c>
      <c r="C39" s="241">
        <f>0+269.66+20340.41+16.24</f>
        <v>20626.310000000001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325913.32</v>
      </c>
      <c r="C40" s="232">
        <f>SUM(C37:C39)</f>
        <v>42548.119999999995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A9636-48C7-403C-A57F-B0F51CDD599B}">
  <sheetPr>
    <tabColor indexed="11"/>
  </sheetPr>
  <dimension ref="A1:I51"/>
  <sheetViews>
    <sheetView workbookViewId="0">
      <pane ySplit="4" topLeftCell="A8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BERLIN PUBLIC SCHOOLS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10770628.610000001</v>
      </c>
      <c r="D5" s="20">
        <f>SUM('DOE25'!L189:L192)+SUM('DOE25'!L207:L210)+SUM('DOE25'!L225:L228)-F5-G5</f>
        <v>10673193.780000001</v>
      </c>
      <c r="E5" s="244"/>
      <c r="F5" s="256">
        <f>SUM('DOE25'!J189:J192)+SUM('DOE25'!J207:J210)+SUM('DOE25'!J225:J228)</f>
        <v>88036.66</v>
      </c>
      <c r="G5" s="53">
        <f>SUM('DOE25'!K189:K192)+SUM('DOE25'!K207:K210)+SUM('DOE25'!K225:K228)</f>
        <v>9398.17</v>
      </c>
      <c r="H5" s="260"/>
    </row>
    <row r="6" spans="1:9" x14ac:dyDescent="0.2">
      <c r="A6" s="32">
        <v>2100</v>
      </c>
      <c r="B6" t="s">
        <v>832</v>
      </c>
      <c r="C6" s="246">
        <f t="shared" si="0"/>
        <v>1216883.6399999999</v>
      </c>
      <c r="D6" s="20">
        <f>'DOE25'!L194+'DOE25'!L212+'DOE25'!L230-F6-G6</f>
        <v>1212975.0899999999</v>
      </c>
      <c r="E6" s="244"/>
      <c r="F6" s="256">
        <f>'DOE25'!J194+'DOE25'!J212+'DOE25'!J230</f>
        <v>3344.55</v>
      </c>
      <c r="G6" s="53">
        <f>'DOE25'!K194+'DOE25'!K212+'DOE25'!K230</f>
        <v>564</v>
      </c>
      <c r="H6" s="260"/>
    </row>
    <row r="7" spans="1:9" x14ac:dyDescent="0.2">
      <c r="A7" s="32">
        <v>2200</v>
      </c>
      <c r="B7" t="s">
        <v>865</v>
      </c>
      <c r="C7" s="246">
        <f t="shared" si="0"/>
        <v>282666.31</v>
      </c>
      <c r="D7" s="20">
        <f>'DOE25'!L195+'DOE25'!L213+'DOE25'!L231-F7-G7</f>
        <v>277022.82</v>
      </c>
      <c r="E7" s="244"/>
      <c r="F7" s="256">
        <f>'DOE25'!J195+'DOE25'!J213+'DOE25'!J231</f>
        <v>4343.49</v>
      </c>
      <c r="G7" s="53">
        <f>'DOE25'!K195+'DOE25'!K213+'DOE25'!K231</f>
        <v>1300</v>
      </c>
      <c r="H7" s="260"/>
    </row>
    <row r="8" spans="1:9" x14ac:dyDescent="0.2">
      <c r="A8" s="32">
        <v>2300</v>
      </c>
      <c r="B8" t="s">
        <v>833</v>
      </c>
      <c r="C8" s="246">
        <f t="shared" si="0"/>
        <v>354056.25</v>
      </c>
      <c r="D8" s="244"/>
      <c r="E8" s="20">
        <f>'DOE25'!L196+'DOE25'!L214+'DOE25'!L232-F8-G8-D9-D11</f>
        <v>330259.01</v>
      </c>
      <c r="F8" s="256">
        <f>'DOE25'!J196+'DOE25'!J214+'DOE25'!J232</f>
        <v>3101.08</v>
      </c>
      <c r="G8" s="53">
        <f>'DOE25'!K196+'DOE25'!K214+'DOE25'!K232</f>
        <v>20696.16</v>
      </c>
      <c r="H8" s="260"/>
    </row>
    <row r="9" spans="1:9" x14ac:dyDescent="0.2">
      <c r="A9" s="32">
        <v>2310</v>
      </c>
      <c r="B9" t="s">
        <v>849</v>
      </c>
      <c r="C9" s="246">
        <f t="shared" si="0"/>
        <v>26460.76</v>
      </c>
      <c r="D9" s="245">
        <v>26460.76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0</v>
      </c>
      <c r="D10" s="244"/>
      <c r="E10" s="245"/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214823.46</v>
      </c>
      <c r="D11" s="245">
        <v>214823.46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822316.16</v>
      </c>
      <c r="D12" s="20">
        <f>'DOE25'!L197+'DOE25'!L215+'DOE25'!L233-F12-G12</f>
        <v>794443.71000000008</v>
      </c>
      <c r="E12" s="244"/>
      <c r="F12" s="256">
        <f>'DOE25'!J197+'DOE25'!J215+'DOE25'!J233</f>
        <v>6016.44</v>
      </c>
      <c r="G12" s="53">
        <f>'DOE25'!K197+'DOE25'!K215+'DOE25'!K233</f>
        <v>21856.01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235216.57</v>
      </c>
      <c r="D13" s="244"/>
      <c r="E13" s="20">
        <f>'DOE25'!L198+'DOE25'!L216+'DOE25'!L234-F13-G13</f>
        <v>234928.81</v>
      </c>
      <c r="F13" s="256">
        <f>'DOE25'!J198+'DOE25'!J216+'DOE25'!J234</f>
        <v>0</v>
      </c>
      <c r="G13" s="53">
        <f>'DOE25'!K198+'DOE25'!K216+'DOE25'!K234</f>
        <v>287.76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1545496.12</v>
      </c>
      <c r="D14" s="20">
        <f>'DOE25'!L199+'DOE25'!L217+'DOE25'!L235-F14-G14</f>
        <v>1514131.6400000001</v>
      </c>
      <c r="E14" s="244"/>
      <c r="F14" s="256">
        <f>'DOE25'!J199+'DOE25'!J217+'DOE25'!J235</f>
        <v>31364.48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378205.15</v>
      </c>
      <c r="D15" s="20">
        <f>'DOE25'!L200+'DOE25'!L218+'DOE25'!L236-F15-G15</f>
        <v>377722.15</v>
      </c>
      <c r="E15" s="244"/>
      <c r="F15" s="256">
        <f>'DOE25'!J200+'DOE25'!J218+'DOE25'!J236</f>
        <v>0</v>
      </c>
      <c r="G15" s="53">
        <f>'DOE25'!K200+'DOE25'!K218+'DOE25'!K236</f>
        <v>483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320208.74</v>
      </c>
      <c r="D29" s="20">
        <f>'DOE25'!L350+'DOE25'!L351+'DOE25'!L352-'DOE25'!I359-F29-G29</f>
        <v>317796.33</v>
      </c>
      <c r="E29" s="244"/>
      <c r="F29" s="256">
        <f>'DOE25'!J350+'DOE25'!J351+'DOE25'!J352</f>
        <v>2087.41</v>
      </c>
      <c r="G29" s="53">
        <f>'DOE25'!K350+'DOE25'!K351+'DOE25'!K352</f>
        <v>325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2120314.21</v>
      </c>
      <c r="D31" s="20">
        <f>'DOE25'!L282+'DOE25'!L301+'DOE25'!L320+'DOE25'!L325+'DOE25'!L326+'DOE25'!L327-F31-G31</f>
        <v>1983388</v>
      </c>
      <c r="E31" s="244"/>
      <c r="F31" s="256">
        <f>'DOE25'!J282+'DOE25'!J301+'DOE25'!J320+'DOE25'!J325+'DOE25'!J326+'DOE25'!J327</f>
        <v>94782.88</v>
      </c>
      <c r="G31" s="53">
        <f>'DOE25'!K282+'DOE25'!K301+'DOE25'!K320+'DOE25'!K325+'DOE25'!K326+'DOE25'!K327</f>
        <v>42143.33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17391957.740000002</v>
      </c>
      <c r="E33" s="247">
        <f>SUM(E5:E31)</f>
        <v>565187.82000000007</v>
      </c>
      <c r="F33" s="247">
        <f>SUM(F5:F31)</f>
        <v>233076.99000000002</v>
      </c>
      <c r="G33" s="247">
        <f>SUM(G5:G31)</f>
        <v>97053.43</v>
      </c>
      <c r="H33" s="247">
        <f>SUM(H5:H31)</f>
        <v>0</v>
      </c>
    </row>
    <row r="35" spans="2:8" ht="12" thickBot="1" x14ac:dyDescent="0.25">
      <c r="B35" s="254" t="s">
        <v>878</v>
      </c>
      <c r="D35" s="255">
        <f>E33</f>
        <v>565187.82000000007</v>
      </c>
      <c r="E35" s="250"/>
    </row>
    <row r="36" spans="2:8" ht="12" thickTop="1" x14ac:dyDescent="0.2">
      <c r="B36" t="s">
        <v>846</v>
      </c>
      <c r="D36" s="20">
        <f>D33</f>
        <v>17391957.740000002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N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C96DB-ED3E-4BD1-BA74-FF207BA3D83F}">
  <sheetPr transitionEvaluation="1" codeName="Sheet2">
    <tabColor indexed="10"/>
  </sheetPr>
  <dimension ref="A1:I156"/>
  <sheetViews>
    <sheetView zoomScale="89" zoomScaleNormal="89" workbookViewId="0">
      <pane ySplit="2" topLeftCell="A3" activePane="bottomLeft" state="frozen"/>
      <selection pane="bottomLeft" activeCell="J131" sqref="J131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BERLIN PUBLIC SCHOOLS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6664.57</v>
      </c>
      <c r="D9" s="95">
        <f>'DOE25'!G9</f>
        <v>87397.75</v>
      </c>
      <c r="E9" s="95">
        <f>'DOE25'!H9</f>
        <v>36343.74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6664.57</v>
      </c>
      <c r="D19" s="41">
        <f>SUM(D9:D18)</f>
        <v>87397.75</v>
      </c>
      <c r="E19" s="41">
        <f>SUM(E9:E18)</f>
        <v>36343.74</v>
      </c>
      <c r="F19" s="41">
        <f>SUM(F9:F18)</f>
        <v>0</v>
      </c>
      <c r="G19" s="41">
        <f>SUM(G9:G18)</f>
        <v>0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0</v>
      </c>
      <c r="D32" s="41">
        <f>SUM(D22:D31)</f>
        <v>0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6664.57</v>
      </c>
      <c r="D40" s="95">
        <f>'DOE25'!G41</f>
        <v>87397.75</v>
      </c>
      <c r="E40" s="95">
        <f>'DOE25'!H41</f>
        <v>36343.74</v>
      </c>
      <c r="F40" s="95">
        <f>'DOE25'!I41</f>
        <v>0</v>
      </c>
      <c r="G40" s="95">
        <f>'DOE25'!J41</f>
        <v>0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0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6664.57</v>
      </c>
      <c r="D42" s="41">
        <f>SUM(D34:D41)</f>
        <v>87397.75</v>
      </c>
      <c r="E42" s="41">
        <f>SUM(E34:E41)</f>
        <v>36343.74</v>
      </c>
      <c r="F42" s="41">
        <f>SUM(F34:F41)</f>
        <v>0</v>
      </c>
      <c r="G42" s="41">
        <f>SUM(G34:G41)</f>
        <v>0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6664.57</v>
      </c>
      <c r="D43" s="41">
        <f>D42+D32</f>
        <v>87397.75</v>
      </c>
      <c r="E43" s="41">
        <f>E42+E32</f>
        <v>36343.74</v>
      </c>
      <c r="F43" s="41">
        <f>F42+F32</f>
        <v>0</v>
      </c>
      <c r="G43" s="41">
        <f>G42+G32</f>
        <v>0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2110571.15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1431823.21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8701.41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0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0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191475.1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55799.54</v>
      </c>
      <c r="D53" s="95">
        <f>SUM('DOE25'!G90:G102)</f>
        <v>0</v>
      </c>
      <c r="E53" s="95">
        <f>SUM('DOE25'!H90:H102)</f>
        <v>163365.60999999999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1496324.16</v>
      </c>
      <c r="D54" s="130">
        <f>SUM(D49:D53)</f>
        <v>191475.1</v>
      </c>
      <c r="E54" s="130">
        <f>SUM(E49:E53)</f>
        <v>163365.60999999999</v>
      </c>
      <c r="F54" s="130">
        <f>SUM(F49:F53)</f>
        <v>0</v>
      </c>
      <c r="G54" s="130">
        <f>SUM(G49:G53)</f>
        <v>0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3606895.3099999996</v>
      </c>
      <c r="D55" s="22">
        <f>D48+D54</f>
        <v>191475.1</v>
      </c>
      <c r="E55" s="22">
        <f>E48+E54</f>
        <v>163365.60999999999</v>
      </c>
      <c r="F55" s="22">
        <f>F48+F54</f>
        <v>0</v>
      </c>
      <c r="G55" s="22">
        <f>G48+G54</f>
        <v>0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10380358.34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820937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376492.66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11577788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314184.94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69187.98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35813.599999999999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9702.51</v>
      </c>
      <c r="E69" s="95">
        <f>SUM('DOE25'!H123:H127)</f>
        <v>11700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419186.51999999996</v>
      </c>
      <c r="D70" s="130">
        <f>SUM(D64:D69)</f>
        <v>9702.51</v>
      </c>
      <c r="E70" s="130">
        <f>SUM(E64:E69)</f>
        <v>11700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11996974.52</v>
      </c>
      <c r="D73" s="130">
        <f>SUM(D71:D72)+D70+D62</f>
        <v>9702.51</v>
      </c>
      <c r="E73" s="130">
        <f>SUM(E71:E72)+E70+E62</f>
        <v>11700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208447.75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191303.57</v>
      </c>
      <c r="D80" s="95">
        <f>SUM('DOE25'!G145:G153)</f>
        <v>372167.9</v>
      </c>
      <c r="E80" s="95">
        <f>SUM('DOE25'!H145:H153)</f>
        <v>2021034.22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24229.1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34015.1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249547.77000000002</v>
      </c>
      <c r="D83" s="131">
        <f>SUM(D77:D82)</f>
        <v>372167.9</v>
      </c>
      <c r="E83" s="131">
        <f>SUM(E77:E82)</f>
        <v>2229481.9699999997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15853417.599999998</v>
      </c>
      <c r="D96" s="86">
        <f>D55+D73+D83+D95</f>
        <v>573345.51</v>
      </c>
      <c r="E96" s="86">
        <f>E55+E73+E83+E95</f>
        <v>2404547.5799999996</v>
      </c>
      <c r="F96" s="86">
        <f>F55+F73+F83+F95</f>
        <v>0</v>
      </c>
      <c r="G96" s="86">
        <f>G55+G73+G95</f>
        <v>0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6835449.290000001</v>
      </c>
      <c r="D101" s="24" t="s">
        <v>312</v>
      </c>
      <c r="E101" s="95">
        <f>('DOE25'!L268)+('DOE25'!L287)+('DOE25'!L306)</f>
        <v>253316.76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3026960.62</v>
      </c>
      <c r="D102" s="24" t="s">
        <v>312</v>
      </c>
      <c r="E102" s="95">
        <f>('DOE25'!L269)+('DOE25'!L288)+('DOE25'!L307)</f>
        <v>1021638.5299999999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632406.78</v>
      </c>
      <c r="D103" s="24" t="s">
        <v>312</v>
      </c>
      <c r="E103" s="95">
        <f>('DOE25'!L270)+('DOE25'!L289)+('DOE25'!L308)</f>
        <v>66067.27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275811.92</v>
      </c>
      <c r="D104" s="24" t="s">
        <v>312</v>
      </c>
      <c r="E104" s="95">
        <f>+('DOE25'!L271)+('DOE25'!L290)+('DOE25'!L309)</f>
        <v>197083.2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10770628.609999999</v>
      </c>
      <c r="D107" s="86">
        <f>SUM(D101:D106)</f>
        <v>0</v>
      </c>
      <c r="E107" s="86">
        <f>SUM(E101:E106)</f>
        <v>1538105.76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1216883.6399999999</v>
      </c>
      <c r="D110" s="24" t="s">
        <v>312</v>
      </c>
      <c r="E110" s="95">
        <f>+('DOE25'!L273)+('DOE25'!L292)+('DOE25'!L311)</f>
        <v>406872.32000000001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282666.31</v>
      </c>
      <c r="D111" s="24" t="s">
        <v>312</v>
      </c>
      <c r="E111" s="95">
        <f>+('DOE25'!L274)+('DOE25'!L293)+('DOE25'!L312)</f>
        <v>167647.12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595340.47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822316.16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235216.57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1545496.12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378205.15</v>
      </c>
      <c r="D116" s="24" t="s">
        <v>312</v>
      </c>
      <c r="E116" s="95">
        <f>+('DOE25'!L279)+('DOE25'!L298)+('DOE25'!L317)</f>
        <v>7689.01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604291.11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5076124.42</v>
      </c>
      <c r="D120" s="86">
        <f>SUM(D110:D119)</f>
        <v>604291.11</v>
      </c>
      <c r="E120" s="86">
        <f>SUM(E110:E119)</f>
        <v>582208.44999999995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0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265417.75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0</v>
      </c>
      <c r="D136" s="141">
        <f>SUM(D122:D135)</f>
        <v>0</v>
      </c>
      <c r="E136" s="141">
        <f>SUM(E122:E135)</f>
        <v>265417.75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15846753.029999999</v>
      </c>
      <c r="D137" s="86">
        <f>(D107+D120+D136)</f>
        <v>604291.11</v>
      </c>
      <c r="E137" s="86">
        <f>(E107+E120+E136)</f>
        <v>2385731.96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15</v>
      </c>
      <c r="C143" s="153">
        <f>'DOE25'!G480</f>
        <v>15</v>
      </c>
      <c r="D143" s="153">
        <f>'DOE25'!H480</f>
        <v>10</v>
      </c>
      <c r="E143" s="153">
        <f>'DOE25'!I480</f>
        <v>5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12/97</v>
      </c>
      <c r="C144" s="152" t="str">
        <f>'DOE25'!G481</f>
        <v>12/97</v>
      </c>
      <c r="D144" s="152" t="str">
        <f>'DOE25'!H481</f>
        <v>07/06</v>
      </c>
      <c r="E144" s="152" t="str">
        <f>'DOE25'!I481</f>
        <v>01/10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01/13</v>
      </c>
      <c r="C145" s="152" t="str">
        <f>'DOE25'!G482</f>
        <v>01/03</v>
      </c>
      <c r="D145" s="152" t="str">
        <f>'DOE25'!H482</f>
        <v>07/16</v>
      </c>
      <c r="E145" s="152" t="str">
        <f>'DOE25'!I482</f>
        <v>12/14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1500000</v>
      </c>
      <c r="C146" s="137">
        <f>'DOE25'!G483</f>
        <v>4500000</v>
      </c>
      <c r="D146" s="137">
        <f>'DOE25'!H483</f>
        <v>2146074.81</v>
      </c>
      <c r="E146" s="137">
        <f>'DOE25'!I483</f>
        <v>477185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4.7</v>
      </c>
      <c r="C147" s="137">
        <f>'DOE25'!G484</f>
        <v>4.7</v>
      </c>
      <c r="D147" s="137">
        <f>'DOE25'!H484</f>
        <v>4.3</v>
      </c>
      <c r="E147" s="137">
        <f>'DOE25'!I484</f>
        <v>2.99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300000</v>
      </c>
      <c r="C148" s="137">
        <f>'DOE25'!G485</f>
        <v>900000</v>
      </c>
      <c r="D148" s="137">
        <f>'DOE25'!H485</f>
        <v>1245927.6599999999</v>
      </c>
      <c r="E148" s="137">
        <f>'DOE25'!I485</f>
        <v>477185</v>
      </c>
      <c r="F148" s="137">
        <f>'DOE25'!J485</f>
        <v>0</v>
      </c>
      <c r="G148" s="138">
        <f>SUM(B148:F148)</f>
        <v>2923112.66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100000</v>
      </c>
      <c r="C150" s="137">
        <f>'DOE25'!G487</f>
        <v>300000</v>
      </c>
      <c r="D150" s="137">
        <f>'DOE25'!H487</f>
        <v>155933.89000000001</v>
      </c>
      <c r="E150" s="137">
        <f>'DOE25'!I487</f>
        <v>104617.12</v>
      </c>
      <c r="F150" s="137">
        <f>'DOE25'!J487</f>
        <v>0</v>
      </c>
      <c r="G150" s="138">
        <f t="shared" si="0"/>
        <v>660551.01</v>
      </c>
    </row>
    <row r="151" spans="1:7" x14ac:dyDescent="0.2">
      <c r="A151" s="22" t="s">
        <v>35</v>
      </c>
      <c r="B151" s="137">
        <f>'DOE25'!F488</f>
        <v>200000</v>
      </c>
      <c r="C151" s="137">
        <f>'DOE25'!G488</f>
        <v>600000</v>
      </c>
      <c r="D151" s="137">
        <f>'DOE25'!H488</f>
        <v>1089993.77</v>
      </c>
      <c r="E151" s="137">
        <f>'DOE25'!I488</f>
        <v>372567.88</v>
      </c>
      <c r="F151" s="137">
        <f>'DOE25'!J488</f>
        <v>0</v>
      </c>
      <c r="G151" s="138">
        <f t="shared" si="0"/>
        <v>2262561.65</v>
      </c>
    </row>
    <row r="152" spans="1:7" x14ac:dyDescent="0.2">
      <c r="A152" s="22" t="s">
        <v>36</v>
      </c>
      <c r="B152" s="137">
        <f>'DOE25'!F489</f>
        <v>14700</v>
      </c>
      <c r="C152" s="137">
        <f>'DOE25'!G489</f>
        <v>43800</v>
      </c>
      <c r="D152" s="137">
        <f>'DOE25'!H489</f>
        <v>173081.65</v>
      </c>
      <c r="E152" s="137">
        <f>'DOE25'!I489</f>
        <v>32028.92</v>
      </c>
      <c r="F152" s="137">
        <f>'DOE25'!J489</f>
        <v>0</v>
      </c>
      <c r="G152" s="138">
        <f t="shared" si="0"/>
        <v>263610.57</v>
      </c>
    </row>
    <row r="153" spans="1:7" x14ac:dyDescent="0.2">
      <c r="A153" s="22" t="s">
        <v>37</v>
      </c>
      <c r="B153" s="137">
        <f>'DOE25'!F490</f>
        <v>214700</v>
      </c>
      <c r="C153" s="137">
        <f>'DOE25'!G490</f>
        <v>643800</v>
      </c>
      <c r="D153" s="137">
        <f>'DOE25'!H490</f>
        <v>1263075.42</v>
      </c>
      <c r="E153" s="137">
        <f>'DOE25'!I490</f>
        <v>404596.8</v>
      </c>
      <c r="F153" s="137">
        <f>'DOE25'!J490</f>
        <v>0</v>
      </c>
      <c r="G153" s="138">
        <f t="shared" si="0"/>
        <v>2526172.2199999997</v>
      </c>
    </row>
    <row r="154" spans="1:7" x14ac:dyDescent="0.2">
      <c r="A154" s="22" t="s">
        <v>38</v>
      </c>
      <c r="B154" s="137">
        <f>'DOE25'!F491</f>
        <v>100000</v>
      </c>
      <c r="C154" s="137">
        <f>'DOE25'!G491</f>
        <v>300000</v>
      </c>
      <c r="D154" s="137">
        <f>'DOE25'!H491</f>
        <v>162764.68</v>
      </c>
      <c r="E154" s="137">
        <f>'DOE25'!I491</f>
        <v>93692.63</v>
      </c>
      <c r="F154" s="137">
        <f>'DOE25'!J491</f>
        <v>0</v>
      </c>
      <c r="G154" s="138">
        <f t="shared" si="0"/>
        <v>656457.30999999994</v>
      </c>
    </row>
    <row r="155" spans="1:7" x14ac:dyDescent="0.2">
      <c r="A155" s="22" t="s">
        <v>39</v>
      </c>
      <c r="B155" s="137">
        <f>'DOE25'!F492</f>
        <v>9800</v>
      </c>
      <c r="C155" s="137">
        <f>'DOE25'!G492</f>
        <v>29100</v>
      </c>
      <c r="D155" s="137">
        <f>'DOE25'!H492</f>
        <v>47747.89</v>
      </c>
      <c r="E155" s="137">
        <f>'DOE25'!I492</f>
        <v>9654.18</v>
      </c>
      <c r="F155" s="137">
        <f>'DOE25'!J492</f>
        <v>0</v>
      </c>
      <c r="G155" s="138">
        <f t="shared" si="0"/>
        <v>96302.07</v>
      </c>
    </row>
    <row r="156" spans="1:7" x14ac:dyDescent="0.2">
      <c r="A156" s="22" t="s">
        <v>269</v>
      </c>
      <c r="B156" s="137">
        <f>'DOE25'!F493</f>
        <v>109800</v>
      </c>
      <c r="C156" s="137">
        <f>'DOE25'!G493</f>
        <v>329100</v>
      </c>
      <c r="D156" s="137">
        <f>'DOE25'!H493</f>
        <v>210512.57</v>
      </c>
      <c r="E156" s="137">
        <f>'DOE25'!I493</f>
        <v>103346.81</v>
      </c>
      <c r="F156" s="137">
        <f>'DOE25'!J493</f>
        <v>0</v>
      </c>
      <c r="G156" s="138">
        <f t="shared" si="0"/>
        <v>752759.38000000012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88F45-4CE6-46D6-917F-8DF15D3E52AF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BERLIN PUBLIC SCHOOLS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12800</v>
      </c>
    </row>
    <row r="5" spans="1:4" x14ac:dyDescent="0.2">
      <c r="B5" t="s">
        <v>735</v>
      </c>
      <c r="C5" s="179">
        <f>IF('DOE25'!G655+'DOE25'!G660=0,0,ROUND('DOE25'!G662,0))</f>
        <v>12428</v>
      </c>
    </row>
    <row r="6" spans="1:4" x14ac:dyDescent="0.2">
      <c r="B6" t="s">
        <v>62</v>
      </c>
      <c r="C6" s="179">
        <f>IF('DOE25'!H655+'DOE25'!H660=0,0,ROUND('DOE25'!H662,0))</f>
        <v>13176</v>
      </c>
    </row>
    <row r="7" spans="1:4" x14ac:dyDescent="0.2">
      <c r="B7" t="s">
        <v>736</v>
      </c>
      <c r="C7" s="179">
        <f>IF('DOE25'!I655+'DOE25'!I660=0,0,ROUND('DOE25'!I662,0))</f>
        <v>12874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7088766</v>
      </c>
      <c r="D10" s="182">
        <f>ROUND((C10/$C$28)*100,1)</f>
        <v>38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4048599</v>
      </c>
      <c r="D11" s="182">
        <f>ROUND((C11/$C$28)*100,1)</f>
        <v>21.7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698474</v>
      </c>
      <c r="D12" s="182">
        <f>ROUND((C12/$C$28)*100,1)</f>
        <v>3.7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472895</v>
      </c>
      <c r="D13" s="182">
        <f>ROUND((C13/$C$28)*100,1)</f>
        <v>2.5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1623756</v>
      </c>
      <c r="D15" s="182">
        <f t="shared" ref="D15:D27" si="0">ROUND((C15/$C$28)*100,1)</f>
        <v>8.6999999999999993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450313</v>
      </c>
      <c r="D16" s="182">
        <f t="shared" si="0"/>
        <v>2.4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595340</v>
      </c>
      <c r="D17" s="182">
        <f t="shared" si="0"/>
        <v>3.2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822316</v>
      </c>
      <c r="D18" s="182">
        <f t="shared" si="0"/>
        <v>4.4000000000000004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235217</v>
      </c>
      <c r="D19" s="182">
        <f t="shared" si="0"/>
        <v>1.3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1545496</v>
      </c>
      <c r="D20" s="182">
        <f t="shared" si="0"/>
        <v>8.3000000000000007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385894</v>
      </c>
      <c r="D21" s="182">
        <f t="shared" si="0"/>
        <v>2.1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265417.75</v>
      </c>
      <c r="D26" s="182">
        <f t="shared" si="0"/>
        <v>1.4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412815.9</v>
      </c>
      <c r="D27" s="182">
        <f t="shared" si="0"/>
        <v>2.2000000000000002</v>
      </c>
    </row>
    <row r="28" spans="1:4" x14ac:dyDescent="0.2">
      <c r="B28" s="187" t="s">
        <v>754</v>
      </c>
      <c r="C28" s="180">
        <f>SUM(C10:C27)</f>
        <v>18645299.649999999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18645299.649999999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2110571</v>
      </c>
      <c r="D35" s="182">
        <f t="shared" ref="D35:D40" si="1">ROUND((C35/$C$41)*100,1)</f>
        <v>11.3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1659689.92</v>
      </c>
      <c r="D36" s="182">
        <f t="shared" si="1"/>
        <v>8.9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11577788</v>
      </c>
      <c r="D37" s="182">
        <f t="shared" si="1"/>
        <v>62.1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440589</v>
      </c>
      <c r="D38" s="182">
        <f t="shared" si="1"/>
        <v>2.4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2851198</v>
      </c>
      <c r="D39" s="182">
        <f t="shared" si="1"/>
        <v>15.3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18639835.920000002</v>
      </c>
      <c r="D41" s="184">
        <f>SUM(D35:D40)</f>
        <v>100.00000000000001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FA68F-0FD3-41A3-A54E-D71BDBAA2C53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BERLIN PUBLIC SCHOOLS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7"/>
      <c r="Q29" s="297"/>
      <c r="R29" s="297"/>
      <c r="S29" s="297"/>
      <c r="T29" s="297"/>
      <c r="U29" s="297"/>
      <c r="V29" s="297"/>
      <c r="W29" s="297"/>
      <c r="X29" s="297"/>
      <c r="Y29" s="297"/>
      <c r="Z29" s="297"/>
      <c r="AA29" s="208"/>
      <c r="AB29" s="208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08"/>
      <c r="AO29" s="208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08"/>
      <c r="BB29" s="208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4"/>
      <c r="BN29" s="208"/>
      <c r="BO29" s="208"/>
      <c r="BP29" s="294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08"/>
      <c r="CB29" s="208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08"/>
      <c r="CO29" s="208"/>
      <c r="CP29" s="294"/>
      <c r="CQ29" s="294"/>
      <c r="CR29" s="294"/>
      <c r="CS29" s="294"/>
      <c r="CT29" s="294"/>
      <c r="CU29" s="294"/>
      <c r="CV29" s="294"/>
      <c r="CW29" s="294"/>
      <c r="CX29" s="294"/>
      <c r="CY29" s="294"/>
      <c r="CZ29" s="294"/>
      <c r="DA29" s="208"/>
      <c r="DB29" s="208"/>
      <c r="DC29" s="294"/>
      <c r="DD29" s="294"/>
      <c r="DE29" s="294"/>
      <c r="DF29" s="294"/>
      <c r="DG29" s="294"/>
      <c r="DH29" s="294"/>
      <c r="DI29" s="294"/>
      <c r="DJ29" s="294"/>
      <c r="DK29" s="294"/>
      <c r="DL29" s="294"/>
      <c r="DM29" s="294"/>
      <c r="DN29" s="208"/>
      <c r="DO29" s="208"/>
      <c r="DP29" s="294"/>
      <c r="DQ29" s="294"/>
      <c r="DR29" s="294"/>
      <c r="DS29" s="294"/>
      <c r="DT29" s="294"/>
      <c r="DU29" s="294"/>
      <c r="DV29" s="294"/>
      <c r="DW29" s="294"/>
      <c r="DX29" s="294"/>
      <c r="DY29" s="294"/>
      <c r="DZ29" s="294"/>
      <c r="EA29" s="208"/>
      <c r="EB29" s="208"/>
      <c r="EC29" s="294"/>
      <c r="ED29" s="294"/>
      <c r="EE29" s="294"/>
      <c r="EF29" s="294"/>
      <c r="EG29" s="294"/>
      <c r="EH29" s="294"/>
      <c r="EI29" s="294"/>
      <c r="EJ29" s="294"/>
      <c r="EK29" s="294"/>
      <c r="EL29" s="294"/>
      <c r="EM29" s="294"/>
      <c r="EN29" s="208"/>
      <c r="EO29" s="208"/>
      <c r="EP29" s="294"/>
      <c r="EQ29" s="294"/>
      <c r="ER29" s="294"/>
      <c r="ES29" s="294"/>
      <c r="ET29" s="294"/>
      <c r="EU29" s="294"/>
      <c r="EV29" s="294"/>
      <c r="EW29" s="294"/>
      <c r="EX29" s="294"/>
      <c r="EY29" s="294"/>
      <c r="EZ29" s="294"/>
      <c r="FA29" s="208"/>
      <c r="FB29" s="208"/>
      <c r="FC29" s="294"/>
      <c r="FD29" s="294"/>
      <c r="FE29" s="294"/>
      <c r="FF29" s="294"/>
      <c r="FG29" s="294"/>
      <c r="FH29" s="294"/>
      <c r="FI29" s="294"/>
      <c r="FJ29" s="294"/>
      <c r="FK29" s="294"/>
      <c r="FL29" s="294"/>
      <c r="FM29" s="294"/>
      <c r="FN29" s="208"/>
      <c r="FO29" s="208"/>
      <c r="FP29" s="294"/>
      <c r="FQ29" s="294"/>
      <c r="FR29" s="294"/>
      <c r="FS29" s="294"/>
      <c r="FT29" s="294"/>
      <c r="FU29" s="294"/>
      <c r="FV29" s="294"/>
      <c r="FW29" s="294"/>
      <c r="FX29" s="294"/>
      <c r="FY29" s="294"/>
      <c r="FZ29" s="294"/>
      <c r="GA29" s="208"/>
      <c r="GB29" s="208"/>
      <c r="GC29" s="294"/>
      <c r="GD29" s="294"/>
      <c r="GE29" s="294"/>
      <c r="GF29" s="294"/>
      <c r="GG29" s="294"/>
      <c r="GH29" s="294"/>
      <c r="GI29" s="294"/>
      <c r="GJ29" s="294"/>
      <c r="GK29" s="294"/>
      <c r="GL29" s="294"/>
      <c r="GM29" s="294"/>
      <c r="GN29" s="208"/>
      <c r="GO29" s="208"/>
      <c r="GP29" s="294"/>
      <c r="GQ29" s="294"/>
      <c r="GR29" s="294"/>
      <c r="GS29" s="294"/>
      <c r="GT29" s="294"/>
      <c r="GU29" s="294"/>
      <c r="GV29" s="294"/>
      <c r="GW29" s="294"/>
      <c r="GX29" s="294"/>
      <c r="GY29" s="294"/>
      <c r="GZ29" s="294"/>
      <c r="HA29" s="208"/>
      <c r="HB29" s="208"/>
      <c r="HC29" s="294"/>
      <c r="HD29" s="294"/>
      <c r="HE29" s="294"/>
      <c r="HF29" s="294"/>
      <c r="HG29" s="294"/>
      <c r="HH29" s="294"/>
      <c r="HI29" s="294"/>
      <c r="HJ29" s="294"/>
      <c r="HK29" s="294"/>
      <c r="HL29" s="294"/>
      <c r="HM29" s="294"/>
      <c r="HN29" s="208"/>
      <c r="HO29" s="208"/>
      <c r="HP29" s="294"/>
      <c r="HQ29" s="294"/>
      <c r="HR29" s="294"/>
      <c r="HS29" s="294"/>
      <c r="HT29" s="294"/>
      <c r="HU29" s="294"/>
      <c r="HV29" s="294"/>
      <c r="HW29" s="294"/>
      <c r="HX29" s="294"/>
      <c r="HY29" s="294"/>
      <c r="HZ29" s="294"/>
      <c r="IA29" s="208"/>
      <c r="IB29" s="208"/>
      <c r="IC29" s="294"/>
      <c r="ID29" s="294"/>
      <c r="IE29" s="294"/>
      <c r="IF29" s="294"/>
      <c r="IG29" s="294"/>
      <c r="IH29" s="294"/>
      <c r="II29" s="294"/>
      <c r="IJ29" s="294"/>
      <c r="IK29" s="294"/>
      <c r="IL29" s="294"/>
      <c r="IM29" s="294"/>
      <c r="IN29" s="208"/>
      <c r="IO29" s="208"/>
      <c r="IP29" s="294"/>
      <c r="IQ29" s="294"/>
      <c r="IR29" s="294"/>
      <c r="IS29" s="294"/>
      <c r="IT29" s="294"/>
      <c r="IU29" s="294"/>
      <c r="IV29" s="294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7"/>
      <c r="Q30" s="297"/>
      <c r="R30" s="297"/>
      <c r="S30" s="297"/>
      <c r="T30" s="297"/>
      <c r="U30" s="297"/>
      <c r="V30" s="297"/>
      <c r="W30" s="297"/>
      <c r="X30" s="297"/>
      <c r="Y30" s="297"/>
      <c r="Z30" s="297"/>
      <c r="AA30" s="208"/>
      <c r="AB30" s="208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08"/>
      <c r="AO30" s="208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08"/>
      <c r="BB30" s="208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4"/>
      <c r="BN30" s="208"/>
      <c r="BO30" s="208"/>
      <c r="BP30" s="294"/>
      <c r="BQ30" s="294"/>
      <c r="BR30" s="294"/>
      <c r="BS30" s="294"/>
      <c r="BT30" s="294"/>
      <c r="BU30" s="294"/>
      <c r="BV30" s="294"/>
      <c r="BW30" s="294"/>
      <c r="BX30" s="294"/>
      <c r="BY30" s="294"/>
      <c r="BZ30" s="294"/>
      <c r="CA30" s="208"/>
      <c r="CB30" s="208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08"/>
      <c r="CO30" s="208"/>
      <c r="CP30" s="294"/>
      <c r="CQ30" s="294"/>
      <c r="CR30" s="294"/>
      <c r="CS30" s="294"/>
      <c r="CT30" s="294"/>
      <c r="CU30" s="294"/>
      <c r="CV30" s="294"/>
      <c r="CW30" s="294"/>
      <c r="CX30" s="294"/>
      <c r="CY30" s="294"/>
      <c r="CZ30" s="294"/>
      <c r="DA30" s="208"/>
      <c r="DB30" s="208"/>
      <c r="DC30" s="294"/>
      <c r="DD30" s="294"/>
      <c r="DE30" s="294"/>
      <c r="DF30" s="294"/>
      <c r="DG30" s="294"/>
      <c r="DH30" s="294"/>
      <c r="DI30" s="294"/>
      <c r="DJ30" s="294"/>
      <c r="DK30" s="294"/>
      <c r="DL30" s="294"/>
      <c r="DM30" s="294"/>
      <c r="DN30" s="208"/>
      <c r="DO30" s="208"/>
      <c r="DP30" s="294"/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208"/>
      <c r="EB30" s="208"/>
      <c r="EC30" s="294"/>
      <c r="ED30" s="294"/>
      <c r="EE30" s="294"/>
      <c r="EF30" s="294"/>
      <c r="EG30" s="294"/>
      <c r="EH30" s="294"/>
      <c r="EI30" s="294"/>
      <c r="EJ30" s="294"/>
      <c r="EK30" s="294"/>
      <c r="EL30" s="294"/>
      <c r="EM30" s="294"/>
      <c r="EN30" s="208"/>
      <c r="EO30" s="208"/>
      <c r="EP30" s="294"/>
      <c r="EQ30" s="294"/>
      <c r="ER30" s="294"/>
      <c r="ES30" s="294"/>
      <c r="ET30" s="294"/>
      <c r="EU30" s="294"/>
      <c r="EV30" s="294"/>
      <c r="EW30" s="294"/>
      <c r="EX30" s="294"/>
      <c r="EY30" s="294"/>
      <c r="EZ30" s="294"/>
      <c r="FA30" s="208"/>
      <c r="FB30" s="208"/>
      <c r="FC30" s="294"/>
      <c r="FD30" s="294"/>
      <c r="FE30" s="294"/>
      <c r="FF30" s="294"/>
      <c r="FG30" s="294"/>
      <c r="FH30" s="294"/>
      <c r="FI30" s="294"/>
      <c r="FJ30" s="294"/>
      <c r="FK30" s="294"/>
      <c r="FL30" s="294"/>
      <c r="FM30" s="294"/>
      <c r="FN30" s="208"/>
      <c r="FO30" s="208"/>
      <c r="FP30" s="294"/>
      <c r="FQ30" s="294"/>
      <c r="FR30" s="294"/>
      <c r="FS30" s="294"/>
      <c r="FT30" s="294"/>
      <c r="FU30" s="294"/>
      <c r="FV30" s="294"/>
      <c r="FW30" s="294"/>
      <c r="FX30" s="294"/>
      <c r="FY30" s="294"/>
      <c r="FZ30" s="294"/>
      <c r="GA30" s="208"/>
      <c r="GB30" s="208"/>
      <c r="GC30" s="294"/>
      <c r="GD30" s="294"/>
      <c r="GE30" s="294"/>
      <c r="GF30" s="294"/>
      <c r="GG30" s="294"/>
      <c r="GH30" s="294"/>
      <c r="GI30" s="294"/>
      <c r="GJ30" s="294"/>
      <c r="GK30" s="294"/>
      <c r="GL30" s="294"/>
      <c r="GM30" s="294"/>
      <c r="GN30" s="208"/>
      <c r="GO30" s="208"/>
      <c r="GP30" s="294"/>
      <c r="GQ30" s="294"/>
      <c r="GR30" s="294"/>
      <c r="GS30" s="294"/>
      <c r="GT30" s="294"/>
      <c r="GU30" s="294"/>
      <c r="GV30" s="294"/>
      <c r="GW30" s="294"/>
      <c r="GX30" s="294"/>
      <c r="GY30" s="294"/>
      <c r="GZ30" s="294"/>
      <c r="HA30" s="208"/>
      <c r="HB30" s="208"/>
      <c r="HC30" s="294"/>
      <c r="HD30" s="294"/>
      <c r="HE30" s="294"/>
      <c r="HF30" s="294"/>
      <c r="HG30" s="294"/>
      <c r="HH30" s="294"/>
      <c r="HI30" s="294"/>
      <c r="HJ30" s="294"/>
      <c r="HK30" s="294"/>
      <c r="HL30" s="294"/>
      <c r="HM30" s="294"/>
      <c r="HN30" s="208"/>
      <c r="HO30" s="208"/>
      <c r="HP30" s="294"/>
      <c r="HQ30" s="294"/>
      <c r="HR30" s="294"/>
      <c r="HS30" s="294"/>
      <c r="HT30" s="294"/>
      <c r="HU30" s="294"/>
      <c r="HV30" s="294"/>
      <c r="HW30" s="294"/>
      <c r="HX30" s="294"/>
      <c r="HY30" s="294"/>
      <c r="HZ30" s="294"/>
      <c r="IA30" s="208"/>
      <c r="IB30" s="208"/>
      <c r="IC30" s="294"/>
      <c r="ID30" s="294"/>
      <c r="IE30" s="294"/>
      <c r="IF30" s="294"/>
      <c r="IG30" s="294"/>
      <c r="IH30" s="294"/>
      <c r="II30" s="294"/>
      <c r="IJ30" s="294"/>
      <c r="IK30" s="294"/>
      <c r="IL30" s="294"/>
      <c r="IM30" s="294"/>
      <c r="IN30" s="208"/>
      <c r="IO30" s="208"/>
      <c r="IP30" s="294"/>
      <c r="IQ30" s="294"/>
      <c r="IR30" s="294"/>
      <c r="IS30" s="294"/>
      <c r="IT30" s="294"/>
      <c r="IU30" s="294"/>
      <c r="IV30" s="294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7"/>
      <c r="Q31" s="297"/>
      <c r="R31" s="297"/>
      <c r="S31" s="297"/>
      <c r="T31" s="297"/>
      <c r="U31" s="297"/>
      <c r="V31" s="297"/>
      <c r="W31" s="297"/>
      <c r="X31" s="297"/>
      <c r="Y31" s="297"/>
      <c r="Z31" s="297"/>
      <c r="AA31" s="208"/>
      <c r="AB31" s="208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08"/>
      <c r="AO31" s="208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08"/>
      <c r="BB31" s="208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08"/>
      <c r="BO31" s="208"/>
      <c r="BP31" s="294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08"/>
      <c r="CB31" s="208"/>
      <c r="CC31" s="294"/>
      <c r="CD31" s="294"/>
      <c r="CE31" s="294"/>
      <c r="CF31" s="294"/>
      <c r="CG31" s="294"/>
      <c r="CH31" s="294"/>
      <c r="CI31" s="294"/>
      <c r="CJ31" s="294"/>
      <c r="CK31" s="294"/>
      <c r="CL31" s="294"/>
      <c r="CM31" s="294"/>
      <c r="CN31" s="208"/>
      <c r="CO31" s="208"/>
      <c r="CP31" s="294"/>
      <c r="CQ31" s="294"/>
      <c r="CR31" s="294"/>
      <c r="CS31" s="294"/>
      <c r="CT31" s="294"/>
      <c r="CU31" s="294"/>
      <c r="CV31" s="294"/>
      <c r="CW31" s="294"/>
      <c r="CX31" s="294"/>
      <c r="CY31" s="294"/>
      <c r="CZ31" s="294"/>
      <c r="DA31" s="208"/>
      <c r="DB31" s="208"/>
      <c r="DC31" s="294"/>
      <c r="DD31" s="294"/>
      <c r="DE31" s="294"/>
      <c r="DF31" s="294"/>
      <c r="DG31" s="294"/>
      <c r="DH31" s="294"/>
      <c r="DI31" s="294"/>
      <c r="DJ31" s="294"/>
      <c r="DK31" s="294"/>
      <c r="DL31" s="294"/>
      <c r="DM31" s="294"/>
      <c r="DN31" s="208"/>
      <c r="DO31" s="208"/>
      <c r="DP31" s="294"/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208"/>
      <c r="EB31" s="208"/>
      <c r="EC31" s="294"/>
      <c r="ED31" s="294"/>
      <c r="EE31" s="294"/>
      <c r="EF31" s="294"/>
      <c r="EG31" s="294"/>
      <c r="EH31" s="294"/>
      <c r="EI31" s="294"/>
      <c r="EJ31" s="294"/>
      <c r="EK31" s="294"/>
      <c r="EL31" s="294"/>
      <c r="EM31" s="294"/>
      <c r="EN31" s="208"/>
      <c r="EO31" s="208"/>
      <c r="EP31" s="294"/>
      <c r="EQ31" s="294"/>
      <c r="ER31" s="294"/>
      <c r="ES31" s="294"/>
      <c r="ET31" s="294"/>
      <c r="EU31" s="294"/>
      <c r="EV31" s="294"/>
      <c r="EW31" s="294"/>
      <c r="EX31" s="294"/>
      <c r="EY31" s="294"/>
      <c r="EZ31" s="294"/>
      <c r="FA31" s="208"/>
      <c r="FB31" s="208"/>
      <c r="FC31" s="294"/>
      <c r="FD31" s="294"/>
      <c r="FE31" s="294"/>
      <c r="FF31" s="294"/>
      <c r="FG31" s="294"/>
      <c r="FH31" s="294"/>
      <c r="FI31" s="294"/>
      <c r="FJ31" s="294"/>
      <c r="FK31" s="294"/>
      <c r="FL31" s="294"/>
      <c r="FM31" s="294"/>
      <c r="FN31" s="208"/>
      <c r="FO31" s="208"/>
      <c r="FP31" s="294"/>
      <c r="FQ31" s="294"/>
      <c r="FR31" s="294"/>
      <c r="FS31" s="294"/>
      <c r="FT31" s="294"/>
      <c r="FU31" s="294"/>
      <c r="FV31" s="294"/>
      <c r="FW31" s="294"/>
      <c r="FX31" s="294"/>
      <c r="FY31" s="294"/>
      <c r="FZ31" s="294"/>
      <c r="GA31" s="208"/>
      <c r="GB31" s="208"/>
      <c r="GC31" s="294"/>
      <c r="GD31" s="294"/>
      <c r="GE31" s="294"/>
      <c r="GF31" s="294"/>
      <c r="GG31" s="294"/>
      <c r="GH31" s="294"/>
      <c r="GI31" s="294"/>
      <c r="GJ31" s="294"/>
      <c r="GK31" s="294"/>
      <c r="GL31" s="294"/>
      <c r="GM31" s="294"/>
      <c r="GN31" s="208"/>
      <c r="GO31" s="208"/>
      <c r="GP31" s="294"/>
      <c r="GQ31" s="294"/>
      <c r="GR31" s="294"/>
      <c r="GS31" s="294"/>
      <c r="GT31" s="294"/>
      <c r="GU31" s="294"/>
      <c r="GV31" s="294"/>
      <c r="GW31" s="294"/>
      <c r="GX31" s="294"/>
      <c r="GY31" s="294"/>
      <c r="GZ31" s="294"/>
      <c r="HA31" s="208"/>
      <c r="HB31" s="208"/>
      <c r="HC31" s="294"/>
      <c r="HD31" s="294"/>
      <c r="HE31" s="294"/>
      <c r="HF31" s="294"/>
      <c r="HG31" s="294"/>
      <c r="HH31" s="294"/>
      <c r="HI31" s="294"/>
      <c r="HJ31" s="294"/>
      <c r="HK31" s="294"/>
      <c r="HL31" s="294"/>
      <c r="HM31" s="294"/>
      <c r="HN31" s="208"/>
      <c r="HO31" s="208"/>
      <c r="HP31" s="294"/>
      <c r="HQ31" s="294"/>
      <c r="HR31" s="294"/>
      <c r="HS31" s="294"/>
      <c r="HT31" s="294"/>
      <c r="HU31" s="294"/>
      <c r="HV31" s="294"/>
      <c r="HW31" s="294"/>
      <c r="HX31" s="294"/>
      <c r="HY31" s="294"/>
      <c r="HZ31" s="294"/>
      <c r="IA31" s="208"/>
      <c r="IB31" s="208"/>
      <c r="IC31" s="294"/>
      <c r="ID31" s="294"/>
      <c r="IE31" s="294"/>
      <c r="IF31" s="294"/>
      <c r="IG31" s="294"/>
      <c r="IH31" s="294"/>
      <c r="II31" s="294"/>
      <c r="IJ31" s="294"/>
      <c r="IK31" s="294"/>
      <c r="IL31" s="294"/>
      <c r="IM31" s="294"/>
      <c r="IN31" s="208"/>
      <c r="IO31" s="208"/>
      <c r="IP31" s="294"/>
      <c r="IQ31" s="294"/>
      <c r="IR31" s="294"/>
      <c r="IS31" s="294"/>
      <c r="IT31" s="294"/>
      <c r="IU31" s="294"/>
      <c r="IV31" s="294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7"/>
      <c r="Q38" s="297"/>
      <c r="R38" s="297"/>
      <c r="S38" s="297"/>
      <c r="T38" s="297"/>
      <c r="U38" s="297"/>
      <c r="V38" s="297"/>
      <c r="W38" s="297"/>
      <c r="X38" s="297"/>
      <c r="Y38" s="297"/>
      <c r="Z38" s="297"/>
      <c r="AA38" s="208"/>
      <c r="AB38" s="208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08"/>
      <c r="AO38" s="208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08"/>
      <c r="BB38" s="208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08"/>
      <c r="BO38" s="208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08"/>
      <c r="CB38" s="208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08"/>
      <c r="CO38" s="208"/>
      <c r="CP38" s="294"/>
      <c r="CQ38" s="294"/>
      <c r="CR38" s="294"/>
      <c r="CS38" s="294"/>
      <c r="CT38" s="294"/>
      <c r="CU38" s="294"/>
      <c r="CV38" s="294"/>
      <c r="CW38" s="294"/>
      <c r="CX38" s="294"/>
      <c r="CY38" s="294"/>
      <c r="CZ38" s="294"/>
      <c r="DA38" s="208"/>
      <c r="DB38" s="208"/>
      <c r="DC38" s="294"/>
      <c r="DD38" s="294"/>
      <c r="DE38" s="294"/>
      <c r="DF38" s="294"/>
      <c r="DG38" s="294"/>
      <c r="DH38" s="294"/>
      <c r="DI38" s="294"/>
      <c r="DJ38" s="294"/>
      <c r="DK38" s="294"/>
      <c r="DL38" s="294"/>
      <c r="DM38" s="294"/>
      <c r="DN38" s="208"/>
      <c r="DO38" s="208"/>
      <c r="DP38" s="294"/>
      <c r="DQ38" s="294"/>
      <c r="DR38" s="294"/>
      <c r="DS38" s="294"/>
      <c r="DT38" s="294"/>
      <c r="DU38" s="294"/>
      <c r="DV38" s="294"/>
      <c r="DW38" s="294"/>
      <c r="DX38" s="294"/>
      <c r="DY38" s="294"/>
      <c r="DZ38" s="294"/>
      <c r="EA38" s="208"/>
      <c r="EB38" s="208"/>
      <c r="EC38" s="294"/>
      <c r="ED38" s="294"/>
      <c r="EE38" s="294"/>
      <c r="EF38" s="294"/>
      <c r="EG38" s="294"/>
      <c r="EH38" s="294"/>
      <c r="EI38" s="294"/>
      <c r="EJ38" s="294"/>
      <c r="EK38" s="294"/>
      <c r="EL38" s="294"/>
      <c r="EM38" s="294"/>
      <c r="EN38" s="208"/>
      <c r="EO38" s="208"/>
      <c r="EP38" s="294"/>
      <c r="EQ38" s="294"/>
      <c r="ER38" s="294"/>
      <c r="ES38" s="294"/>
      <c r="ET38" s="294"/>
      <c r="EU38" s="294"/>
      <c r="EV38" s="294"/>
      <c r="EW38" s="294"/>
      <c r="EX38" s="294"/>
      <c r="EY38" s="294"/>
      <c r="EZ38" s="294"/>
      <c r="FA38" s="208"/>
      <c r="FB38" s="208"/>
      <c r="FC38" s="294"/>
      <c r="FD38" s="294"/>
      <c r="FE38" s="294"/>
      <c r="FF38" s="294"/>
      <c r="FG38" s="294"/>
      <c r="FH38" s="294"/>
      <c r="FI38" s="294"/>
      <c r="FJ38" s="294"/>
      <c r="FK38" s="294"/>
      <c r="FL38" s="294"/>
      <c r="FM38" s="294"/>
      <c r="FN38" s="208"/>
      <c r="FO38" s="208"/>
      <c r="FP38" s="294"/>
      <c r="FQ38" s="294"/>
      <c r="FR38" s="294"/>
      <c r="FS38" s="294"/>
      <c r="FT38" s="294"/>
      <c r="FU38" s="294"/>
      <c r="FV38" s="294"/>
      <c r="FW38" s="294"/>
      <c r="FX38" s="294"/>
      <c r="FY38" s="294"/>
      <c r="FZ38" s="294"/>
      <c r="GA38" s="208"/>
      <c r="GB38" s="208"/>
      <c r="GC38" s="294"/>
      <c r="GD38" s="294"/>
      <c r="GE38" s="294"/>
      <c r="GF38" s="294"/>
      <c r="GG38" s="294"/>
      <c r="GH38" s="294"/>
      <c r="GI38" s="294"/>
      <c r="GJ38" s="294"/>
      <c r="GK38" s="294"/>
      <c r="GL38" s="294"/>
      <c r="GM38" s="294"/>
      <c r="GN38" s="208"/>
      <c r="GO38" s="208"/>
      <c r="GP38" s="294"/>
      <c r="GQ38" s="294"/>
      <c r="GR38" s="294"/>
      <c r="GS38" s="294"/>
      <c r="GT38" s="294"/>
      <c r="GU38" s="294"/>
      <c r="GV38" s="294"/>
      <c r="GW38" s="294"/>
      <c r="GX38" s="294"/>
      <c r="GY38" s="294"/>
      <c r="GZ38" s="294"/>
      <c r="HA38" s="208"/>
      <c r="HB38" s="208"/>
      <c r="HC38" s="294"/>
      <c r="HD38" s="294"/>
      <c r="HE38" s="294"/>
      <c r="HF38" s="294"/>
      <c r="HG38" s="294"/>
      <c r="HH38" s="294"/>
      <c r="HI38" s="294"/>
      <c r="HJ38" s="294"/>
      <c r="HK38" s="294"/>
      <c r="HL38" s="294"/>
      <c r="HM38" s="294"/>
      <c r="HN38" s="208"/>
      <c r="HO38" s="208"/>
      <c r="HP38" s="294"/>
      <c r="HQ38" s="294"/>
      <c r="HR38" s="294"/>
      <c r="HS38" s="294"/>
      <c r="HT38" s="294"/>
      <c r="HU38" s="294"/>
      <c r="HV38" s="294"/>
      <c r="HW38" s="294"/>
      <c r="HX38" s="294"/>
      <c r="HY38" s="294"/>
      <c r="HZ38" s="294"/>
      <c r="IA38" s="208"/>
      <c r="IB38" s="208"/>
      <c r="IC38" s="294"/>
      <c r="ID38" s="294"/>
      <c r="IE38" s="294"/>
      <c r="IF38" s="294"/>
      <c r="IG38" s="294"/>
      <c r="IH38" s="294"/>
      <c r="II38" s="294"/>
      <c r="IJ38" s="294"/>
      <c r="IK38" s="294"/>
      <c r="IL38" s="294"/>
      <c r="IM38" s="294"/>
      <c r="IN38" s="208"/>
      <c r="IO38" s="208"/>
      <c r="IP38" s="294"/>
      <c r="IQ38" s="294"/>
      <c r="IR38" s="294"/>
      <c r="IS38" s="294"/>
      <c r="IT38" s="294"/>
      <c r="IU38" s="294"/>
      <c r="IV38" s="294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08"/>
      <c r="AB39" s="208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08"/>
      <c r="AO39" s="208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08"/>
      <c r="BB39" s="208"/>
      <c r="BC39" s="294"/>
      <c r="BD39" s="294"/>
      <c r="BE39" s="294"/>
      <c r="BF39" s="294"/>
      <c r="BG39" s="294"/>
      <c r="BH39" s="294"/>
      <c r="BI39" s="294"/>
      <c r="BJ39" s="294"/>
      <c r="BK39" s="294"/>
      <c r="BL39" s="294"/>
      <c r="BM39" s="294"/>
      <c r="BN39" s="208"/>
      <c r="BO39" s="208"/>
      <c r="BP39" s="294"/>
      <c r="BQ39" s="294"/>
      <c r="BR39" s="294"/>
      <c r="BS39" s="294"/>
      <c r="BT39" s="294"/>
      <c r="BU39" s="294"/>
      <c r="BV39" s="294"/>
      <c r="BW39" s="294"/>
      <c r="BX39" s="294"/>
      <c r="BY39" s="294"/>
      <c r="BZ39" s="294"/>
      <c r="CA39" s="208"/>
      <c r="CB39" s="208"/>
      <c r="CC39" s="294"/>
      <c r="CD39" s="294"/>
      <c r="CE39" s="294"/>
      <c r="CF39" s="294"/>
      <c r="CG39" s="294"/>
      <c r="CH39" s="294"/>
      <c r="CI39" s="294"/>
      <c r="CJ39" s="294"/>
      <c r="CK39" s="294"/>
      <c r="CL39" s="294"/>
      <c r="CM39" s="294"/>
      <c r="CN39" s="208"/>
      <c r="CO39" s="208"/>
      <c r="CP39" s="294"/>
      <c r="CQ39" s="294"/>
      <c r="CR39" s="294"/>
      <c r="CS39" s="294"/>
      <c r="CT39" s="294"/>
      <c r="CU39" s="294"/>
      <c r="CV39" s="294"/>
      <c r="CW39" s="294"/>
      <c r="CX39" s="294"/>
      <c r="CY39" s="294"/>
      <c r="CZ39" s="294"/>
      <c r="DA39" s="208"/>
      <c r="DB39" s="208"/>
      <c r="DC39" s="294"/>
      <c r="DD39" s="294"/>
      <c r="DE39" s="294"/>
      <c r="DF39" s="294"/>
      <c r="DG39" s="294"/>
      <c r="DH39" s="294"/>
      <c r="DI39" s="294"/>
      <c r="DJ39" s="294"/>
      <c r="DK39" s="294"/>
      <c r="DL39" s="294"/>
      <c r="DM39" s="294"/>
      <c r="DN39" s="208"/>
      <c r="DO39" s="208"/>
      <c r="DP39" s="294"/>
      <c r="DQ39" s="294"/>
      <c r="DR39" s="294"/>
      <c r="DS39" s="294"/>
      <c r="DT39" s="294"/>
      <c r="DU39" s="294"/>
      <c r="DV39" s="294"/>
      <c r="DW39" s="294"/>
      <c r="DX39" s="294"/>
      <c r="DY39" s="294"/>
      <c r="DZ39" s="294"/>
      <c r="EA39" s="208"/>
      <c r="EB39" s="208"/>
      <c r="EC39" s="294"/>
      <c r="ED39" s="294"/>
      <c r="EE39" s="294"/>
      <c r="EF39" s="294"/>
      <c r="EG39" s="294"/>
      <c r="EH39" s="294"/>
      <c r="EI39" s="294"/>
      <c r="EJ39" s="294"/>
      <c r="EK39" s="294"/>
      <c r="EL39" s="294"/>
      <c r="EM39" s="294"/>
      <c r="EN39" s="208"/>
      <c r="EO39" s="208"/>
      <c r="EP39" s="294"/>
      <c r="EQ39" s="294"/>
      <c r="ER39" s="294"/>
      <c r="ES39" s="294"/>
      <c r="ET39" s="294"/>
      <c r="EU39" s="294"/>
      <c r="EV39" s="294"/>
      <c r="EW39" s="294"/>
      <c r="EX39" s="294"/>
      <c r="EY39" s="294"/>
      <c r="EZ39" s="294"/>
      <c r="FA39" s="208"/>
      <c r="FB39" s="208"/>
      <c r="FC39" s="294"/>
      <c r="FD39" s="294"/>
      <c r="FE39" s="294"/>
      <c r="FF39" s="294"/>
      <c r="FG39" s="294"/>
      <c r="FH39" s="294"/>
      <c r="FI39" s="294"/>
      <c r="FJ39" s="294"/>
      <c r="FK39" s="294"/>
      <c r="FL39" s="294"/>
      <c r="FM39" s="294"/>
      <c r="FN39" s="208"/>
      <c r="FO39" s="208"/>
      <c r="FP39" s="294"/>
      <c r="FQ39" s="294"/>
      <c r="FR39" s="294"/>
      <c r="FS39" s="294"/>
      <c r="FT39" s="294"/>
      <c r="FU39" s="294"/>
      <c r="FV39" s="294"/>
      <c r="FW39" s="294"/>
      <c r="FX39" s="294"/>
      <c r="FY39" s="294"/>
      <c r="FZ39" s="294"/>
      <c r="GA39" s="208"/>
      <c r="GB39" s="208"/>
      <c r="GC39" s="294"/>
      <c r="GD39" s="294"/>
      <c r="GE39" s="294"/>
      <c r="GF39" s="294"/>
      <c r="GG39" s="294"/>
      <c r="GH39" s="294"/>
      <c r="GI39" s="294"/>
      <c r="GJ39" s="294"/>
      <c r="GK39" s="294"/>
      <c r="GL39" s="294"/>
      <c r="GM39" s="294"/>
      <c r="GN39" s="208"/>
      <c r="GO39" s="208"/>
      <c r="GP39" s="294"/>
      <c r="GQ39" s="294"/>
      <c r="GR39" s="294"/>
      <c r="GS39" s="294"/>
      <c r="GT39" s="294"/>
      <c r="GU39" s="294"/>
      <c r="GV39" s="294"/>
      <c r="GW39" s="294"/>
      <c r="GX39" s="294"/>
      <c r="GY39" s="294"/>
      <c r="GZ39" s="294"/>
      <c r="HA39" s="208"/>
      <c r="HB39" s="208"/>
      <c r="HC39" s="294"/>
      <c r="HD39" s="294"/>
      <c r="HE39" s="294"/>
      <c r="HF39" s="294"/>
      <c r="HG39" s="294"/>
      <c r="HH39" s="294"/>
      <c r="HI39" s="294"/>
      <c r="HJ39" s="294"/>
      <c r="HK39" s="294"/>
      <c r="HL39" s="294"/>
      <c r="HM39" s="294"/>
      <c r="HN39" s="208"/>
      <c r="HO39" s="208"/>
      <c r="HP39" s="294"/>
      <c r="HQ39" s="294"/>
      <c r="HR39" s="294"/>
      <c r="HS39" s="294"/>
      <c r="HT39" s="294"/>
      <c r="HU39" s="294"/>
      <c r="HV39" s="294"/>
      <c r="HW39" s="294"/>
      <c r="HX39" s="294"/>
      <c r="HY39" s="294"/>
      <c r="HZ39" s="294"/>
      <c r="IA39" s="208"/>
      <c r="IB39" s="208"/>
      <c r="IC39" s="294"/>
      <c r="ID39" s="294"/>
      <c r="IE39" s="294"/>
      <c r="IF39" s="294"/>
      <c r="IG39" s="294"/>
      <c r="IH39" s="294"/>
      <c r="II39" s="294"/>
      <c r="IJ39" s="294"/>
      <c r="IK39" s="294"/>
      <c r="IL39" s="294"/>
      <c r="IM39" s="294"/>
      <c r="IN39" s="208"/>
      <c r="IO39" s="208"/>
      <c r="IP39" s="294"/>
      <c r="IQ39" s="294"/>
      <c r="IR39" s="294"/>
      <c r="IS39" s="294"/>
      <c r="IT39" s="294"/>
      <c r="IU39" s="294"/>
      <c r="IV39" s="294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297"/>
      <c r="AA40" s="208"/>
      <c r="AB40" s="208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08"/>
      <c r="AO40" s="208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08"/>
      <c r="BB40" s="208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08"/>
      <c r="BO40" s="208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08"/>
      <c r="CB40" s="208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08"/>
      <c r="CO40" s="208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08"/>
      <c r="DB40" s="208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08"/>
      <c r="DO40" s="208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08"/>
      <c r="EB40" s="208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08"/>
      <c r="EO40" s="208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08"/>
      <c r="FB40" s="208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08"/>
      <c r="FO40" s="208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08"/>
      <c r="GB40" s="208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08"/>
      <c r="GO40" s="208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08"/>
      <c r="HB40" s="208"/>
      <c r="HC40" s="294"/>
      <c r="HD40" s="294"/>
      <c r="HE40" s="294"/>
      <c r="HF40" s="294"/>
      <c r="HG40" s="294"/>
      <c r="HH40" s="294"/>
      <c r="HI40" s="294"/>
      <c r="HJ40" s="294"/>
      <c r="HK40" s="294"/>
      <c r="HL40" s="294"/>
      <c r="HM40" s="294"/>
      <c r="HN40" s="208"/>
      <c r="HO40" s="208"/>
      <c r="HP40" s="294"/>
      <c r="HQ40" s="294"/>
      <c r="HR40" s="294"/>
      <c r="HS40" s="294"/>
      <c r="HT40" s="294"/>
      <c r="HU40" s="294"/>
      <c r="HV40" s="294"/>
      <c r="HW40" s="294"/>
      <c r="HX40" s="294"/>
      <c r="HY40" s="294"/>
      <c r="HZ40" s="294"/>
      <c r="IA40" s="208"/>
      <c r="IB40" s="208"/>
      <c r="IC40" s="294"/>
      <c r="ID40" s="294"/>
      <c r="IE40" s="294"/>
      <c r="IF40" s="294"/>
      <c r="IG40" s="294"/>
      <c r="IH40" s="294"/>
      <c r="II40" s="294"/>
      <c r="IJ40" s="294"/>
      <c r="IK40" s="294"/>
      <c r="IL40" s="294"/>
      <c r="IM40" s="294"/>
      <c r="IN40" s="208"/>
      <c r="IO40" s="208"/>
      <c r="IP40" s="294"/>
      <c r="IQ40" s="294"/>
      <c r="IR40" s="294"/>
      <c r="IS40" s="294"/>
      <c r="IT40" s="294"/>
      <c r="IU40" s="294"/>
      <c r="IV40" s="294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1:M41"/>
    <mergeCell ref="BC40:BM40"/>
    <mergeCell ref="BP40:BZ40"/>
    <mergeCell ref="FC40:FM40"/>
    <mergeCell ref="CC40:CM40"/>
    <mergeCell ref="CP40:CZ40"/>
    <mergeCell ref="DC40:DM40"/>
    <mergeCell ref="EP40:EZ40"/>
    <mergeCell ref="DP40:DZ40"/>
    <mergeCell ref="C45:M45"/>
    <mergeCell ref="C46:M46"/>
    <mergeCell ref="GC40:GM40"/>
    <mergeCell ref="GP40:GZ40"/>
    <mergeCell ref="EC40:EM40"/>
    <mergeCell ref="C44:M44"/>
    <mergeCell ref="FP40:FZ40"/>
    <mergeCell ref="C43:M43"/>
    <mergeCell ref="AP40:AZ40"/>
    <mergeCell ref="C42:M42"/>
    <mergeCell ref="IP40:IV40"/>
    <mergeCell ref="HC40:HM40"/>
    <mergeCell ref="HP40:HZ40"/>
    <mergeCell ref="IC40:IM40"/>
    <mergeCell ref="DP39:DZ39"/>
    <mergeCell ref="EC39:EM39"/>
    <mergeCell ref="GC39:GM39"/>
    <mergeCell ref="CP39:CZ39"/>
    <mergeCell ref="BP39:BZ39"/>
    <mergeCell ref="CC39:CM39"/>
    <mergeCell ref="DC39:DM39"/>
    <mergeCell ref="P39:Z39"/>
    <mergeCell ref="AC39:AM39"/>
    <mergeCell ref="AP39:AZ39"/>
    <mergeCell ref="HP38:HZ38"/>
    <mergeCell ref="IP39:IV39"/>
    <mergeCell ref="EP39:EZ39"/>
    <mergeCell ref="FC39:FM39"/>
    <mergeCell ref="FP39:FZ39"/>
    <mergeCell ref="GP39:GZ39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P38:Z38"/>
    <mergeCell ref="AC38:AM38"/>
    <mergeCell ref="AP38:AZ38"/>
    <mergeCell ref="HC32:HM32"/>
    <mergeCell ref="DC32:DM32"/>
    <mergeCell ref="DP32:DZ32"/>
    <mergeCell ref="EC32:EM32"/>
    <mergeCell ref="EP32:EZ32"/>
    <mergeCell ref="FP32:FZ32"/>
    <mergeCell ref="GC32:GM32"/>
    <mergeCell ref="CC38:CM38"/>
    <mergeCell ref="CC32:CM32"/>
    <mergeCell ref="CP38:CZ38"/>
    <mergeCell ref="AC32:AM32"/>
    <mergeCell ref="AP32:AZ32"/>
    <mergeCell ref="CP32:CZ32"/>
    <mergeCell ref="EP31:EZ31"/>
    <mergeCell ref="FC31:FM31"/>
    <mergeCell ref="GP31:GZ31"/>
    <mergeCell ref="HC31:HM31"/>
    <mergeCell ref="HP31:HZ31"/>
    <mergeCell ref="IC31:IM31"/>
    <mergeCell ref="IP31:IV31"/>
    <mergeCell ref="HP32:HZ32"/>
    <mergeCell ref="IC32:IM32"/>
    <mergeCell ref="IP32:IV32"/>
    <mergeCell ref="FC32:FM32"/>
    <mergeCell ref="GP32:GZ32"/>
    <mergeCell ref="BC39:BM39"/>
    <mergeCell ref="BP31:BZ31"/>
    <mergeCell ref="BP38:BZ38"/>
    <mergeCell ref="FP31:FZ31"/>
    <mergeCell ref="GC31:GM31"/>
    <mergeCell ref="IC30:IM30"/>
    <mergeCell ref="FP30:FZ30"/>
    <mergeCell ref="GC30:GM30"/>
    <mergeCell ref="GP30:GZ30"/>
    <mergeCell ref="HC30:HM30"/>
    <mergeCell ref="C39:M39"/>
    <mergeCell ref="C40:M40"/>
    <mergeCell ref="CC31:CM31"/>
    <mergeCell ref="CP31:CZ31"/>
    <mergeCell ref="DC31:DM31"/>
    <mergeCell ref="FC30:FM30"/>
    <mergeCell ref="CC30:CM30"/>
    <mergeCell ref="CP30:CZ30"/>
    <mergeCell ref="DC30:DM30"/>
    <mergeCell ref="DP30:DZ30"/>
    <mergeCell ref="P40:Z40"/>
    <mergeCell ref="AC40:AM40"/>
    <mergeCell ref="BP32:BZ32"/>
    <mergeCell ref="BC38:BM38"/>
    <mergeCell ref="P30:Z30"/>
    <mergeCell ref="AC30:AM30"/>
    <mergeCell ref="AP30:AZ30"/>
    <mergeCell ref="P31:Z31"/>
    <mergeCell ref="BC31:BM31"/>
    <mergeCell ref="BC32:BM32"/>
    <mergeCell ref="HC29:HM29"/>
    <mergeCell ref="HP29:HZ29"/>
    <mergeCell ref="IC29:IM29"/>
    <mergeCell ref="IP29:IV29"/>
    <mergeCell ref="BC30:BM30"/>
    <mergeCell ref="BP30:BZ30"/>
    <mergeCell ref="EC30:EM30"/>
    <mergeCell ref="EP30:EZ30"/>
    <mergeCell ref="IP30:IV30"/>
    <mergeCell ref="HP30:HZ30"/>
    <mergeCell ref="EP29:EZ29"/>
    <mergeCell ref="FC29:FM29"/>
    <mergeCell ref="P29:Z29"/>
    <mergeCell ref="AC29:AM29"/>
    <mergeCell ref="AP29:AZ29"/>
    <mergeCell ref="C32:M32"/>
    <mergeCell ref="C30:M30"/>
    <mergeCell ref="C31:M31"/>
    <mergeCell ref="DP31:DZ31"/>
    <mergeCell ref="EC31:E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EC29:EM29"/>
    <mergeCell ref="AP31:AZ31"/>
    <mergeCell ref="P32:Z32"/>
    <mergeCell ref="C5:M5"/>
    <mergeCell ref="C6:M6"/>
    <mergeCell ref="C7:M7"/>
    <mergeCell ref="C8:M8"/>
    <mergeCell ref="C16:M16"/>
    <mergeCell ref="C17:M17"/>
    <mergeCell ref="C18:M18"/>
    <mergeCell ref="A2:E2"/>
    <mergeCell ref="A1:I1"/>
    <mergeCell ref="C3:M3"/>
    <mergeCell ref="C4:M4"/>
    <mergeCell ref="F2:I2"/>
    <mergeCell ref="AC31:AM31"/>
    <mergeCell ref="C65:M65"/>
    <mergeCell ref="C19:M19"/>
    <mergeCell ref="C9:M9"/>
    <mergeCell ref="C10:M10"/>
    <mergeCell ref="C11:M11"/>
    <mergeCell ref="C12:M12"/>
    <mergeCell ref="C13:M13"/>
    <mergeCell ref="C33:M33"/>
    <mergeCell ref="C37:M37"/>
    <mergeCell ref="C38:M38"/>
    <mergeCell ref="C14:M14"/>
    <mergeCell ref="C15:M15"/>
    <mergeCell ref="C20:M20"/>
    <mergeCell ref="C29:M29"/>
    <mergeCell ref="C25:M25"/>
    <mergeCell ref="C26:M26"/>
    <mergeCell ref="C27:M27"/>
    <mergeCell ref="C70:M70"/>
    <mergeCell ref="A72:E72"/>
    <mergeCell ref="C73:M73"/>
    <mergeCell ref="C74:M74"/>
    <mergeCell ref="C34:M34"/>
    <mergeCell ref="C35:M35"/>
    <mergeCell ref="C36:M36"/>
    <mergeCell ref="C62:M62"/>
    <mergeCell ref="C63:M63"/>
    <mergeCell ref="C64:M64"/>
    <mergeCell ref="C90:M90"/>
    <mergeCell ref="C75:M75"/>
    <mergeCell ref="C76:M76"/>
    <mergeCell ref="C77:M77"/>
    <mergeCell ref="C78:M78"/>
    <mergeCell ref="C79:M79"/>
    <mergeCell ref="C80:M80"/>
    <mergeCell ref="C81:M81"/>
    <mergeCell ref="C82:M82"/>
    <mergeCell ref="C84:M84"/>
    <mergeCell ref="C85:M85"/>
    <mergeCell ref="C86:M86"/>
    <mergeCell ref="C87:M87"/>
    <mergeCell ref="C88:M88"/>
    <mergeCell ref="C89:M89"/>
    <mergeCell ref="C28:M28"/>
    <mergeCell ref="C21:M21"/>
    <mergeCell ref="C22:M22"/>
    <mergeCell ref="C23:M23"/>
    <mergeCell ref="C24:M24"/>
    <mergeCell ref="C83:M83"/>
    <mergeCell ref="C66:M66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2011-11-04T17:48:01Z</cp:lastPrinted>
  <dcterms:created xsi:type="dcterms:W3CDTF">1997-12-04T19:04:30Z</dcterms:created>
  <dcterms:modified xsi:type="dcterms:W3CDTF">2025-01-09T20:35:32Z</dcterms:modified>
</cp:coreProperties>
</file>