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5D67298-9E14-4C3B-9CBC-1A777FE1C20C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4869FB2B-AF63-4A8B-8782-87CB49EED72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1" i="1" l="1"/>
  <c r="G511" i="1"/>
  <c r="G521" i="1"/>
  <c r="B20" i="12"/>
  <c r="B19" i="12"/>
  <c r="B21" i="12"/>
  <c r="B12" i="12"/>
  <c r="B10" i="12"/>
  <c r="B13" i="12" s="1"/>
  <c r="H511" i="1"/>
  <c r="L511" i="1" s="1"/>
  <c r="H521" i="1"/>
  <c r="H524" i="1" s="1"/>
  <c r="F572" i="1"/>
  <c r="I572" i="1" s="1"/>
  <c r="H572" i="1"/>
  <c r="I274" i="1"/>
  <c r="H274" i="1"/>
  <c r="H273" i="1"/>
  <c r="I271" i="1"/>
  <c r="I269" i="1"/>
  <c r="H269" i="1"/>
  <c r="J269" i="1"/>
  <c r="G269" i="1"/>
  <c r="C18" i="12" s="1"/>
  <c r="F269" i="1"/>
  <c r="L269" i="1" s="1"/>
  <c r="E102" i="2" s="1"/>
  <c r="J268" i="1"/>
  <c r="J282" i="1" s="1"/>
  <c r="I268" i="1"/>
  <c r="I282" i="1" s="1"/>
  <c r="I330" i="1" s="1"/>
  <c r="I344" i="1" s="1"/>
  <c r="G268" i="1"/>
  <c r="C9" i="12" s="1"/>
  <c r="F268" i="1"/>
  <c r="H236" i="1"/>
  <c r="H200" i="1"/>
  <c r="J247" i="1"/>
  <c r="H201" i="1"/>
  <c r="H199" i="1"/>
  <c r="H197" i="1"/>
  <c r="L197" i="1" s="1"/>
  <c r="H196" i="1"/>
  <c r="L196" i="1" s="1"/>
  <c r="J195" i="1"/>
  <c r="F7" i="13" s="1"/>
  <c r="I195" i="1"/>
  <c r="H195" i="1"/>
  <c r="G195" i="1"/>
  <c r="L195" i="1" s="1"/>
  <c r="F195" i="1"/>
  <c r="K194" i="1"/>
  <c r="J194" i="1"/>
  <c r="I194" i="1"/>
  <c r="H194" i="1"/>
  <c r="G194" i="1"/>
  <c r="F194" i="1"/>
  <c r="L194" i="1" s="1"/>
  <c r="K192" i="1"/>
  <c r="K203" i="1" s="1"/>
  <c r="K249" i="1" s="1"/>
  <c r="K263" i="1" s="1"/>
  <c r="I192" i="1"/>
  <c r="I203" i="1" s="1"/>
  <c r="I249" i="1" s="1"/>
  <c r="I263" i="1" s="1"/>
  <c r="H192" i="1"/>
  <c r="G192" i="1"/>
  <c r="C36" i="12" s="1"/>
  <c r="F192" i="1"/>
  <c r="L192" i="1" s="1"/>
  <c r="I190" i="1"/>
  <c r="G190" i="1"/>
  <c r="F190" i="1"/>
  <c r="L190" i="1"/>
  <c r="H226" i="1"/>
  <c r="H190" i="1"/>
  <c r="H208" i="1"/>
  <c r="L208" i="1" s="1"/>
  <c r="H189" i="1"/>
  <c r="H203" i="1" s="1"/>
  <c r="H249" i="1" s="1"/>
  <c r="H263" i="1" s="1"/>
  <c r="F359" i="1"/>
  <c r="I359" i="1" s="1"/>
  <c r="I361" i="1" s="1"/>
  <c r="H624" i="1" s="1"/>
  <c r="J624" i="1" s="1"/>
  <c r="C37" i="10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C114" i="2"/>
  <c r="L216" i="1"/>
  <c r="L234" i="1"/>
  <c r="F16" i="13"/>
  <c r="G16" i="13"/>
  <c r="L201" i="1"/>
  <c r="L219" i="1"/>
  <c r="L237" i="1"/>
  <c r="E16" i="13"/>
  <c r="C16" i="13" s="1"/>
  <c r="F5" i="13"/>
  <c r="L189" i="1"/>
  <c r="L191" i="1"/>
  <c r="L207" i="1"/>
  <c r="L209" i="1"/>
  <c r="L210" i="1"/>
  <c r="L225" i="1"/>
  <c r="L226" i="1"/>
  <c r="L227" i="1"/>
  <c r="C12" i="10" s="1"/>
  <c r="L228" i="1"/>
  <c r="L239" i="1" s="1"/>
  <c r="F6" i="13"/>
  <c r="G6" i="13"/>
  <c r="L212" i="1"/>
  <c r="L230" i="1"/>
  <c r="G7" i="13"/>
  <c r="L213" i="1"/>
  <c r="L231" i="1"/>
  <c r="F12" i="13"/>
  <c r="G12" i="13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L236" i="1"/>
  <c r="F17" i="13"/>
  <c r="G17" i="13"/>
  <c r="L243" i="1"/>
  <c r="C24" i="10" s="1"/>
  <c r="D17" i="13"/>
  <c r="C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H651" i="1" s="1"/>
  <c r="L351" i="1"/>
  <c r="G651" i="1" s="1"/>
  <c r="L352" i="1"/>
  <c r="J301" i="1"/>
  <c r="J320" i="1"/>
  <c r="K282" i="1"/>
  <c r="K301" i="1"/>
  <c r="K330" i="1" s="1"/>
  <c r="K344" i="1" s="1"/>
  <c r="K320" i="1"/>
  <c r="L270" i="1"/>
  <c r="L271" i="1"/>
  <c r="E104" i="2" s="1"/>
  <c r="L273" i="1"/>
  <c r="L274" i="1"/>
  <c r="L275" i="1"/>
  <c r="E112" i="2"/>
  <c r="L276" i="1"/>
  <c r="E113" i="2" s="1"/>
  <c r="L277" i="1"/>
  <c r="E114" i="2" s="1"/>
  <c r="L278" i="1"/>
  <c r="L279" i="1"/>
  <c r="L280" i="1"/>
  <c r="L287" i="1"/>
  <c r="L288" i="1"/>
  <c r="L289" i="1"/>
  <c r="E103" i="2" s="1"/>
  <c r="L290" i="1"/>
  <c r="L292" i="1"/>
  <c r="E110" i="2" s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E116" i="2"/>
  <c r="L318" i="1"/>
  <c r="E117" i="2" s="1"/>
  <c r="L325" i="1"/>
  <c r="E106" i="2" s="1"/>
  <c r="L326" i="1"/>
  <c r="L327" i="1"/>
  <c r="L252" i="1"/>
  <c r="H25" i="13" s="1"/>
  <c r="L253" i="1"/>
  <c r="L333" i="1"/>
  <c r="E123" i="2" s="1"/>
  <c r="E136" i="2" s="1"/>
  <c r="L334" i="1"/>
  <c r="L247" i="1"/>
  <c r="L328" i="1"/>
  <c r="C11" i="13"/>
  <c r="C10" i="13"/>
  <c r="C9" i="13"/>
  <c r="L353" i="1"/>
  <c r="B4" i="12"/>
  <c r="B40" i="12"/>
  <c r="C40" i="12"/>
  <c r="B27" i="12"/>
  <c r="C27" i="12"/>
  <c r="B31" i="12"/>
  <c r="A31" i="12" s="1"/>
  <c r="C31" i="12"/>
  <c r="B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 s="1"/>
  <c r="F2" i="11"/>
  <c r="L603" i="1"/>
  <c r="H653" i="1" s="1"/>
  <c r="L602" i="1"/>
  <c r="G653" i="1"/>
  <c r="L601" i="1"/>
  <c r="C40" i="10"/>
  <c r="F52" i="1"/>
  <c r="F104" i="1" s="1"/>
  <c r="F185" i="1" s="1"/>
  <c r="G617" i="1" s="1"/>
  <c r="J617" i="1" s="1"/>
  <c r="G52" i="1"/>
  <c r="G104" i="1" s="1"/>
  <c r="H52" i="1"/>
  <c r="I52" i="1"/>
  <c r="F71" i="1"/>
  <c r="F86" i="1"/>
  <c r="F103" i="1"/>
  <c r="G103" i="1"/>
  <c r="H71" i="1"/>
  <c r="H86" i="1"/>
  <c r="E50" i="2" s="1"/>
  <c r="H103" i="1"/>
  <c r="I103" i="1"/>
  <c r="I104" i="1"/>
  <c r="J103" i="1"/>
  <c r="F113" i="1"/>
  <c r="F128" i="1"/>
  <c r="G113" i="1"/>
  <c r="G128" i="1"/>
  <c r="G132" i="1" s="1"/>
  <c r="H113" i="1"/>
  <c r="H128" i="1"/>
  <c r="H132" i="1"/>
  <c r="I113" i="1"/>
  <c r="I132" i="1" s="1"/>
  <c r="I128" i="1"/>
  <c r="J113" i="1"/>
  <c r="J132" i="1" s="1"/>
  <c r="J128" i="1"/>
  <c r="F139" i="1"/>
  <c r="F154" i="1"/>
  <c r="F161" i="1" s="1"/>
  <c r="G139" i="1"/>
  <c r="G154" i="1"/>
  <c r="G161" i="1"/>
  <c r="H139" i="1"/>
  <c r="E77" i="2" s="1"/>
  <c r="E83" i="2" s="1"/>
  <c r="H154" i="1"/>
  <c r="I139" i="1"/>
  <c r="I161" i="1" s="1"/>
  <c r="I154" i="1"/>
  <c r="L242" i="1"/>
  <c r="C105" i="2" s="1"/>
  <c r="L324" i="1"/>
  <c r="E105" i="2" s="1"/>
  <c r="L246" i="1"/>
  <c r="C116" i="2" s="1"/>
  <c r="C25" i="10"/>
  <c r="L260" i="1"/>
  <c r="C26" i="10" s="1"/>
  <c r="L261" i="1"/>
  <c r="L341" i="1"/>
  <c r="L342" i="1"/>
  <c r="E135" i="2"/>
  <c r="I655" i="1"/>
  <c r="I660" i="1"/>
  <c r="F652" i="1"/>
  <c r="I652" i="1" s="1"/>
  <c r="I659" i="1"/>
  <c r="C6" i="10"/>
  <c r="C5" i="10"/>
  <c r="C42" i="10"/>
  <c r="L366" i="1"/>
  <c r="L367" i="1"/>
  <c r="L368" i="1"/>
  <c r="L369" i="1"/>
  <c r="L374" i="1" s="1"/>
  <c r="G626" i="1" s="1"/>
  <c r="J626" i="1" s="1"/>
  <c r="L370" i="1"/>
  <c r="F122" i="2" s="1"/>
  <c r="F136" i="2" s="1"/>
  <c r="F137" i="2" s="1"/>
  <c r="L371" i="1"/>
  <c r="L372" i="1"/>
  <c r="B2" i="10"/>
  <c r="L336" i="1"/>
  <c r="L337" i="1"/>
  <c r="L343" i="1" s="1"/>
  <c r="L338" i="1"/>
  <c r="L339" i="1"/>
  <c r="K343" i="1"/>
  <c r="L512" i="1"/>
  <c r="F540" i="1"/>
  <c r="L513" i="1"/>
  <c r="F541" i="1" s="1"/>
  <c r="L516" i="1"/>
  <c r="G539" i="1" s="1"/>
  <c r="G542" i="1" s="1"/>
  <c r="L517" i="1"/>
  <c r="G540" i="1"/>
  <c r="L518" i="1"/>
  <c r="G541" i="1"/>
  <c r="L522" i="1"/>
  <c r="H540" i="1" s="1"/>
  <c r="L523" i="1"/>
  <c r="H541" i="1" s="1"/>
  <c r="L526" i="1"/>
  <c r="I539" i="1" s="1"/>
  <c r="L527" i="1"/>
  <c r="I540" i="1" s="1"/>
  <c r="L528" i="1"/>
  <c r="L529" i="1" s="1"/>
  <c r="I541" i="1"/>
  <c r="L531" i="1"/>
  <c r="J539" i="1"/>
  <c r="J542" i="1" s="1"/>
  <c r="L532" i="1"/>
  <c r="J540" i="1"/>
  <c r="L533" i="1"/>
  <c r="J541" i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I438" i="1" s="1"/>
  <c r="G632" i="1" s="1"/>
  <c r="J9" i="1"/>
  <c r="C10" i="2"/>
  <c r="C19" i="2" s="1"/>
  <c r="D10" i="2"/>
  <c r="D19" i="2" s="1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F14" i="2"/>
  <c r="F15" i="2"/>
  <c r="F16" i="2"/>
  <c r="F17" i="2"/>
  <c r="F18" i="2"/>
  <c r="F19" i="2"/>
  <c r="I434" i="1"/>
  <c r="J13" i="1" s="1"/>
  <c r="G13" i="2" s="1"/>
  <c r="C14" i="2"/>
  <c r="D14" i="2"/>
  <c r="D16" i="2"/>
  <c r="D17" i="2"/>
  <c r="D18" i="2"/>
  <c r="E14" i="2"/>
  <c r="I435" i="1"/>
  <c r="J14" i="1"/>
  <c r="G14" i="2"/>
  <c r="C16" i="2"/>
  <c r="E16" i="2"/>
  <c r="E19" i="2" s="1"/>
  <c r="C17" i="2"/>
  <c r="E17" i="2"/>
  <c r="I436" i="1"/>
  <c r="J17" i="1" s="1"/>
  <c r="G17" i="2" s="1"/>
  <c r="C18" i="2"/>
  <c r="E18" i="2"/>
  <c r="I437" i="1"/>
  <c r="J18" i="1"/>
  <c r="G18" i="2"/>
  <c r="C22" i="2"/>
  <c r="D22" i="2"/>
  <c r="E22" i="2"/>
  <c r="F22" i="2"/>
  <c r="F32" i="2" s="1"/>
  <c r="F43" i="2" s="1"/>
  <c r="I440" i="1"/>
  <c r="J23" i="1"/>
  <c r="G22" i="2" s="1"/>
  <c r="G32" i="2" s="1"/>
  <c r="C23" i="2"/>
  <c r="D23" i="2"/>
  <c r="E23" i="2"/>
  <c r="E32" i="2" s="1"/>
  <c r="F23" i="2"/>
  <c r="I441" i="1"/>
  <c r="I444" i="1" s="1"/>
  <c r="J24" i="1"/>
  <c r="G23" i="2" s="1"/>
  <c r="C24" i="2"/>
  <c r="D24" i="2"/>
  <c r="E24" i="2"/>
  <c r="F24" i="2"/>
  <c r="F25" i="2"/>
  <c r="F26" i="2"/>
  <c r="F27" i="2"/>
  <c r="F28" i="2"/>
  <c r="F29" i="2"/>
  <c r="F30" i="2"/>
  <c r="F31" i="2"/>
  <c r="F34" i="2"/>
  <c r="F35" i="2"/>
  <c r="F36" i="2"/>
  <c r="F37" i="2"/>
  <c r="F38" i="2"/>
  <c r="F40" i="2"/>
  <c r="F41" i="2"/>
  <c r="F42" i="2"/>
  <c r="I442" i="1"/>
  <c r="J25" i="1"/>
  <c r="C25" i="2"/>
  <c r="D25" i="2"/>
  <c r="E25" i="2"/>
  <c r="C26" i="2"/>
  <c r="C27" i="2"/>
  <c r="C28" i="2"/>
  <c r="C29" i="2"/>
  <c r="C30" i="2"/>
  <c r="C31" i="2"/>
  <c r="C32" i="2"/>
  <c r="D28" i="2"/>
  <c r="E28" i="2"/>
  <c r="D29" i="2"/>
  <c r="E29" i="2"/>
  <c r="D30" i="2"/>
  <c r="E30" i="2"/>
  <c r="D31" i="2"/>
  <c r="E31" i="2"/>
  <c r="I443" i="1"/>
  <c r="J32" i="1"/>
  <c r="G31" i="2"/>
  <c r="C34" i="2"/>
  <c r="C42" i="2" s="1"/>
  <c r="C43" i="2" s="1"/>
  <c r="D34" i="2"/>
  <c r="D42" i="2" s="1"/>
  <c r="D43" i="2" s="1"/>
  <c r="E34" i="2"/>
  <c r="E42" i="2" s="1"/>
  <c r="E43" i="2" s="1"/>
  <c r="C35" i="2"/>
  <c r="D35" i="2"/>
  <c r="E35" i="2"/>
  <c r="C36" i="2"/>
  <c r="D36" i="2"/>
  <c r="E36" i="2"/>
  <c r="E37" i="2"/>
  <c r="E38" i="2"/>
  <c r="E40" i="2"/>
  <c r="E41" i="2"/>
  <c r="I446" i="1"/>
  <c r="J37" i="1" s="1"/>
  <c r="C37" i="2"/>
  <c r="D37" i="2"/>
  <c r="I447" i="1"/>
  <c r="J38" i="1" s="1"/>
  <c r="G37" i="2" s="1"/>
  <c r="C38" i="2"/>
  <c r="C40" i="2"/>
  <c r="C41" i="2"/>
  <c r="D38" i="2"/>
  <c r="I448" i="1"/>
  <c r="J40" i="1"/>
  <c r="G39" i="2" s="1"/>
  <c r="D40" i="2"/>
  <c r="I449" i="1"/>
  <c r="J41" i="1" s="1"/>
  <c r="G40" i="2" s="1"/>
  <c r="D41" i="2"/>
  <c r="E48" i="2"/>
  <c r="F48" i="2"/>
  <c r="F55" i="2" s="1"/>
  <c r="F96" i="2" s="1"/>
  <c r="C49" i="2"/>
  <c r="E49" i="2"/>
  <c r="E51" i="2"/>
  <c r="E53" i="2"/>
  <c r="C50" i="2"/>
  <c r="C51" i="2"/>
  <c r="D51" i="2"/>
  <c r="D54" i="2" s="1"/>
  <c r="F51" i="2"/>
  <c r="F54" i="2" s="1"/>
  <c r="D52" i="2"/>
  <c r="C53" i="2"/>
  <c r="D53" i="2"/>
  <c r="F53" i="2"/>
  <c r="C58" i="2"/>
  <c r="C59" i="2"/>
  <c r="C61" i="2"/>
  <c r="D61" i="2"/>
  <c r="D62" i="2"/>
  <c r="E61" i="2"/>
  <c r="E62" i="2" s="1"/>
  <c r="F61" i="2"/>
  <c r="F62" i="2" s="1"/>
  <c r="F73" i="2" s="1"/>
  <c r="G61" i="2"/>
  <c r="G62" i="2"/>
  <c r="C64" i="2"/>
  <c r="F64" i="2"/>
  <c r="F65" i="2"/>
  <c r="F68" i="2"/>
  <c r="F69" i="2"/>
  <c r="F70" i="2"/>
  <c r="C65" i="2"/>
  <c r="C66" i="2"/>
  <c r="C67" i="2"/>
  <c r="C68" i="2"/>
  <c r="E68" i="2"/>
  <c r="E70" i="2" s="1"/>
  <c r="C69" i="2"/>
  <c r="D69" i="2"/>
  <c r="D70" i="2" s="1"/>
  <c r="D73" i="2" s="1"/>
  <c r="D71" i="2"/>
  <c r="E69" i="2"/>
  <c r="G69" i="2"/>
  <c r="G70" i="2" s="1"/>
  <c r="G73" i="2" s="1"/>
  <c r="C71" i="2"/>
  <c r="E71" i="2"/>
  <c r="C72" i="2"/>
  <c r="E72" i="2"/>
  <c r="C77" i="2"/>
  <c r="D77" i="2"/>
  <c r="D83" i="2" s="1"/>
  <c r="F77" i="2"/>
  <c r="C79" i="2"/>
  <c r="C83" i="2" s="1"/>
  <c r="E79" i="2"/>
  <c r="F79" i="2"/>
  <c r="C80" i="2"/>
  <c r="D80" i="2"/>
  <c r="D81" i="2"/>
  <c r="E80" i="2"/>
  <c r="F80" i="2"/>
  <c r="C81" i="2"/>
  <c r="E81" i="2"/>
  <c r="F81" i="2"/>
  <c r="F83" i="2"/>
  <c r="C82" i="2"/>
  <c r="C85" i="2"/>
  <c r="F85" i="2"/>
  <c r="C86" i="2"/>
  <c r="F86" i="2"/>
  <c r="D88" i="2"/>
  <c r="E88" i="2"/>
  <c r="E95" i="2" s="1"/>
  <c r="F88" i="2"/>
  <c r="G88" i="2"/>
  <c r="C89" i="2"/>
  <c r="D89" i="2"/>
  <c r="D95" i="2" s="1"/>
  <c r="D90" i="2"/>
  <c r="D91" i="2"/>
  <c r="D92" i="2"/>
  <c r="D93" i="2"/>
  <c r="D94" i="2"/>
  <c r="E89" i="2"/>
  <c r="F89" i="2"/>
  <c r="F95" i="2" s="1"/>
  <c r="G89" i="2"/>
  <c r="G90" i="2"/>
  <c r="G95" i="2"/>
  <c r="C90" i="2"/>
  <c r="C95" i="2" s="1"/>
  <c r="E90" i="2"/>
  <c r="E91" i="2"/>
  <c r="E92" i="2"/>
  <c r="E93" i="2"/>
  <c r="E94" i="2"/>
  <c r="C91" i="2"/>
  <c r="F91" i="2"/>
  <c r="C92" i="2"/>
  <c r="F92" i="2"/>
  <c r="C93" i="2"/>
  <c r="F93" i="2"/>
  <c r="C94" i="2"/>
  <c r="F94" i="2"/>
  <c r="D107" i="2"/>
  <c r="F107" i="2"/>
  <c r="G107" i="2"/>
  <c r="E111" i="2"/>
  <c r="F120" i="2"/>
  <c r="G120" i="2"/>
  <c r="C122" i="2"/>
  <c r="E122" i="2"/>
  <c r="F126" i="2"/>
  <c r="D126" i="2"/>
  <c r="D136" i="2" s="1"/>
  <c r="E126" i="2"/>
  <c r="K411" i="1"/>
  <c r="K419" i="1"/>
  <c r="K426" i="1" s="1"/>
  <c r="G126" i="2" s="1"/>
  <c r="G136" i="2" s="1"/>
  <c r="K425" i="1"/>
  <c r="L255" i="1"/>
  <c r="C127" i="2"/>
  <c r="L256" i="1"/>
  <c r="C128" i="2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E153" i="2"/>
  <c r="F153" i="2"/>
  <c r="G153" i="2"/>
  <c r="I490" i="1"/>
  <c r="K490" i="1" s="1"/>
  <c r="J490" i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 s="1"/>
  <c r="G156" i="2" s="1"/>
  <c r="G493" i="1"/>
  <c r="C156" i="2" s="1"/>
  <c r="H493" i="1"/>
  <c r="D156" i="2" s="1"/>
  <c r="I493" i="1"/>
  <c r="K493" i="1" s="1"/>
  <c r="E156" i="2"/>
  <c r="J493" i="1"/>
  <c r="F156" i="2"/>
  <c r="F19" i="1"/>
  <c r="G19" i="1"/>
  <c r="G608" i="1" s="1"/>
  <c r="J608" i="1" s="1"/>
  <c r="H19" i="1"/>
  <c r="I19" i="1"/>
  <c r="F33" i="1"/>
  <c r="G33" i="1"/>
  <c r="H33" i="1"/>
  <c r="I33" i="1"/>
  <c r="F43" i="1"/>
  <c r="G612" i="1" s="1"/>
  <c r="J612" i="1" s="1"/>
  <c r="G43" i="1"/>
  <c r="G613" i="1" s="1"/>
  <c r="J613" i="1" s="1"/>
  <c r="G44" i="1"/>
  <c r="H608" i="1"/>
  <c r="H43" i="1"/>
  <c r="H44" i="1" s="1"/>
  <c r="H609" i="1" s="1"/>
  <c r="I43" i="1"/>
  <c r="I44" i="1" s="1"/>
  <c r="H610" i="1" s="1"/>
  <c r="J610" i="1" s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82" i="1"/>
  <c r="H330" i="1"/>
  <c r="H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J634" i="1" s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L405" i="1"/>
  <c r="L411" i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F426" i="1" s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38" i="1"/>
  <c r="G629" i="1"/>
  <c r="G438" i="1"/>
  <c r="H438" i="1"/>
  <c r="F444" i="1"/>
  <c r="G444" i="1"/>
  <c r="G451" i="1" s="1"/>
  <c r="H630" i="1" s="1"/>
  <c r="H444" i="1"/>
  <c r="H451" i="1" s="1"/>
  <c r="H631" i="1" s="1"/>
  <c r="F450" i="1"/>
  <c r="F451" i="1"/>
  <c r="H629" i="1" s="1"/>
  <c r="J629" i="1" s="1"/>
  <c r="G450" i="1"/>
  <c r="H450" i="1"/>
  <c r="F460" i="1"/>
  <c r="F466" i="1" s="1"/>
  <c r="H612" i="1" s="1"/>
  <c r="G460" i="1"/>
  <c r="H460" i="1"/>
  <c r="H466" i="1"/>
  <c r="H614" i="1"/>
  <c r="I460" i="1"/>
  <c r="J460" i="1"/>
  <c r="J466" i="1" s="1"/>
  <c r="H616" i="1" s="1"/>
  <c r="F464" i="1"/>
  <c r="G464" i="1"/>
  <c r="H464" i="1"/>
  <c r="I464" i="1"/>
  <c r="J464" i="1"/>
  <c r="I466" i="1"/>
  <c r="H615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I514" i="1"/>
  <c r="J514" i="1"/>
  <c r="K514" i="1"/>
  <c r="K535" i="1" s="1"/>
  <c r="F519" i="1"/>
  <c r="G519" i="1"/>
  <c r="H519" i="1"/>
  <c r="I519" i="1"/>
  <c r="I535" i="1" s="1"/>
  <c r="J519" i="1"/>
  <c r="J535" i="1" s="1"/>
  <c r="K519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I550" i="1"/>
  <c r="J550" i="1"/>
  <c r="K550" i="1"/>
  <c r="L552" i="1"/>
  <c r="L553" i="1"/>
  <c r="L554" i="1"/>
  <c r="L555" i="1" s="1"/>
  <c r="F555" i="1"/>
  <c r="G555" i="1"/>
  <c r="G561" i="1"/>
  <c r="H555" i="1"/>
  <c r="I555" i="1"/>
  <c r="J555" i="1"/>
  <c r="J561" i="1"/>
  <c r="K555" i="1"/>
  <c r="K561" i="1"/>
  <c r="L557" i="1"/>
  <c r="L558" i="1"/>
  <c r="L560" i="1"/>
  <c r="L559" i="1"/>
  <c r="F560" i="1"/>
  <c r="G560" i="1"/>
  <c r="H560" i="1"/>
  <c r="H561" i="1" s="1"/>
  <c r="I560" i="1"/>
  <c r="J560" i="1"/>
  <c r="K560" i="1"/>
  <c r="I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J609" i="1" s="1"/>
  <c r="G610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J630" i="1" s="1"/>
  <c r="G631" i="1"/>
  <c r="J631" i="1" s="1"/>
  <c r="G633" i="1"/>
  <c r="G634" i="1"/>
  <c r="G639" i="1"/>
  <c r="J639" i="1" s="1"/>
  <c r="G640" i="1"/>
  <c r="H640" i="1"/>
  <c r="J640" i="1" s="1"/>
  <c r="G641" i="1"/>
  <c r="G642" i="1"/>
  <c r="J642" i="1" s="1"/>
  <c r="H642" i="1"/>
  <c r="G643" i="1"/>
  <c r="J643" i="1" s="1"/>
  <c r="H643" i="1"/>
  <c r="G644" i="1"/>
  <c r="J644" i="1"/>
  <c r="H644" i="1"/>
  <c r="G645" i="1"/>
  <c r="H645" i="1"/>
  <c r="H104" i="1"/>
  <c r="F132" i="1"/>
  <c r="C70" i="2"/>
  <c r="C73" i="2" s="1"/>
  <c r="C62" i="2"/>
  <c r="C54" i="2"/>
  <c r="D32" i="2"/>
  <c r="F44" i="1"/>
  <c r="H607" i="1" s="1"/>
  <c r="J607" i="1" s="1"/>
  <c r="L604" i="1"/>
  <c r="E127" i="2"/>
  <c r="C117" i="2"/>
  <c r="C106" i="2"/>
  <c r="H652" i="1"/>
  <c r="C21" i="10"/>
  <c r="J104" i="1"/>
  <c r="D15" i="13"/>
  <c r="C15" i="13"/>
  <c r="H637" i="1"/>
  <c r="L519" i="1"/>
  <c r="C115" i="2"/>
  <c r="C101" i="2"/>
  <c r="F22" i="13"/>
  <c r="C22" i="13" s="1"/>
  <c r="J641" i="1"/>
  <c r="J645" i="1"/>
  <c r="G24" i="2"/>
  <c r="G466" i="1"/>
  <c r="H613" i="1"/>
  <c r="L534" i="1"/>
  <c r="G535" i="1"/>
  <c r="C130" i="2" l="1"/>
  <c r="C133" i="2" s="1"/>
  <c r="L400" i="1"/>
  <c r="J330" i="1"/>
  <c r="J344" i="1" s="1"/>
  <c r="F31" i="13"/>
  <c r="F33" i="13" s="1"/>
  <c r="C111" i="2"/>
  <c r="C16" i="10"/>
  <c r="D7" i="13"/>
  <c r="C7" i="13" s="1"/>
  <c r="G137" i="2"/>
  <c r="G36" i="2"/>
  <c r="G42" i="2" s="1"/>
  <c r="G43" i="2" s="1"/>
  <c r="J43" i="1"/>
  <c r="L514" i="1"/>
  <c r="F539" i="1"/>
  <c r="K541" i="1"/>
  <c r="C38" i="10"/>
  <c r="G96" i="2"/>
  <c r="C17" i="10"/>
  <c r="E8" i="13"/>
  <c r="C112" i="2"/>
  <c r="E73" i="2"/>
  <c r="K540" i="1"/>
  <c r="L221" i="1"/>
  <c r="C102" i="2"/>
  <c r="C11" i="10"/>
  <c r="D6" i="13"/>
  <c r="C6" i="13" s="1"/>
  <c r="C15" i="10"/>
  <c r="C110" i="2"/>
  <c r="D12" i="13"/>
  <c r="C12" i="13" s="1"/>
  <c r="C18" i="10"/>
  <c r="C113" i="2"/>
  <c r="L561" i="1"/>
  <c r="J19" i="1"/>
  <c r="G611" i="1" s="1"/>
  <c r="A13" i="12"/>
  <c r="C39" i="10"/>
  <c r="I542" i="1"/>
  <c r="G185" i="1"/>
  <c r="G618" i="1" s="1"/>
  <c r="J618" i="1" s="1"/>
  <c r="C13" i="10"/>
  <c r="C104" i="2"/>
  <c r="I185" i="1"/>
  <c r="G620" i="1" s="1"/>
  <c r="J620" i="1" s="1"/>
  <c r="H650" i="1"/>
  <c r="H654" i="1" s="1"/>
  <c r="J185" i="1"/>
  <c r="E54" i="2"/>
  <c r="E55" i="2" s="1"/>
  <c r="E96" i="2" s="1"/>
  <c r="H33" i="13"/>
  <c r="C25" i="13"/>
  <c r="E120" i="2"/>
  <c r="H514" i="1"/>
  <c r="H535" i="1" s="1"/>
  <c r="H161" i="1"/>
  <c r="H185" i="1" s="1"/>
  <c r="G619" i="1" s="1"/>
  <c r="J619" i="1" s="1"/>
  <c r="J33" i="1"/>
  <c r="C20" i="10"/>
  <c r="C103" i="2"/>
  <c r="C107" i="2" s="1"/>
  <c r="G203" i="1"/>
  <c r="G249" i="1" s="1"/>
  <c r="G263" i="1" s="1"/>
  <c r="D48" i="2"/>
  <c r="D55" i="2" s="1"/>
  <c r="D96" i="2" s="1"/>
  <c r="L268" i="1"/>
  <c r="L354" i="1"/>
  <c r="G5" i="13"/>
  <c r="G33" i="13" s="1"/>
  <c r="F361" i="1"/>
  <c r="J203" i="1"/>
  <c r="J249" i="1" s="1"/>
  <c r="C19" i="10"/>
  <c r="C48" i="2"/>
  <c r="C55" i="2" s="1"/>
  <c r="C96" i="2" s="1"/>
  <c r="L521" i="1"/>
  <c r="C23" i="10"/>
  <c r="L301" i="1"/>
  <c r="G31" i="13"/>
  <c r="C29" i="10"/>
  <c r="F653" i="1"/>
  <c r="I653" i="1" s="1"/>
  <c r="D29" i="13"/>
  <c r="C29" i="13" s="1"/>
  <c r="G9" i="2"/>
  <c r="G19" i="2" s="1"/>
  <c r="L203" i="1"/>
  <c r="C134" i="2"/>
  <c r="F282" i="1"/>
  <c r="F330" i="1" s="1"/>
  <c r="F344" i="1" s="1"/>
  <c r="G615" i="1"/>
  <c r="J615" i="1" s="1"/>
  <c r="G614" i="1"/>
  <c r="J614" i="1" s="1"/>
  <c r="G635" i="1"/>
  <c r="J635" i="1" s="1"/>
  <c r="B18" i="12"/>
  <c r="A22" i="12" s="1"/>
  <c r="F203" i="1"/>
  <c r="F249" i="1" s="1"/>
  <c r="F263" i="1" s="1"/>
  <c r="D119" i="2"/>
  <c r="D120" i="2" s="1"/>
  <c r="D137" i="2" s="1"/>
  <c r="C32" i="10"/>
  <c r="G282" i="1"/>
  <c r="G330" i="1" s="1"/>
  <c r="G344" i="1" s="1"/>
  <c r="F651" i="1"/>
  <c r="I651" i="1" s="1"/>
  <c r="I450" i="1"/>
  <c r="I451" i="1" s="1"/>
  <c r="H632" i="1" s="1"/>
  <c r="J632" i="1" s="1"/>
  <c r="C35" i="10"/>
  <c r="B36" i="12"/>
  <c r="A40" i="12" s="1"/>
  <c r="G625" i="1" l="1"/>
  <c r="J625" i="1" s="1"/>
  <c r="C27" i="10"/>
  <c r="C8" i="13"/>
  <c r="E33" i="13"/>
  <c r="D35" i="13" s="1"/>
  <c r="C120" i="2"/>
  <c r="C137" i="2" s="1"/>
  <c r="G636" i="1"/>
  <c r="G621" i="1"/>
  <c r="J621" i="1" s="1"/>
  <c r="C136" i="2"/>
  <c r="L524" i="1"/>
  <c r="L535" i="1" s="1"/>
  <c r="H539" i="1"/>
  <c r="H542" i="1" s="1"/>
  <c r="F542" i="1"/>
  <c r="H662" i="1"/>
  <c r="H657" i="1"/>
  <c r="G650" i="1"/>
  <c r="G654" i="1" s="1"/>
  <c r="L282" i="1"/>
  <c r="E101" i="2"/>
  <c r="E107" i="2" s="1"/>
  <c r="E137" i="2" s="1"/>
  <c r="C10" i="10"/>
  <c r="J44" i="1"/>
  <c r="H611" i="1" s="1"/>
  <c r="G616" i="1"/>
  <c r="J616" i="1" s="1"/>
  <c r="G627" i="1"/>
  <c r="J627" i="1" s="1"/>
  <c r="H636" i="1"/>
  <c r="C41" i="10"/>
  <c r="D39" i="10" s="1"/>
  <c r="C36" i="10"/>
  <c r="H638" i="1"/>
  <c r="J638" i="1" s="1"/>
  <c r="J263" i="1"/>
  <c r="D5" i="13"/>
  <c r="J611" i="1"/>
  <c r="F650" i="1"/>
  <c r="L249" i="1"/>
  <c r="L263" i="1" s="1"/>
  <c r="G622" i="1" s="1"/>
  <c r="J622" i="1" s="1"/>
  <c r="K539" i="1" l="1"/>
  <c r="K542" i="1" s="1"/>
  <c r="I650" i="1"/>
  <c r="I654" i="1" s="1"/>
  <c r="F654" i="1"/>
  <c r="C28" i="10"/>
  <c r="D10" i="10"/>
  <c r="D37" i="10"/>
  <c r="D40" i="10"/>
  <c r="D31" i="13"/>
  <c r="C31" i="13" s="1"/>
  <c r="L330" i="1"/>
  <c r="L344" i="1" s="1"/>
  <c r="G623" i="1" s="1"/>
  <c r="D27" i="10"/>
  <c r="C5" i="13"/>
  <c r="D33" i="13"/>
  <c r="D36" i="13" s="1"/>
  <c r="D36" i="10"/>
  <c r="G662" i="1"/>
  <c r="G657" i="1"/>
  <c r="J636" i="1"/>
  <c r="D35" i="10"/>
  <c r="D38" i="10"/>
  <c r="J623" i="1" l="1"/>
  <c r="H646" i="1"/>
  <c r="D41" i="10"/>
  <c r="D21" i="10"/>
  <c r="D22" i="10"/>
  <c r="C30" i="10"/>
  <c r="D24" i="10"/>
  <c r="D25" i="10"/>
  <c r="D26" i="10"/>
  <c r="D12" i="10"/>
  <c r="D13" i="10"/>
  <c r="D18" i="10"/>
  <c r="D23" i="10"/>
  <c r="D20" i="10"/>
  <c r="D11" i="10"/>
  <c r="D28" i="10" s="1"/>
  <c r="D19" i="10"/>
  <c r="D17" i="10"/>
  <c r="D16" i="10"/>
  <c r="D15" i="10"/>
  <c r="F662" i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FBED125-A006-4CD9-9321-EDB187DAB7E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BFD9484-AB13-43ED-9A13-35995678897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4B45EE5-CA0A-4222-9A2D-85F26B9D165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A5C8F55-C11D-4DEB-B93D-56E8703DECC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5716DB2-BE8F-4DB1-9E0E-EB095446FF9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7D1A6FA-197F-4315-9E83-5946B3C0554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F84691C-4860-422E-A7E6-60D9CB9A857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A4FBF8A-D60A-4B62-9186-1CD7D0496E0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604352A-D5C7-442A-948C-E228EEEA5AD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0DA42D6-C8A0-4E6D-9FA1-6559EEF2AAE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76CCDB7-43F2-4B57-AE9C-3873F3288EA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1AFF810-EEC0-4E1B-AEC2-AC7F0A2C74F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<sst xmlns="http://schemas.openxmlformats.org/spreadsheetml/2006/main" count="3858" uniqueCount="895">
  <si>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</si>
  <si>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</si>
  <si>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</si>
  <si>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</si>
  <si>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</si>
  <si>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</si>
  <si>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</si>
  <si>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</si>
  <si>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</si>
  <si>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</si>
  <si>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</si>
  <si>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</si>
  <si>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</si>
  <si>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</si>
  <si>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</si>
  <si>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</si>
  <si>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</si>
  <si>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</si>
  <si>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</si>
  <si>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</si>
  <si>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</si>
  <si>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</si>
  <si>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</si>
  <si>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</si>
  <si>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</si>
  <si>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</si>
  <si>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</si>
  <si>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</si>
  <si>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</si>
  <si>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</si>
  <si>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</si>
  <si>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</si>
  <si>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</si>
  <si>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</si>
  <si>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</si>
  <si>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</si>
  <si>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</si>
  <si>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</si>
  <si>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</si>
  <si>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</si>
  <si>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</si>
  <si>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</si>
  <si>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</si>
  <si>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</si>
  <si>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</si>
  <si>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</si>
  <si>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</si>
  <si>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</si>
  <si>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</si>
  <si>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</si>
  <si>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</si>
  <si>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</si>
  <si>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</si>
  <si>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</si>
  <si>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</si>
  <si>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</si>
  <si>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</si>
  <si>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</si>
  <si>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</si>
  <si>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</si>
  <si>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</si>
  <si>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</si>
  <si>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</si>
  <si>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</si>
  <si>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</si>
  <si>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</si>
  <si>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</si>
  <si>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</si>
  <si>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</si>
  <si>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</si>
  <si>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</si>
  <si>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</si>
  <si>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</si>
  <si>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</si>
  <si>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</si>
  <si>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</si>
  <si>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</si>
  <si>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</si>
  <si>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</si>
  <si>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</si>
  <si>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</si>
  <si>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</si>
  <si>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</si>
  <si>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</si>
  <si>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</si>
  <si>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</si>
  <si>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</si>
  <si>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</si>
  <si>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</si>
  <si>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</si>
  <si>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</si>
  <si>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</si>
  <si>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</si>
  <si>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</si>
  <si>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</si>
  <si>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</si>
  <si>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</si>
  <si>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</si>
  <si>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</si>
  <si>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</si>
  <si>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</si>
  <si>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</si>
  <si>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</si>
  <si>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</si>
  <si>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</si>
  <si>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</si>
  <si>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</si>
  <si>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</si>
  <si>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</si>
  <si>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</si>
  <si>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</si>
  <si>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</si>
  <si>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</si>
  <si>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</si>
  <si>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</si>
  <si>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</si>
  <si>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</si>
  <si>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</si>
  <si>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</si>
  <si>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</si>
  <si>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</si>
  <si>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</si>
  <si>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</si>
  <si>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</si>
  <si>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</si>
  <si>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</si>
  <si>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</si>
  <si>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</si>
  <si>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</si>
  <si>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</si>
  <si>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</si>
  <si>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</si>
  <si>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</si>
  <si>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</si>
  <si>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</si>
  <si>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</si>
  <si>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</si>
  <si>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</si>
  <si>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</si>
  <si>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</si>
  <si>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</si>
  <si>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</si>
  <si>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</si>
  <si>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</si>
  <si>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</si>
  <si>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</si>
  <si>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</si>
  <si>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</si>
  <si>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</si>
  <si>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</si>
  <si>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</si>
  <si>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</si>
  <si>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</si>
  <si>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</si>
  <si>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</si>
  <si>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</si>
  <si>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</si>
  <si>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</si>
  <si>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</si>
  <si>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</si>
  <si>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</si>
  <si>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</si>
  <si>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</si>
  <si>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</si>
  <si>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</si>
  <si>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</si>
  <si>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</si>
  <si>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</si>
  <si>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</si>
  <si>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</si>
  <si>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</si>
  <si>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</si>
  <si>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</si>
  <si>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</si>
  <si>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</si>
  <si>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</si>
  <si>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</si>
  <si>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</si>
  <si>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</si>
  <si>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</si>
  <si>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</si>
  <si>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</si>
  <si>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</si>
  <si>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</si>
  <si>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</si>
  <si>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</si>
  <si>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</si>
  <si>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</si>
  <si>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</si>
  <si>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</si>
  <si>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</si>
  <si>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</si>
  <si>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</si>
  <si>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</si>
  <si>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</si>
  <si>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</si>
  <si>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</si>
  <si>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</si>
  <si>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</si>
  <si>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</si>
  <si>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</si>
  <si>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</si>
  <si>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</si>
  <si>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</si>
  <si>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</si>
  <si>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</si>
  <si>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</si>
  <si>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</si>
  <si>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</si>
  <si>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</si>
  <si>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</si>
  <si>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</si>
  <si>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</si>
  <si>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</si>
  <si>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</si>
  <si>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</si>
  <si>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</si>
  <si>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</si>
  <si>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</si>
  <si>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</si>
  <si>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</si>
  <si>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</si>
  <si>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</si>
  <si>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</si>
  <si>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</si>
  <si>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</si>
  <si>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</si>
  <si>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</si>
  <si>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</si>
  <si>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</si>
  <si>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</si>
  <si>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</si>
  <si>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</si>
  <si>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</si>
  <si>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</si>
  <si>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</si>
  <si>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</si>
  <si>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</si>
  <si>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</si>
  <si>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</si>
  <si>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</si>
  <si>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</si>
  <si>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</si>
  <si>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</si>
  <si>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</si>
  <si>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</si>
  <si>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</si>
  <si>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</si>
  <si>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</si>
  <si>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</si>
  <si>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</si>
  <si>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</si>
  <si>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</si>
  <si>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</si>
  <si>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</si>
  <si>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</si>
  <si>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</si>
  <si>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</si>
  <si>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</si>
  <si>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</si>
  <si>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</si>
  <si>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</si>
  <si>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</si>
  <si>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</si>
  <si>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</si>
  <si>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</si>
  <si>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</si>
  <si>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</si>
  <si>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</si>
  <si>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</si>
  <si>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</si>
  <si>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</si>
  <si>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</si>
  <si>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</si>
  <si>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</si>
  <si>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</si>
  <si>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</si>
  <si>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</si>
  <si>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</si>
  <si>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</si>
  <si>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</si>
  <si>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</si>
  <si>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</si>
  <si>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</si>
  <si>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</si>
  <si>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</si>
  <si>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</si>
  <si>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</si>
  <si>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</si>
  <si>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</si>
  <si>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</si>
  <si>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</si>
  <si>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</si>
  <si>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</si>
  <si>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</si>
  <si>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</si>
  <si>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</si>
  <si>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</si>
  <si>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</si>
  <si>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</si>
  <si>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</si>
  <si>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</si>
  <si>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</si>
  <si>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</si>
  <si>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</si>
  <si>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</si>
  <si>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</si>
  <si>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</si>
  <si>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</si>
  <si>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</si>
  <si>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</si>
  <si>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</si>
  <si>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</si>
  <si>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</si>
  <si>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</si>
  <si>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</si>
  <si>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</si>
  <si>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</si>
  <si>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</si>
  <si>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</si>
  <si>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</si>
  <si>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</si>
  <si>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</si>
  <si>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</si>
  <si>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</si>
  <si>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</si>
  <si>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</si>
  <si>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</si>
  <si>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</si>
  <si>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</si>
  <si>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</si>
  <si>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</si>
  <si>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</si>
  <si>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</si>
  <si>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</si>
  <si>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</si>
  <si>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</si>
  <si>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</si>
  <si>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</si>
  <si>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</si>
  <si>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</si>
  <si>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</si>
  <si>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</si>
  <si>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</si>
  <si>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</si>
  <si>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</si>
  <si>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</si>
  <si>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</si>
  <si>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</si>
  <si>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</si>
  <si>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</si>
  <si>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</si>
  <si>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</si>
  <si>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</si>
  <si>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</si>
  <si>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</si>
  <si>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</si>
  <si>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</si>
  <si>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</si>
  <si>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</si>
  <si>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</si>
  <si>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</si>
  <si>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</si>
  <si>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</si>
  <si>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</si>
  <si>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</si>
  <si>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</si>
  <si>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</si>
  <si>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</si>
  <si>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</si>
  <si>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</si>
  <si>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</si>
  <si>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</si>
  <si>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</si>
  <si>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</si>
  <si>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</si>
  <si>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</si>
  <si>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</si>
  <si>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</si>
  <si>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</si>
  <si>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</si>
  <si>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</si>
  <si>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</si>
  <si>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</si>
  <si>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</si>
  <si>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</si>
  <si>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</si>
  <si>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</si>
  <si>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</si>
  <si>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</si>
  <si>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</si>
  <si>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</si>
  <si>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</si>
  <si>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</si>
  <si>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</si>
  <si>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</si>
  <si>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</si>
  <si>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</si>
  <si>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</si>
  <si>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</si>
  <si>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</si>
  <si>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</si>
  <si>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</si>
  <si>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</si>
  <si>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</si>
  <si>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</si>
  <si>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</si>
  <si>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</si>
  <si>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</si>
  <si>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</si>
  <si>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</si>
  <si>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</si>
  <si>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</si>
  <si>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</si>
  <si>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</si>
  <si>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</si>
  <si>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</si>
  <si>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</si>
  <si>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</si>
  <si>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</si>
  <si>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</si>
  <si>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</si>
  <si>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</si>
  <si>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</si>
  <si>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</si>
  <si>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</si>
  <si>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</si>
  <si>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</si>
  <si>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</si>
  <si>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</si>
  <si>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</si>
  <si>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</si>
  <si>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</si>
  <si>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</si>
  <si>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</si>
  <si>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</si>
  <si>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</si>
  <si>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</si>
  <si>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</si>
  <si>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</si>
  <si>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</si>
  <si>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</si>
  <si>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</si>
  <si>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</si>
  <si>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</si>
  <si>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</si>
  <si>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</si>
  <si>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</si>
  <si>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</si>
  <si>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</si>
  <si>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</si>
  <si>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</si>
  <si>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</si>
  <si>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</si>
  <si>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</si>
  <si>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</si>
  <si>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</si>
  <si>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</si>
  <si>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</si>
  <si>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</si>
  <si>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</si>
  <si>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</si>
  <si>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</si>
  <si>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</si>
  <si>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</si>
  <si>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</si>
  <si>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</si>
  <si>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</si>
  <si>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</si>
  <si>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</si>
  <si>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</si>
  <si>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</si>
  <si>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</si>
  <si>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</si>
  <si>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</si>
  <si>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</si>
  <si>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</si>
  <si>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</si>
  <si>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</si>
  <si>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</si>
  <si>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</si>
  <si>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</si>
  <si>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</si>
  <si>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</si>
  <si>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</si>
  <si>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</si>
  <si>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</si>
  <si>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</si>
  <si>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</si>
  <si>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</si>
  <si>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</si>
  <si>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</si>
  <si>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</si>
  <si>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</si>
  <si>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</si>
  <si>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</si>
  <si>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</si>
  <si>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</si>
  <si>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</si>
  <si>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</si>
  <si>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</si>
  <si>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</si>
  <si>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</si>
  <si>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</si>
  <si>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</si>
  <si>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</si>
  <si>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</si>
  <si>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</si>
  <si>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</si>
  <si>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</si>
  <si>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</si>
  <si>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</si>
  <si>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</si>
  <si>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</si>
  <si>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</si>
  <si>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</si>
  <si>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</si>
  <si>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</si>
  <si>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</si>
  <si>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</si>
  <si>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</si>
  <si>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</si>
  <si>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</si>
  <si>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</si>
  <si>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</si>
  <si>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</si>
  <si>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</si>
  <si>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</si>
  <si>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</si>
  <si>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</si>
  <si>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</si>
  <si>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</si>
  <si>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</si>
  <si>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</si>
  <si>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</si>
  <si>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</si>
  <si>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</si>
  <si>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</si>
  <si>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</si>
  <si>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</si>
  <si>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</si>
  <si>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</si>
  <si>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</si>
  <si>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</si>
  <si>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</si>
  <si>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</si>
  <si>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</si>
  <si>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</si>
  <si>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</si>
  <si>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</si>
  <si>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</si>
  <si>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</si>
  <si>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</si>
  <si>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</si>
  <si>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</si>
  <si>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</si>
  <si>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</si>
  <si>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</si>
  <si>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</si>
  <si>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</si>
  <si>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</si>
  <si>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</si>
  <si>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</si>
  <si>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</si>
  <si>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</si>
  <si>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</si>
  <si>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</si>
  <si>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</si>
  <si>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</si>
  <si>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</si>
  <si>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</si>
  <si>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</si>
  <si>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</si>
  <si>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</si>
  <si>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</si>
  <si>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</si>
  <si>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</si>
  <si>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</si>
  <si>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</si>
  <si>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</si>
  <si>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</si>
  <si>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</si>
  <si>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</si>
  <si>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</si>
  <si>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</si>
  <si>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</si>
  <si>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</si>
  <si>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</si>
  <si>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</si>
  <si>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</si>
  <si>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</si>
  <si>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</si>
  <si>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</si>
  <si>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</si>
  <si>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</si>
  <si>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</si>
  <si>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</si>
  <si>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</si>
  <si>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</si>
  <si>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</si>
  <si>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</si>
  <si>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</si>
  <si>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</si>
  <si>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</si>
  <si>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</si>
  <si>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</si>
  <si>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</si>
  <si>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</si>
  <si>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</si>
  <si>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</si>
  <si>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</si>
  <si>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</si>
  <si>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</si>
  <si>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</si>
  <si>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</si>
  <si>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</si>
  <si>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</si>
  <si>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</si>
  <si>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</si>
  <si>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</si>
  <si>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</si>
  <si>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</si>
  <si>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</si>
  <si>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</si>
  <si>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</si>
  <si>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</si>
  <si>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</si>
  <si>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</si>
  <si>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</si>
  <si>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</si>
  <si>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</si>
  <si>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</si>
  <si>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</si>
  <si>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</si>
  <si>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</si>
  <si>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</si>
  <si>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</si>
  <si>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</si>
  <si>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</si>
  <si>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</si>
  <si>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</si>
  <si>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</si>
  <si>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</si>
  <si>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</si>
  <si>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</si>
  <si>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</si>
  <si>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</si>
  <si>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</si>
  <si>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</si>
  <si>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</si>
  <si>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</si>
  <si>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</si>
  <si>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</si>
  <si>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</si>
  <si>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</si>
  <si>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</si>
  <si>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</si>
  <si>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</si>
  <si>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</si>
  <si>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</si>
  <si>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</si>
  <si>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</si>
  <si>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</si>
  <si>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</si>
  <si>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</si>
  <si>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</si>
  <si>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</si>
  <si>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</si>
  <si>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</si>
  <si>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</si>
  <si>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</si>
  <si>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</si>
  <si>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</si>
  <si>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</si>
  <si>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</si>
  <si>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</si>
  <si>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</si>
  <si>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</si>
  <si>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</si>
  <si>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</si>
  <si>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</si>
  <si>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</si>
  <si>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</si>
  <si>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</si>
  <si>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</si>
  <si>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</si>
  <si>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</si>
  <si>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</si>
  <si>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</si>
  <si>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</si>
  <si>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</si>
  <si>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</si>
  <si>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</si>
  <si>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</si>
  <si>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</si>
  <si>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</si>
  <si>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</si>
  <si>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</si>
  <si>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</si>
  <si>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</si>
  <si>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</si>
  <si>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</si>
  <si>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</si>
  <si>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</si>
  <si>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</si>
  <si>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</si>
  <si>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</si>
  <si>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</si>
  <si>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</si>
  <si>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</si>
  <si>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</si>
  <si>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</si>
  <si>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</si>
  <si>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</si>
  <si>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</si>
  <si>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</si>
  <si>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</si>
  <si>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</si>
  <si>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</si>
  <si>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</si>
  <si>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</si>
  <si>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</si>
  <si>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</si>
  <si>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</si>
  <si>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</si>
  <si>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</si>
  <si>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</si>
  <si>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</si>
  <si>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</si>
  <si>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</si>
  <si>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</si>
  <si>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</si>
  <si>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</si>
  <si>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</si>
  <si>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</si>
  <si>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</si>
  <si>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</si>
  <si>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</si>
  <si>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</si>
  <si>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</si>
  <si>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</si>
  <si>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</si>
  <si>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</si>
  <si>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</si>
  <si>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</si>
  <si>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</si>
  <si>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</si>
  <si>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</si>
  <si>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</si>
  <si>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</si>
  <si>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</si>
  <si>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</si>
  <si>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</si>
  <si>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</si>
  <si>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</si>
  <si>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</si>
  <si>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</si>
  <si>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</si>
  <si>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</si>
  <si>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</si>
  <si>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</si>
  <si>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</si>
  <si>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</si>
  <si>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</si>
  <si>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</si>
  <si>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</si>
  <si>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</si>
  <si>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</si>
  <si>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</si>
  <si>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</si>
  <si>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</si>
  <si>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</si>
  <si>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</si>
  <si>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</si>
  <si>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</si>
  <si>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</si>
  <si>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</si>
  <si>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</si>
  <si>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</si>
  <si>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</si>
  <si>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</si>
  <si>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</si>
  <si>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</si>
  <si>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</si>
  <si>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</si>
  <si>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</si>
  <si>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</si>
  <si>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</si>
  <si>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</si>
  <si>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</si>
  <si>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</si>
  <si>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</si>
  <si>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</si>
  <si>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</si>
  <si>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</si>
  <si>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</si>
  <si>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</si>
  <si>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</si>
  <si>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</si>
  <si>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</si>
  <si>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</si>
  <si>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</si>
  <si>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</si>
  <si>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</si>
  <si>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</si>
  <si>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</si>
  <si>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</si>
  <si>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</si>
  <si>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</si>
  <si>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</si>
  <si>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</si>
  <si>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</si>
  <si>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</si>
  <si>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</si>
  <si>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</si>
  <si>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</si>
  <si>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</si>
  <si>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</si>
  <si>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</si>
  <si>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</si>
  <si>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</si>
  <si>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</si>
  <si>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</si>
  <si>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</si>
  <si>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</si>
  <si>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</si>
  <si>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</si>
  <si>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</si>
  <si>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</si>
  <si>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</si>
  <si>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</si>
  <si>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</si>
  <si>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</si>
  <si>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</si>
  <si>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</si>
  <si>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</si>
  <si>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</si>
  <si>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</si>
  <si>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</si>
  <si>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</si>
  <si>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</si>
  <si>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</si>
  <si>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</si>
  <si>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</si>
  <si>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</si>
  <si>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</si>
  <si>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</si>
  <si>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</si>
  <si>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</si>
  <si>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</si>
  <si>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</si>
  <si>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</si>
  <si>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</si>
  <si>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</si>
  <si>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</si>
  <si>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</si>
  <si>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</si>
  <si>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</si>
  <si>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</si>
  <si>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</si>
  <si>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</si>
  <si>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</si>
  <si>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</si>
  <si>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</si>
  <si>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</si>
  <si>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</si>
  <si>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</si>
  <si>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</si>
  <si>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</si>
  <si>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</si>
  <si>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</si>
  <si>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</si>
  <si>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</si>
  <si>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</si>
  <si>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</si>
  <si>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</si>
  <si>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</si>
  <si>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</si>
  <si>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</si>
  <si>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</si>
  <si>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</si>
  <si>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</si>
  <si>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</si>
  <si>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</si>
  <si>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</si>
  <si>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</si>
  <si>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</si>
  <si>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</si>
  <si>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</si>
  <si>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</si>
  <si>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</si>
  <si>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</si>
  <si>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</si>
  <si>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</si>
  <si>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Candia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</si>
</sst>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941-0A8A-4ACD-9035-7A8802517D6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79</v>
      </c>
      <c r="C2" s="21">
        <v>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526019.57999999996</v>
      </c>
      <c r="G9" s="18"/>
      <c r="H9" s="18"/>
      <c r="I9" s="18"/>
      <c r="J9" s="67">
        <f>SUM(I431)</f>
        <v>821031.78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149244.48000000001</v>
      </c>
      <c r="G12" s="18">
        <v>19014.580000000002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7406.33</v>
      </c>
      <c r="G13" s="18">
        <v>2794.41</v>
      </c>
      <c r="H13" s="18">
        <v>145982.74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3409.2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686079.58999999985</v>
      </c>
      <c r="G19" s="41">
        <f>SUM(G9:G18)</f>
        <v>21808.99</v>
      </c>
      <c r="H19" s="41">
        <f>SUM(H9:H18)</f>
        <v>145982.74</v>
      </c>
      <c r="I19" s="41">
        <f>SUM(I9:I18)</f>
        <v>0</v>
      </c>
      <c r="J19" s="41">
        <f>SUM(J9:J18)</f>
        <v>821031.78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143860.35</v>
      </c>
      <c r="I23" s="18"/>
      <c r="J23" s="67">
        <f>SUM(I440)</f>
        <v>24398.71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84844</v>
      </c>
      <c r="G25" s="18"/>
      <c r="H25" s="18"/>
      <c r="I25" s="18"/>
      <c r="J25" s="67">
        <f>SUM(I442)</f>
        <v>7267.8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2196.14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2836.31</v>
      </c>
      <c r="H31" s="18">
        <v>2122.39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87040.14</v>
      </c>
      <c r="G33" s="41">
        <f>SUM(G23:G32)</f>
        <v>2836.31</v>
      </c>
      <c r="H33" s="41">
        <f>SUM(H23:H32)</f>
        <v>145982.74000000002</v>
      </c>
      <c r="I33" s="41">
        <f>SUM(I23:I32)</f>
        <v>0</v>
      </c>
      <c r="J33" s="41">
        <f>SUM(J23:J32)</f>
        <v>31666.51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60065.06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29500</v>
      </c>
      <c r="G41" s="18">
        <v>18972.68</v>
      </c>
      <c r="H41" s="18"/>
      <c r="I41" s="18"/>
      <c r="J41" s="13">
        <f>SUM(I449)</f>
        <v>789365.27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509474.39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599039.44999999995</v>
      </c>
      <c r="G43" s="41">
        <f>SUM(G35:G42)</f>
        <v>18972.68</v>
      </c>
      <c r="H43" s="41">
        <f>SUM(H35:H42)</f>
        <v>0</v>
      </c>
      <c r="I43" s="41">
        <f>SUM(I35:I42)</f>
        <v>0</v>
      </c>
      <c r="J43" s="41">
        <f>SUM(J35:J42)</f>
        <v>789365.27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686079.59</v>
      </c>
      <c r="G44" s="41">
        <f>G43+G33</f>
        <v>21808.99</v>
      </c>
      <c r="H44" s="41">
        <f>H43+H33</f>
        <v>145982.74000000002</v>
      </c>
      <c r="I44" s="41">
        <f>I43+I33</f>
        <v>0</v>
      </c>
      <c r="J44" s="41">
        <f>J43+J33</f>
        <v>821031.78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4932961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4932961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3073.28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3073.28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9214.5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9214.5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1037.53</v>
      </c>
      <c r="G88" s="18"/>
      <c r="H88" s="18"/>
      <c r="I88" s="18"/>
      <c r="J88" s="18">
        <v>1134.19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109118.81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1650.08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8495.6200000000008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4387.95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0.08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7075.6399999999994</v>
      </c>
      <c r="G103" s="41">
        <f>SUM(G88:G102)</f>
        <v>109118.81</v>
      </c>
      <c r="H103" s="41">
        <f>SUM(H88:H102)</f>
        <v>8495.6200000000008</v>
      </c>
      <c r="I103" s="41">
        <f>SUM(I88:I102)</f>
        <v>0</v>
      </c>
      <c r="J103" s="41">
        <f>SUM(J88:J102)</f>
        <v>1134.19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4952324.42</v>
      </c>
      <c r="G104" s="41">
        <f>G52+G103</f>
        <v>109118.81</v>
      </c>
      <c r="H104" s="41">
        <f>H52+H71+H86+H103</f>
        <v>8495.6200000000008</v>
      </c>
      <c r="I104" s="41">
        <f>I52+I103</f>
        <v>0</v>
      </c>
      <c r="J104" s="41">
        <f>J52+J103</f>
        <v>1134.19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1320889.7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986454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47908.3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2355252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119049.1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1484.9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7350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126399.1</v>
      </c>
      <c r="G128" s="41">
        <f>SUM(G115:G127)</f>
        <v>1484.9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2481651.1</v>
      </c>
      <c r="G132" s="41">
        <f>G113+SUM(G128:G129)</f>
        <v>1484.9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42677.8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46734.45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39497.53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177147.99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40811.879999999997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40811.879999999997</v>
      </c>
      <c r="G154" s="41">
        <f>SUM(G142:G153)</f>
        <v>39497.53</v>
      </c>
      <c r="H154" s="41">
        <f>SUM(H142:H153)</f>
        <v>266560.24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4394.43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40811.879999999997</v>
      </c>
      <c r="G161" s="41">
        <f>G139+G154+SUM(G155:G160)</f>
        <v>39497.53</v>
      </c>
      <c r="H161" s="41">
        <f>H139+H154+SUM(H155:H160)</f>
        <v>270954.67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12500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12500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12500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7474787.3999999994</v>
      </c>
      <c r="G185" s="47">
        <f>G104+G132+G161+G184</f>
        <v>150101.24</v>
      </c>
      <c r="H185" s="47">
        <f>H104+H132+H161+H184</f>
        <v>279450.28999999998</v>
      </c>
      <c r="I185" s="47">
        <f>I104+I132+I161+I184</f>
        <v>0</v>
      </c>
      <c r="J185" s="47">
        <f>J104+J132+J184</f>
        <v>13634.19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1455790.15</v>
      </c>
      <c r="G189" s="18">
        <v>592946.56999999995</v>
      </c>
      <c r="H189" s="18">
        <f>6202.5+8979.93+187.68</f>
        <v>15370.11</v>
      </c>
      <c r="I189" s="18">
        <v>70318.570000000007</v>
      </c>
      <c r="J189" s="18">
        <v>7728.52</v>
      </c>
      <c r="K189" s="18"/>
      <c r="L189" s="19">
        <f>SUM(F189:K189)</f>
        <v>2142153.92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430679.27+8670.75+4461.26+57553</f>
        <v>501364.28</v>
      </c>
      <c r="G190" s="18">
        <f>143100.12+1006.78+341.34+23893.4</f>
        <v>168341.63999999998</v>
      </c>
      <c r="H190" s="18">
        <f>18906.99+581.72+1435.29+290+15075.13+1943.02+7200+120.5</f>
        <v>45552.65</v>
      </c>
      <c r="I190" s="18">
        <f>93.63+267.21</f>
        <v>360.84</v>
      </c>
      <c r="J190" s="18">
        <v>414.06</v>
      </c>
      <c r="K190" s="18">
        <v>655</v>
      </c>
      <c r="L190" s="19">
        <f>SUM(F190:K190)</f>
        <v>716688.47000000009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11100+11000</f>
        <v>22100</v>
      </c>
      <c r="G192" s="18">
        <f>1568+1030.68</f>
        <v>2598.6800000000003</v>
      </c>
      <c r="H192" s="18">
        <f>2848.24+2670</f>
        <v>5518.24</v>
      </c>
      <c r="I192" s="18">
        <f>750+1527.92</f>
        <v>2277.92</v>
      </c>
      <c r="J192" s="18"/>
      <c r="K192" s="18">
        <f>234+410</f>
        <v>644</v>
      </c>
      <c r="L192" s="19">
        <f>SUM(F192:K192)</f>
        <v>33138.839999999997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60003+33312.5+17418</f>
        <v>110733.5</v>
      </c>
      <c r="G194" s="18">
        <f>18210.99+25598.15+2306.42+4422.7</f>
        <v>50538.259999999995</v>
      </c>
      <c r="H194" s="18">
        <f>3562.5+1484+198.5+250+41876.8+60375+11664.13+52275.5+106.5+1135</f>
        <v>172927.93</v>
      </c>
      <c r="I194" s="18">
        <f>556.81+118.2+2348.66+1034.3</f>
        <v>4057.9700000000003</v>
      </c>
      <c r="J194" s="18">
        <f>155</f>
        <v>155</v>
      </c>
      <c r="K194" s="18">
        <f>1440</f>
        <v>1440</v>
      </c>
      <c r="L194" s="19">
        <f t="shared" ref="L194:L200" si="0">SUM(F194:K194)</f>
        <v>339852.66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9725+43231.48</f>
        <v>52956.480000000003</v>
      </c>
      <c r="G195" s="18">
        <f>2412+15572.99</f>
        <v>17984.989999999998</v>
      </c>
      <c r="H195" s="18">
        <f>1200+2203</f>
        <v>3403</v>
      </c>
      <c r="I195" s="18">
        <f>130.64+11281.18</f>
        <v>11411.82</v>
      </c>
      <c r="J195" s="18">
        <f>4664.26</f>
        <v>4664.26</v>
      </c>
      <c r="K195" s="18"/>
      <c r="L195" s="19">
        <f t="shared" si="0"/>
        <v>90420.55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6775</v>
      </c>
      <c r="G196" s="18">
        <v>529.72</v>
      </c>
      <c r="H196" s="18">
        <f>33357.28+165296</f>
        <v>198653.28</v>
      </c>
      <c r="I196" s="18">
        <v>3432.73</v>
      </c>
      <c r="J196" s="18"/>
      <c r="K196" s="18">
        <v>5603.83</v>
      </c>
      <c r="L196" s="19">
        <f t="shared" si="0"/>
        <v>214994.56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189585.59</v>
      </c>
      <c r="G197" s="18">
        <v>104980.1</v>
      </c>
      <c r="H197" s="18">
        <f>2752.69+7251.09</f>
        <v>10003.780000000001</v>
      </c>
      <c r="I197" s="18">
        <v>1031.22</v>
      </c>
      <c r="J197" s="18">
        <v>1029.97</v>
      </c>
      <c r="K197" s="18">
        <v>1370</v>
      </c>
      <c r="L197" s="19">
        <f t="shared" si="0"/>
        <v>308000.65999999997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94910.39</v>
      </c>
      <c r="G199" s="18">
        <v>63274.79</v>
      </c>
      <c r="H199" s="18">
        <f>41502.73+32877.14+13519.26</f>
        <v>87899.12999999999</v>
      </c>
      <c r="I199" s="18">
        <v>103252.7</v>
      </c>
      <c r="J199" s="18">
        <v>570</v>
      </c>
      <c r="K199" s="18"/>
      <c r="L199" s="19">
        <f t="shared" si="0"/>
        <v>349907.01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7855.92+4520.6+154092.46+104385.23</f>
        <v>270854.20999999996</v>
      </c>
      <c r="I200" s="18"/>
      <c r="J200" s="18"/>
      <c r="K200" s="18"/>
      <c r="L200" s="19">
        <f t="shared" si="0"/>
        <v>270854.20999999996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47917.8</v>
      </c>
      <c r="G201" s="18">
        <v>8427.73</v>
      </c>
      <c r="H201" s="18">
        <f>420+15438.37+1952.79</f>
        <v>17811.16</v>
      </c>
      <c r="I201" s="18">
        <v>15181.74</v>
      </c>
      <c r="J201" s="18">
        <v>35432.49</v>
      </c>
      <c r="K201" s="18"/>
      <c r="L201" s="19">
        <f>SUM(F201:K201)</f>
        <v>124770.92000000001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2482133.19</v>
      </c>
      <c r="G203" s="41">
        <f t="shared" si="1"/>
        <v>1009622.48</v>
      </c>
      <c r="H203" s="41">
        <f t="shared" si="1"/>
        <v>827993.49</v>
      </c>
      <c r="I203" s="41">
        <f t="shared" si="1"/>
        <v>211325.50999999998</v>
      </c>
      <c r="J203" s="41">
        <f t="shared" si="1"/>
        <v>49994.3</v>
      </c>
      <c r="K203" s="41">
        <f t="shared" si="1"/>
        <v>9712.83</v>
      </c>
      <c r="L203" s="41">
        <f t="shared" si="1"/>
        <v>4590781.8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f>6414.06+37882.8</f>
        <v>44296.86</v>
      </c>
      <c r="I208" s="18"/>
      <c r="J208" s="18"/>
      <c r="K208" s="18"/>
      <c r="L208" s="19">
        <f>SUM(F208:K208)</f>
        <v>44296.86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44296.86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44296.86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1588908.28</v>
      </c>
      <c r="I225" s="18"/>
      <c r="J225" s="18"/>
      <c r="K225" s="18"/>
      <c r="L225" s="19">
        <f>SUM(F225:K225)</f>
        <v>1588908.28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468659.02+179691.13+11443.32</f>
        <v>659793.47</v>
      </c>
      <c r="I226" s="18"/>
      <c r="J226" s="18"/>
      <c r="K226" s="18"/>
      <c r="L226" s="19">
        <f>SUM(F226:K226)</f>
        <v>659793.47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7350</v>
      </c>
      <c r="I228" s="18"/>
      <c r="J228" s="18"/>
      <c r="K228" s="18"/>
      <c r="L228" s="19">
        <f>SUM(F228:K228)</f>
        <v>7350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64563.88+53257.77</f>
        <v>117821.65</v>
      </c>
      <c r="I236" s="18"/>
      <c r="J236" s="18"/>
      <c r="K236" s="18"/>
      <c r="L236" s="19">
        <f t="shared" si="4"/>
        <v>117821.65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2373873.4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2373873.4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f>83114.84+2500</f>
        <v>85614.84</v>
      </c>
      <c r="K247" s="18"/>
      <c r="L247" s="19">
        <f t="shared" si="6"/>
        <v>85614.84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85614.84</v>
      </c>
      <c r="K248" s="41">
        <f t="shared" si="7"/>
        <v>0</v>
      </c>
      <c r="L248" s="41">
        <f>SUM(F248:K248)</f>
        <v>85614.84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2482133.19</v>
      </c>
      <c r="G249" s="41">
        <f t="shared" si="8"/>
        <v>1009622.48</v>
      </c>
      <c r="H249" s="41">
        <f t="shared" si="8"/>
        <v>3246163.75</v>
      </c>
      <c r="I249" s="41">
        <f t="shared" si="8"/>
        <v>211325.50999999998</v>
      </c>
      <c r="J249" s="41">
        <f t="shared" si="8"/>
        <v>135609.14000000001</v>
      </c>
      <c r="K249" s="41">
        <f t="shared" si="8"/>
        <v>9712.83</v>
      </c>
      <c r="L249" s="41">
        <f t="shared" si="8"/>
        <v>7094566.9000000004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12500</v>
      </c>
      <c r="L258" s="19">
        <f t="shared" si="9"/>
        <v>12500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12500</v>
      </c>
      <c r="L262" s="41">
        <f t="shared" si="9"/>
        <v>12500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2482133.19</v>
      </c>
      <c r="G263" s="42">
        <f t="shared" si="11"/>
        <v>1009622.48</v>
      </c>
      <c r="H263" s="42">
        <f t="shared" si="11"/>
        <v>3246163.75</v>
      </c>
      <c r="I263" s="42">
        <f t="shared" si="11"/>
        <v>211325.50999999998</v>
      </c>
      <c r="J263" s="42">
        <f t="shared" si="11"/>
        <v>135609.14000000001</v>
      </c>
      <c r="K263" s="42">
        <f t="shared" si="11"/>
        <v>22212.83</v>
      </c>
      <c r="L263" s="42">
        <f t="shared" si="11"/>
        <v>7107066.9000000004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32274.86</f>
        <v>32274.86</v>
      </c>
      <c r="G268" s="18">
        <f>4883.53</f>
        <v>4883.53</v>
      </c>
      <c r="H268" s="18"/>
      <c r="I268" s="18">
        <f>3990.3</f>
        <v>3990.3</v>
      </c>
      <c r="J268" s="18">
        <f>5353</f>
        <v>5353</v>
      </c>
      <c r="K268" s="18"/>
      <c r="L268" s="19">
        <f>SUM(F268:K268)</f>
        <v>46501.69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34791.24</f>
        <v>34791.24</v>
      </c>
      <c r="G269" s="18">
        <f>38804.98</f>
        <v>38804.980000000003</v>
      </c>
      <c r="H269" s="18">
        <f>3183.36</f>
        <v>3183.36</v>
      </c>
      <c r="I269" s="18">
        <f>11595.35</f>
        <v>11595.35</v>
      </c>
      <c r="J269" s="18">
        <f>24778.07</f>
        <v>24778.07</v>
      </c>
      <c r="K269" s="18"/>
      <c r="L269" s="19">
        <f>SUM(F269:K269)</f>
        <v>113153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f>2189.09+222.05</f>
        <v>2411.1400000000003</v>
      </c>
      <c r="J271" s="18"/>
      <c r="K271" s="18"/>
      <c r="L271" s="19">
        <f>SUM(F271:K271)</f>
        <v>2411.1400000000003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9990+18000</f>
        <v>27990</v>
      </c>
      <c r="I273" s="18">
        <v>1215.9000000000001</v>
      </c>
      <c r="J273" s="18"/>
      <c r="K273" s="18"/>
      <c r="L273" s="19">
        <f t="shared" ref="L273:L279" si="12">SUM(F273:K273)</f>
        <v>29205.9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760</v>
      </c>
      <c r="G274" s="18">
        <v>119.09</v>
      </c>
      <c r="H274" s="18">
        <f>35354.86+9679+579.01</f>
        <v>45612.87</v>
      </c>
      <c r="I274" s="18">
        <f>5506.53+2995</f>
        <v>8501.5299999999988</v>
      </c>
      <c r="J274" s="18"/>
      <c r="K274" s="18"/>
      <c r="L274" s="19">
        <f t="shared" si="12"/>
        <v>54993.49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7879.36</v>
      </c>
      <c r="L277" s="19">
        <f t="shared" si="12"/>
        <v>7879.36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2212.4299999999998</v>
      </c>
      <c r="I278" s="18"/>
      <c r="J278" s="18"/>
      <c r="K278" s="18"/>
      <c r="L278" s="19">
        <f t="shared" si="12"/>
        <v>2212.4299999999998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>
        <v>17403.61</v>
      </c>
      <c r="K280" s="18"/>
      <c r="L280" s="19">
        <f>SUM(F280:K280)</f>
        <v>17403.61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67826.100000000006</v>
      </c>
      <c r="G282" s="42">
        <f t="shared" si="13"/>
        <v>43807.6</v>
      </c>
      <c r="H282" s="42">
        <f t="shared" si="13"/>
        <v>78998.66</v>
      </c>
      <c r="I282" s="42">
        <f t="shared" si="13"/>
        <v>27714.22</v>
      </c>
      <c r="J282" s="42">
        <f t="shared" si="13"/>
        <v>47534.68</v>
      </c>
      <c r="K282" s="42">
        <f t="shared" si="13"/>
        <v>7879.36</v>
      </c>
      <c r="L282" s="41">
        <f t="shared" si="13"/>
        <v>273760.62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>
        <v>5689.67</v>
      </c>
      <c r="K328" s="18"/>
      <c r="L328" s="19">
        <f t="shared" si="18"/>
        <v>5689.67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5689.67</v>
      </c>
      <c r="K329" s="41">
        <f t="shared" si="19"/>
        <v>0</v>
      </c>
      <c r="L329" s="41">
        <f t="shared" si="18"/>
        <v>5689.67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67826.100000000006</v>
      </c>
      <c r="G330" s="41">
        <f t="shared" si="20"/>
        <v>43807.6</v>
      </c>
      <c r="H330" s="41">
        <f t="shared" si="20"/>
        <v>78998.66</v>
      </c>
      <c r="I330" s="41">
        <f t="shared" si="20"/>
        <v>27714.22</v>
      </c>
      <c r="J330" s="41">
        <f t="shared" si="20"/>
        <v>53224.35</v>
      </c>
      <c r="K330" s="41">
        <f t="shared" si="20"/>
        <v>7879.36</v>
      </c>
      <c r="L330" s="41">
        <f t="shared" si="20"/>
        <v>279450.28999999998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67826.100000000006</v>
      </c>
      <c r="G344" s="41">
        <f>G330</f>
        <v>43807.6</v>
      </c>
      <c r="H344" s="41">
        <f>H330</f>
        <v>78998.66</v>
      </c>
      <c r="I344" s="41">
        <f>I330</f>
        <v>27714.22</v>
      </c>
      <c r="J344" s="41">
        <f>J330</f>
        <v>53224.35</v>
      </c>
      <c r="K344" s="47">
        <f>K330+K343</f>
        <v>7879.36</v>
      </c>
      <c r="L344" s="41">
        <f>L330+L343</f>
        <v>279450.28999999998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46104.87</v>
      </c>
      <c r="G350" s="18">
        <v>26435.47</v>
      </c>
      <c r="H350" s="18">
        <v>2350.9699999999998</v>
      </c>
      <c r="I350" s="18">
        <v>64774.99</v>
      </c>
      <c r="J350" s="18">
        <v>2344.88</v>
      </c>
      <c r="K350" s="18"/>
      <c r="L350" s="13">
        <f>SUM(F350:K350)</f>
        <v>142011.18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46104.87</v>
      </c>
      <c r="G354" s="47">
        <f t="shared" si="22"/>
        <v>26435.47</v>
      </c>
      <c r="H354" s="47">
        <f t="shared" si="22"/>
        <v>2350.9699999999998</v>
      </c>
      <c r="I354" s="47">
        <f t="shared" si="22"/>
        <v>64774.99</v>
      </c>
      <c r="J354" s="47">
        <f t="shared" si="22"/>
        <v>2344.88</v>
      </c>
      <c r="K354" s="47">
        <f t="shared" si="22"/>
        <v>0</v>
      </c>
      <c r="L354" s="47">
        <f t="shared" si="22"/>
        <v>142011.18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53674.06+5894.88</f>
        <v>59568.939999999995</v>
      </c>
      <c r="G359" s="18"/>
      <c r="H359" s="18"/>
      <c r="I359" s="56">
        <f>SUM(F359:H359)</f>
        <v>59568.939999999995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5206.05</v>
      </c>
      <c r="G360" s="63"/>
      <c r="H360" s="63"/>
      <c r="I360" s="56">
        <f>SUM(F360:H360)</f>
        <v>5206.05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64774.99</v>
      </c>
      <c r="G361" s="47">
        <f>SUM(G359:G360)</f>
        <v>0</v>
      </c>
      <c r="H361" s="47">
        <f>SUM(H359:H360)</f>
        <v>0</v>
      </c>
      <c r="I361" s="47">
        <f>SUM(I359:I360)</f>
        <v>64774.99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849.94</v>
      </c>
      <c r="I384" s="18"/>
      <c r="J384" s="24" t="s">
        <v>312</v>
      </c>
      <c r="K384" s="24" t="s">
        <v>312</v>
      </c>
      <c r="L384" s="56">
        <f t="shared" si="25"/>
        <v>849.94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849.94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849.94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58.7</v>
      </c>
      <c r="I388" s="18"/>
      <c r="J388" s="24" t="s">
        <v>312</v>
      </c>
      <c r="K388" s="24" t="s">
        <v>312</v>
      </c>
      <c r="L388" s="56">
        <f t="shared" si="26"/>
        <v>58.7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168.3</v>
      </c>
      <c r="I389" s="18"/>
      <c r="J389" s="24" t="s">
        <v>312</v>
      </c>
      <c r="K389" s="24" t="s">
        <v>312</v>
      </c>
      <c r="L389" s="56">
        <f t="shared" si="26"/>
        <v>168.3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12500</v>
      </c>
      <c r="H391" s="18">
        <v>57.25</v>
      </c>
      <c r="I391" s="18"/>
      <c r="J391" s="24" t="s">
        <v>312</v>
      </c>
      <c r="K391" s="24" t="s">
        <v>312</v>
      </c>
      <c r="L391" s="56">
        <f t="shared" si="26"/>
        <v>12557.25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</v>
      </c>
      <c r="H393" s="47">
        <f>SUM(H387:H392)</f>
        <v>284.25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12784.25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12500</v>
      </c>
      <c r="H400" s="47">
        <f>H385+H393+H399</f>
        <v>1134.19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13634.19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10853.71</v>
      </c>
      <c r="I407" s="18"/>
      <c r="J407" s="18"/>
      <c r="K407" s="18"/>
      <c r="L407" s="56">
        <f t="shared" si="27"/>
        <v>10853.71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10853.71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10853.71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30412.46</v>
      </c>
      <c r="I414" s="18"/>
      <c r="J414" s="18"/>
      <c r="K414" s="18"/>
      <c r="L414" s="56">
        <f t="shared" si="29"/>
        <v>30412.46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30412.46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30412.46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41266.17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41266.17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572180.67000000004</v>
      </c>
      <c r="G431" s="18">
        <v>248851.11</v>
      </c>
      <c r="H431" s="18"/>
      <c r="I431" s="56">
        <f t="shared" ref="I431:I437" si="33">SUM(F431:H431)</f>
        <v>821031.78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572180.67000000004</v>
      </c>
      <c r="G438" s="13">
        <f>SUM(G431:G437)</f>
        <v>248851.11</v>
      </c>
      <c r="H438" s="13">
        <f>SUM(H431:H437)</f>
        <v>0</v>
      </c>
      <c r="I438" s="13">
        <f>SUM(I431:I437)</f>
        <v>821031.78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24398.71</v>
      </c>
      <c r="H440" s="18"/>
      <c r="I440" s="56">
        <f>SUM(F440:H440)</f>
        <v>24398.71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7267.8</v>
      </c>
      <c r="H442" s="18"/>
      <c r="I442" s="56">
        <f>SUM(F442:H442)</f>
        <v>7267.8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31666.51</v>
      </c>
      <c r="H444" s="72">
        <f>SUM(H440:H443)</f>
        <v>0</v>
      </c>
      <c r="I444" s="72">
        <f>SUM(I440:I443)</f>
        <v>31666.51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572180.67000000004</v>
      </c>
      <c r="G449" s="18">
        <v>217184.6</v>
      </c>
      <c r="H449" s="18"/>
      <c r="I449" s="56">
        <f>SUM(F449:H449)</f>
        <v>789365.27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572180.67000000004</v>
      </c>
      <c r="G450" s="83">
        <f>SUM(G446:G449)</f>
        <v>217184.6</v>
      </c>
      <c r="H450" s="83">
        <f>SUM(H446:H449)</f>
        <v>0</v>
      </c>
      <c r="I450" s="83">
        <f>SUM(I446:I449)</f>
        <v>789365.27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572180.67000000004</v>
      </c>
      <c r="G451" s="42">
        <f>G444+G450</f>
        <v>248851.11000000002</v>
      </c>
      <c r="H451" s="42">
        <f>H444+H450</f>
        <v>0</v>
      </c>
      <c r="I451" s="42">
        <f>I444+I450</f>
        <v>821031.78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231318.95</v>
      </c>
      <c r="G455" s="18">
        <v>10882.62</v>
      </c>
      <c r="H455" s="18">
        <v>0</v>
      </c>
      <c r="I455" s="18">
        <v>0</v>
      </c>
      <c r="J455" s="18">
        <v>816997.25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7474787.4000000004</v>
      </c>
      <c r="G458" s="18">
        <v>150101.24</v>
      </c>
      <c r="H458" s="18">
        <v>279450.28999999998</v>
      </c>
      <c r="I458" s="18"/>
      <c r="J458" s="18">
        <v>13634.19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7474787.4000000004</v>
      </c>
      <c r="G460" s="53">
        <f>SUM(G458:G459)</f>
        <v>150101.24</v>
      </c>
      <c r="H460" s="53">
        <f>SUM(H458:H459)</f>
        <v>279450.28999999998</v>
      </c>
      <c r="I460" s="53">
        <f>SUM(I458:I459)</f>
        <v>0</v>
      </c>
      <c r="J460" s="53">
        <f>SUM(J458:J459)</f>
        <v>13634.19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7107066.9000000004</v>
      </c>
      <c r="G462" s="18">
        <v>142011.18</v>
      </c>
      <c r="H462" s="18">
        <v>279450.28999999998</v>
      </c>
      <c r="I462" s="18"/>
      <c r="J462" s="18">
        <v>41266.17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7107066.9000000004</v>
      </c>
      <c r="G464" s="53">
        <f>SUM(G462:G463)</f>
        <v>142011.18</v>
      </c>
      <c r="H464" s="53">
        <f>SUM(H462:H463)</f>
        <v>279450.28999999998</v>
      </c>
      <c r="I464" s="53">
        <f>SUM(I462:I463)</f>
        <v>0</v>
      </c>
      <c r="J464" s="53">
        <f>SUM(J462:J463)</f>
        <v>41266.17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599039.45000000019</v>
      </c>
      <c r="G466" s="53">
        <f>(G455+G460)- G464</f>
        <v>18972.679999999993</v>
      </c>
      <c r="H466" s="53">
        <f>(H455+H460)- H464</f>
        <v>0</v>
      </c>
      <c r="I466" s="53">
        <f>(I455+I460)- I464</f>
        <v>0</v>
      </c>
      <c r="J466" s="53">
        <f>(J455+J460)- J464</f>
        <v>789365.2699999999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446126.43</v>
      </c>
      <c r="G511" s="18">
        <f>206652.59-39803.55</f>
        <v>166849.03999999998</v>
      </c>
      <c r="H511" s="18">
        <f>7200+18378.99</f>
        <v>25578.99</v>
      </c>
      <c r="I511" s="18">
        <v>11956.19</v>
      </c>
      <c r="J511" s="18">
        <v>25192.13</v>
      </c>
      <c r="K511" s="18"/>
      <c r="L511" s="88">
        <f>SUM(F511:K511)</f>
        <v>675702.77999999991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44296.86</v>
      </c>
      <c r="I512" s="18"/>
      <c r="J512" s="18"/>
      <c r="K512" s="18"/>
      <c r="L512" s="88">
        <f>SUM(F512:K512)</f>
        <v>44296.86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659793.47</v>
      </c>
      <c r="I513" s="18"/>
      <c r="J513" s="18"/>
      <c r="K513" s="18"/>
      <c r="L513" s="88">
        <f>SUM(F513:K513)</f>
        <v>659793.47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446126.43</v>
      </c>
      <c r="G514" s="108">
        <f t="shared" ref="G514:L514" si="35">SUM(G511:G513)</f>
        <v>166849.03999999998</v>
      </c>
      <c r="H514" s="108">
        <f t="shared" si="35"/>
        <v>729669.32</v>
      </c>
      <c r="I514" s="108">
        <f t="shared" si="35"/>
        <v>11956.19</v>
      </c>
      <c r="J514" s="108">
        <f t="shared" si="35"/>
        <v>25192.13</v>
      </c>
      <c r="K514" s="108">
        <f t="shared" si="35"/>
        <v>0</v>
      </c>
      <c r="L514" s="89">
        <f t="shared" si="35"/>
        <v>1379793.1099999999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17418</v>
      </c>
      <c r="G516" s="18">
        <v>6729.12</v>
      </c>
      <c r="H516" s="18">
        <v>209154.65</v>
      </c>
      <c r="I516" s="18">
        <v>3682.76</v>
      </c>
      <c r="J516" s="18"/>
      <c r="K516" s="18"/>
      <c r="L516" s="88">
        <f>SUM(F516:K516)</f>
        <v>236984.53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17418</v>
      </c>
      <c r="G519" s="89">
        <f t="shared" ref="G519:L519" si="36">SUM(G516:G518)</f>
        <v>6729.12</v>
      </c>
      <c r="H519" s="89">
        <f t="shared" si="36"/>
        <v>209154.65</v>
      </c>
      <c r="I519" s="89">
        <f t="shared" si="36"/>
        <v>3682.76</v>
      </c>
      <c r="J519" s="89">
        <f t="shared" si="36"/>
        <v>0</v>
      </c>
      <c r="K519" s="89">
        <f t="shared" si="36"/>
        <v>0</v>
      </c>
      <c r="L519" s="89">
        <f t="shared" si="36"/>
        <v>236984.53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90029.09</v>
      </c>
      <c r="G521" s="18">
        <f>494.03+39803.55</f>
        <v>40297.58</v>
      </c>
      <c r="H521" s="18">
        <f>581.72+3668.31</f>
        <v>4250.03</v>
      </c>
      <c r="I521" s="18"/>
      <c r="J521" s="18"/>
      <c r="K521" s="18">
        <v>655</v>
      </c>
      <c r="L521" s="88">
        <f>SUM(F521:K521)</f>
        <v>135231.70000000001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90029.09</v>
      </c>
      <c r="G524" s="89">
        <f t="shared" ref="G524:L524" si="37">SUM(G521:G523)</f>
        <v>40297.58</v>
      </c>
      <c r="H524" s="89">
        <f t="shared" si="37"/>
        <v>4250.03</v>
      </c>
      <c r="I524" s="89">
        <f t="shared" si="37"/>
        <v>0</v>
      </c>
      <c r="J524" s="89">
        <f t="shared" si="37"/>
        <v>0</v>
      </c>
      <c r="K524" s="89">
        <f t="shared" si="37"/>
        <v>655</v>
      </c>
      <c r="L524" s="89">
        <f t="shared" si="37"/>
        <v>135231.70000000001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3933.77</v>
      </c>
      <c r="I526" s="18"/>
      <c r="J526" s="18"/>
      <c r="K526" s="18"/>
      <c r="L526" s="88">
        <f>SUM(F526:K526)</f>
        <v>3933.77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3933.77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3933.77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104385.23</v>
      </c>
      <c r="I531" s="18"/>
      <c r="J531" s="18"/>
      <c r="K531" s="18"/>
      <c r="L531" s="88">
        <f>SUM(F531:K531)</f>
        <v>104385.23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53257.77</v>
      </c>
      <c r="I533" s="18"/>
      <c r="J533" s="18"/>
      <c r="K533" s="18"/>
      <c r="L533" s="88">
        <f>SUM(F533:K533)</f>
        <v>53257.77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157643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157643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553573.52</v>
      </c>
      <c r="G535" s="89">
        <f t="shared" ref="G535:L535" si="40">G514+G519+G524+G529+G534</f>
        <v>213875.74</v>
      </c>
      <c r="H535" s="89">
        <f t="shared" si="40"/>
        <v>1104650.77</v>
      </c>
      <c r="I535" s="89">
        <f t="shared" si="40"/>
        <v>15638.95</v>
      </c>
      <c r="J535" s="89">
        <f t="shared" si="40"/>
        <v>25192.13</v>
      </c>
      <c r="K535" s="89">
        <f t="shared" si="40"/>
        <v>655</v>
      </c>
      <c r="L535" s="89">
        <f t="shared" si="40"/>
        <v>1913586.1099999999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675702.77999999991</v>
      </c>
      <c r="G539" s="87">
        <f>L516</f>
        <v>236984.53</v>
      </c>
      <c r="H539" s="87">
        <f>L521</f>
        <v>135231.70000000001</v>
      </c>
      <c r="I539" s="87">
        <f>L526</f>
        <v>3933.77</v>
      </c>
      <c r="J539" s="87">
        <f>L531</f>
        <v>104385.23</v>
      </c>
      <c r="K539" s="87">
        <f>SUM(F539:J539)</f>
        <v>1156238.01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44296.86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44296.86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659793.47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53257.77</v>
      </c>
      <c r="K541" s="87">
        <f>SUM(F541:J541)</f>
        <v>713051.24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1379793.1099999999</v>
      </c>
      <c r="G542" s="89">
        <f t="shared" si="41"/>
        <v>236984.53</v>
      </c>
      <c r="H542" s="89">
        <f t="shared" si="41"/>
        <v>135231.70000000001</v>
      </c>
      <c r="I542" s="89">
        <f t="shared" si="41"/>
        <v>3933.77</v>
      </c>
      <c r="J542" s="89">
        <f t="shared" si="41"/>
        <v>157643</v>
      </c>
      <c r="K542" s="89">
        <f t="shared" si="41"/>
        <v>1913586.11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1537568.71</v>
      </c>
      <c r="I565" s="87">
        <f>SUM(F565:H565)</f>
        <v>1537568.71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51339.57</v>
      </c>
      <c r="I567" s="87">
        <f t="shared" si="46"/>
        <v>51339.57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120.5</v>
      </c>
      <c r="G569" s="18">
        <v>6414.06</v>
      </c>
      <c r="H569" s="18">
        <v>468659.02</v>
      </c>
      <c r="I569" s="87">
        <f t="shared" si="46"/>
        <v>475193.58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15075.13+1968+1215.36</f>
        <v>18258.489999999998</v>
      </c>
      <c r="G572" s="18">
        <v>37882.800000000003</v>
      </c>
      <c r="H572" s="18">
        <f>179691.13+11443.32</f>
        <v>191134.45</v>
      </c>
      <c r="I572" s="87">
        <f t="shared" si="46"/>
        <v>247275.74000000002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154092.46</v>
      </c>
      <c r="I581" s="18"/>
      <c r="J581" s="18">
        <v>64563.88</v>
      </c>
      <c r="K581" s="104">
        <f t="shared" ref="K581:K587" si="47">SUM(H581:J581)</f>
        <v>218656.34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104385.23</v>
      </c>
      <c r="I582" s="18"/>
      <c r="J582" s="18">
        <v>53257.77</v>
      </c>
      <c r="K582" s="104">
        <f t="shared" si="47"/>
        <v>157643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7855.92</v>
      </c>
      <c r="I584" s="18"/>
      <c r="J584" s="18"/>
      <c r="K584" s="104">
        <f t="shared" si="47"/>
        <v>7855.92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4520.6000000000004</v>
      </c>
      <c r="I585" s="18"/>
      <c r="J585" s="18"/>
      <c r="K585" s="104">
        <f t="shared" si="47"/>
        <v>4520.6000000000004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270854.20999999996</v>
      </c>
      <c r="I588" s="108">
        <f>SUM(I581:I587)</f>
        <v>0</v>
      </c>
      <c r="J588" s="108">
        <f>SUM(J581:J587)</f>
        <v>117821.65</v>
      </c>
      <c r="K588" s="108">
        <f>SUM(K581:K587)</f>
        <v>388675.85999999993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97528.98</v>
      </c>
      <c r="I594" s="18"/>
      <c r="J594" s="18"/>
      <c r="K594" s="104">
        <f>SUM(H594:J594)</f>
        <v>97528.98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97528.98</v>
      </c>
      <c r="I595" s="108">
        <f>SUM(I592:I594)</f>
        <v>0</v>
      </c>
      <c r="J595" s="108">
        <f>SUM(J592:J594)</f>
        <v>0</v>
      </c>
      <c r="K595" s="108">
        <f>SUM(K592:K594)</f>
        <v>97528.98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8670.75</v>
      </c>
      <c r="G601" s="18">
        <v>1006.78</v>
      </c>
      <c r="H601" s="18">
        <f>120.5+7200</f>
        <v>7320.5</v>
      </c>
      <c r="I601" s="18">
        <v>93.63</v>
      </c>
      <c r="J601" s="18"/>
      <c r="K601" s="18"/>
      <c r="L601" s="88">
        <f>SUM(F601:K601)</f>
        <v>17091.66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11443.32</v>
      </c>
      <c r="I603" s="18"/>
      <c r="J603" s="18"/>
      <c r="K603" s="18"/>
      <c r="L603" s="88">
        <f>SUM(F603:K603)</f>
        <v>11443.32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8670.75</v>
      </c>
      <c r="G604" s="108">
        <f t="shared" si="48"/>
        <v>1006.78</v>
      </c>
      <c r="H604" s="108">
        <f t="shared" si="48"/>
        <v>18763.82</v>
      </c>
      <c r="I604" s="108">
        <f t="shared" si="48"/>
        <v>93.63</v>
      </c>
      <c r="J604" s="108">
        <f t="shared" si="48"/>
        <v>0</v>
      </c>
      <c r="K604" s="108">
        <f t="shared" si="48"/>
        <v>0</v>
      </c>
      <c r="L604" s="89">
        <f t="shared" si="48"/>
        <v>28534.98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686079.58999999985</v>
      </c>
      <c r="H607" s="109">
        <f>SUM(F44)</f>
        <v>686079.59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21808.99</v>
      </c>
      <c r="H608" s="109">
        <f>SUM(G44)</f>
        <v>21808.99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145982.74</v>
      </c>
      <c r="H609" s="109">
        <f>SUM(H44)</f>
        <v>145982.74000000002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821031.78</v>
      </c>
      <c r="H611" s="109">
        <f>SUM(J44)</f>
        <v>821031.78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599039.44999999995</v>
      </c>
      <c r="H612" s="109">
        <f>F466</f>
        <v>599039.45000000019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18972.68</v>
      </c>
      <c r="H613" s="109">
        <f>G466</f>
        <v>18972.679999999993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789365.27</v>
      </c>
      <c r="H616" s="109">
        <f>J466</f>
        <v>789365.2699999999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7474787.3999999994</v>
      </c>
      <c r="H617" s="104">
        <f>SUM(F458)</f>
        <v>7474787.4000000004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150101.24</v>
      </c>
      <c r="H618" s="104">
        <f>SUM(G458)</f>
        <v>150101.24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279450.28999999998</v>
      </c>
      <c r="H619" s="104">
        <f>SUM(H458)</f>
        <v>279450.28999999998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13634.19</v>
      </c>
      <c r="H621" s="104">
        <f>SUM(J458)</f>
        <v>13634.19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7107066.9000000004</v>
      </c>
      <c r="H622" s="104">
        <f>SUM(F462)</f>
        <v>7107066.9000000004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279450.28999999998</v>
      </c>
      <c r="H623" s="104">
        <f>SUM(H462)</f>
        <v>279450.28999999998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64774.99</v>
      </c>
      <c r="H624" s="104">
        <f>I361</f>
        <v>64774.99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142011.18</v>
      </c>
      <c r="H625" s="104">
        <f>SUM(G462)</f>
        <v>142011.18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13634.19</v>
      </c>
      <c r="H627" s="164">
        <f>SUM(J458)</f>
        <v>13634.19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41266.17</v>
      </c>
      <c r="H628" s="164">
        <f>SUM(J462)</f>
        <v>41266.17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572180.67000000004</v>
      </c>
      <c r="H629" s="104">
        <f>SUM(F451)</f>
        <v>572180.67000000004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248851.11</v>
      </c>
      <c r="H630" s="104">
        <f>SUM(G451)</f>
        <v>248851.11000000002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821031.78</v>
      </c>
      <c r="H632" s="104">
        <f>SUM(I451)</f>
        <v>821031.78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1134.19</v>
      </c>
      <c r="H634" s="104">
        <f>H400</f>
        <v>1134.19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12500</v>
      </c>
      <c r="H635" s="104">
        <f>G400</f>
        <v>12500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13634.19</v>
      </c>
      <c r="H636" s="104">
        <f>L400</f>
        <v>13634.19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388675.85999999993</v>
      </c>
      <c r="H637" s="104">
        <f>L200+L218+L236</f>
        <v>388675.86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97528.98</v>
      </c>
      <c r="H638" s="104">
        <f>(J249+J330)-(J247+J328)</f>
        <v>97528.980000000025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270854.20999999996</v>
      </c>
      <c r="H639" s="104">
        <f>H588</f>
        <v>270854.20999999996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117821.65</v>
      </c>
      <c r="H641" s="104">
        <f>J588</f>
        <v>117821.65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12500</v>
      </c>
      <c r="H645" s="104">
        <f>K258+K339</f>
        <v>12500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5006553.5999999996</v>
      </c>
      <c r="G650" s="19">
        <f>(L221+L301+L351)</f>
        <v>44296.86</v>
      </c>
      <c r="H650" s="19">
        <f>(L239+L320+L352)</f>
        <v>2373873.4</v>
      </c>
      <c r="I650" s="19">
        <f>SUM(F650:H650)</f>
        <v>7424723.8599999994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109118.81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109118.81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270854.20999999996</v>
      </c>
      <c r="G652" s="19">
        <f>(L218+L298)-(J218+J298)</f>
        <v>0</v>
      </c>
      <c r="H652" s="19">
        <f>(L236+L317)-(J236+J317)</f>
        <v>117821.65</v>
      </c>
      <c r="I652" s="19">
        <f>SUM(F652:H652)</f>
        <v>388675.86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132999.63</v>
      </c>
      <c r="G653" s="200">
        <f>SUM(G565:G577)+SUM(I592:I594)+L602</f>
        <v>44296.86</v>
      </c>
      <c r="H653" s="200">
        <f>SUM(H565:H577)+SUM(J592:J594)+L603</f>
        <v>2260145.0699999998</v>
      </c>
      <c r="I653" s="19">
        <f>SUM(F653:H653)</f>
        <v>2437441.5599999996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4493580.9499999993</v>
      </c>
      <c r="G654" s="19">
        <f>G650-SUM(G651:G653)</f>
        <v>0</v>
      </c>
      <c r="H654" s="19">
        <f>H650-SUM(H651:H653)</f>
        <v>-4093.3199999998324</v>
      </c>
      <c r="I654" s="19">
        <f>I650-SUM(I651:I653)</f>
        <v>4489487.63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385.92</v>
      </c>
      <c r="G655" s="249"/>
      <c r="H655" s="249"/>
      <c r="I655" s="19">
        <f>SUM(F655:H655)</f>
        <v>385.92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11643.81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11633.21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4093.32</v>
      </c>
      <c r="I659" s="19">
        <f>SUM(F659:H659)</f>
        <v>4093.32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11643.81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11643.81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E075-258E-4BFC-BC4D-E58DD02DDA44}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Candia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1488065.01</v>
      </c>
      <c r="C9" s="230">
        <f>'DOE25'!G189+'DOE25'!G207+'DOE25'!G225+'DOE25'!G268+'DOE25'!G287+'DOE25'!G306</f>
        <v>597830.1</v>
      </c>
    </row>
    <row r="10" spans="1:3" x14ac:dyDescent="0.2">
      <c r="A10" t="s">
        <v>810</v>
      </c>
      <c r="B10" s="241">
        <f>1366920.26+32274.86</f>
        <v>1399195.12</v>
      </c>
      <c r="C10" s="241">
        <v>591312.25</v>
      </c>
    </row>
    <row r="11" spans="1:3" x14ac:dyDescent="0.2">
      <c r="A11" t="s">
        <v>811</v>
      </c>
      <c r="B11" s="241">
        <v>17487.72</v>
      </c>
      <c r="C11" s="241">
        <v>1384.29</v>
      </c>
    </row>
    <row r="12" spans="1:3" x14ac:dyDescent="0.2">
      <c r="A12" t="s">
        <v>812</v>
      </c>
      <c r="B12" s="241">
        <f>43811.5+27570.67</f>
        <v>71382.17</v>
      </c>
      <c r="C12" s="241">
        <v>5133.5600000000004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1488065.01</v>
      </c>
      <c r="C13" s="232">
        <f>SUM(C10:C12)</f>
        <v>597830.10000000009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536155.52</v>
      </c>
      <c r="C18" s="230">
        <f>'DOE25'!G190+'DOE25'!G208+'DOE25'!G226+'DOE25'!G269+'DOE25'!G288+'DOE25'!G307</f>
        <v>207146.62</v>
      </c>
    </row>
    <row r="19" spans="1:3" x14ac:dyDescent="0.2">
      <c r="A19" t="s">
        <v>810</v>
      </c>
      <c r="B19" s="241">
        <f>210459+3075+4461.26+57553</f>
        <v>275548.26</v>
      </c>
      <c r="C19" s="241">
        <v>96684.51</v>
      </c>
    </row>
    <row r="20" spans="1:3" x14ac:dyDescent="0.2">
      <c r="A20" t="s">
        <v>811</v>
      </c>
      <c r="B20" s="241">
        <f>117657.13+34791.24+5595.75</f>
        <v>158044.12</v>
      </c>
      <c r="C20" s="241">
        <v>73328.41</v>
      </c>
    </row>
    <row r="21" spans="1:3" x14ac:dyDescent="0.2">
      <c r="A21" t="s">
        <v>812</v>
      </c>
      <c r="B21" s="241">
        <f>68039.44+21989.65+12534.05</f>
        <v>102563.14</v>
      </c>
      <c r="C21" s="241">
        <v>37133.699999999997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536155.52</v>
      </c>
      <c r="C22" s="232">
        <f>SUM(C19:C21)</f>
        <v>207146.62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22100</v>
      </c>
      <c r="C36" s="236">
        <f>'DOE25'!G192+'DOE25'!G210+'DOE25'!G228+'DOE25'!G271+'DOE25'!G290+'DOE25'!G309</f>
        <v>2598.6800000000003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22100</v>
      </c>
      <c r="C39" s="241">
        <v>2598.6799999999998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22100</v>
      </c>
      <c r="C40" s="232">
        <f>SUM(C37:C39)</f>
        <v>2598.6799999999998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7DD2-6547-4F24-AB20-3E3E43F6D6AA}">
  <sheetPr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Candia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5192329.84</v>
      </c>
      <c r="D5" s="20">
        <f>SUM('DOE25'!L189:L192)+SUM('DOE25'!L207:L210)+SUM('DOE25'!L225:L228)-F5-G5</f>
        <v>5182888.26</v>
      </c>
      <c r="E5" s="244"/>
      <c r="F5" s="256">
        <f>SUM('DOE25'!J189:J192)+SUM('DOE25'!J207:J210)+SUM('DOE25'!J225:J228)</f>
        <v>8142.5800000000008</v>
      </c>
      <c r="G5" s="53">
        <f>SUM('DOE25'!K189:K192)+SUM('DOE25'!K207:K210)+SUM('DOE25'!K225:K228)</f>
        <v>1299</v>
      </c>
      <c r="H5" s="260"/>
    </row>
    <row r="6" spans="1:9" x14ac:dyDescent="0.2">
      <c r="A6" s="32">
        <v>2100</v>
      </c>
      <c r="B6" t="s">
        <v>832</v>
      </c>
      <c r="C6" s="246">
        <f t="shared" si="0"/>
        <v>339852.66</v>
      </c>
      <c r="D6" s="20">
        <f>'DOE25'!L194+'DOE25'!L212+'DOE25'!L230-F6-G6</f>
        <v>338257.66</v>
      </c>
      <c r="E6" s="244"/>
      <c r="F6" s="256">
        <f>'DOE25'!J194+'DOE25'!J212+'DOE25'!J230</f>
        <v>155</v>
      </c>
      <c r="G6" s="53">
        <f>'DOE25'!K194+'DOE25'!K212+'DOE25'!K230</f>
        <v>1440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90420.55</v>
      </c>
      <c r="D7" s="20">
        <f>'DOE25'!L195+'DOE25'!L213+'DOE25'!L231-F7-G7</f>
        <v>85756.290000000008</v>
      </c>
      <c r="E7" s="244"/>
      <c r="F7" s="256">
        <f>'DOE25'!J195+'DOE25'!J213+'DOE25'!J231</f>
        <v>4664.26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132600.45000000001</v>
      </c>
      <c r="D8" s="244"/>
      <c r="E8" s="20">
        <f>'DOE25'!L196+'DOE25'!L214+'DOE25'!L232-F8-G8-D9-D11</f>
        <v>126996.62000000001</v>
      </c>
      <c r="F8" s="256">
        <f>'DOE25'!J196+'DOE25'!J214+'DOE25'!J232</f>
        <v>0</v>
      </c>
      <c r="G8" s="53">
        <f>'DOE25'!K196+'DOE25'!K214+'DOE25'!K232</f>
        <v>5603.83</v>
      </c>
      <c r="H8" s="260"/>
    </row>
    <row r="9" spans="1:9" x14ac:dyDescent="0.2">
      <c r="A9" s="32">
        <v>2310</v>
      </c>
      <c r="B9" t="s">
        <v>849</v>
      </c>
      <c r="C9" s="246">
        <f t="shared" si="0"/>
        <v>49698.559999999998</v>
      </c>
      <c r="D9" s="245">
        <v>49698.559999999998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9710</v>
      </c>
      <c r="D10" s="244"/>
      <c r="E10" s="245">
        <v>9710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32695.55</v>
      </c>
      <c r="D11" s="245">
        <v>32695.55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308000.65999999997</v>
      </c>
      <c r="D12" s="20">
        <f>'DOE25'!L197+'DOE25'!L215+'DOE25'!L233-F12-G12</f>
        <v>305600.69</v>
      </c>
      <c r="E12" s="244"/>
      <c r="F12" s="256">
        <f>'DOE25'!J197+'DOE25'!J215+'DOE25'!J233</f>
        <v>1029.97</v>
      </c>
      <c r="G12" s="53">
        <f>'DOE25'!K197+'DOE25'!K215+'DOE25'!K233</f>
        <v>1370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349907.01</v>
      </c>
      <c r="D14" s="20">
        <f>'DOE25'!L199+'DOE25'!L217+'DOE25'!L235-F14-G14</f>
        <v>349337.01</v>
      </c>
      <c r="E14" s="244"/>
      <c r="F14" s="256">
        <f>'DOE25'!J199+'DOE25'!J217+'DOE25'!J235</f>
        <v>570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388675.86</v>
      </c>
      <c r="D15" s="20">
        <f>'DOE25'!L200+'DOE25'!L218+'DOE25'!L236-F15-G15</f>
        <v>388675.86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124770.92000000001</v>
      </c>
      <c r="D16" s="244"/>
      <c r="E16" s="20">
        <f>'DOE25'!L201+'DOE25'!L219+'DOE25'!L237-F16-G16</f>
        <v>89338.430000000022</v>
      </c>
      <c r="F16" s="256">
        <f>'DOE25'!J201+'DOE25'!J219+'DOE25'!J237</f>
        <v>35432.49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91304.51</v>
      </c>
      <c r="D22" s="244"/>
      <c r="E22" s="244"/>
      <c r="F22" s="256">
        <f>'DOE25'!L247+'DOE25'!L328</f>
        <v>91304.51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82442.239999999991</v>
      </c>
      <c r="D29" s="20">
        <f>'DOE25'!L350+'DOE25'!L351+'DOE25'!L352-'DOE25'!I359-F29-G29</f>
        <v>80097.359999999986</v>
      </c>
      <c r="E29" s="244"/>
      <c r="F29" s="256">
        <f>'DOE25'!J350+'DOE25'!J351+'DOE25'!J352</f>
        <v>2344.88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273760.62</v>
      </c>
      <c r="D31" s="20">
        <f>'DOE25'!L282+'DOE25'!L301+'DOE25'!L320+'DOE25'!L325+'DOE25'!L326+'DOE25'!L327-F31-G31</f>
        <v>218346.58000000002</v>
      </c>
      <c r="E31" s="244"/>
      <c r="F31" s="256">
        <f>'DOE25'!J282+'DOE25'!J301+'DOE25'!J320+'DOE25'!J325+'DOE25'!J326+'DOE25'!J327</f>
        <v>47534.68</v>
      </c>
      <c r="G31" s="53">
        <f>'DOE25'!K282+'DOE25'!K301+'DOE25'!K320+'DOE25'!K325+'DOE25'!K326+'DOE25'!K327</f>
        <v>7879.36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7031353.8200000003</v>
      </c>
      <c r="E33" s="247">
        <f>SUM(E5:E31)</f>
        <v>226045.05000000002</v>
      </c>
      <c r="F33" s="247">
        <f>SUM(F5:F31)</f>
        <v>191178.37</v>
      </c>
      <c r="G33" s="247">
        <f>SUM(G5:G31)</f>
        <v>17592.189999999999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226045.05000000002</v>
      </c>
      <c r="E35" s="250"/>
    </row>
    <row r="36" spans="2:8" ht="12" thickTop="1" x14ac:dyDescent="0.2">
      <c r="B36" t="s">
        <v>846</v>
      </c>
      <c r="D36" s="20">
        <f>D33</f>
        <v>7031353.8200000003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CCE-5F05-4B25-B018-A2C5D23DC802}">
  <sheetPr transitionEvaluation="1" codeName="Sheet2">
    <tabColor indexed="10"/>
  </sheetPr>
  <dimension ref="A1:I156"/>
  <sheetViews>
    <sheetView zoomScale="75" workbookViewId="0">
      <pane ySplit="2" topLeftCell="A14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526019.57999999996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821031.78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149244.48000000001</v>
      </c>
      <c r="D12" s="95">
        <f>'DOE25'!G12</f>
        <v>19014.580000000002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7406.33</v>
      </c>
      <c r="D13" s="95">
        <f>'DOE25'!G13</f>
        <v>2794.41</v>
      </c>
      <c r="E13" s="95">
        <f>'DOE25'!H13</f>
        <v>145982.74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3409.2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686079.58999999985</v>
      </c>
      <c r="D19" s="41">
        <f>SUM(D9:D18)</f>
        <v>21808.99</v>
      </c>
      <c r="E19" s="41">
        <f>SUM(E9:E18)</f>
        <v>145982.74</v>
      </c>
      <c r="F19" s="41">
        <f>SUM(F9:F18)</f>
        <v>0</v>
      </c>
      <c r="G19" s="41">
        <f>SUM(G9:G18)</f>
        <v>821031.78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143860.35</v>
      </c>
      <c r="F22" s="95">
        <f>'DOE25'!I23</f>
        <v>0</v>
      </c>
      <c r="G22" s="95">
        <f>'DOE25'!J23</f>
        <v>24398.71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84844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7267.8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2196.14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2836.31</v>
      </c>
      <c r="E30" s="95">
        <f>'DOE25'!H31</f>
        <v>2122.39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87040.14</v>
      </c>
      <c r="D32" s="41">
        <f>SUM(D22:D31)</f>
        <v>2836.31</v>
      </c>
      <c r="E32" s="41">
        <f>SUM(E22:E31)</f>
        <v>145982.74000000002</v>
      </c>
      <c r="F32" s="41">
        <f>SUM(F22:F31)</f>
        <v>0</v>
      </c>
      <c r="G32" s="41">
        <f>SUM(G22:G31)</f>
        <v>31666.51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60065.06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29500</v>
      </c>
      <c r="D40" s="95">
        <f>'DOE25'!G41</f>
        <v>18972.68</v>
      </c>
      <c r="E40" s="95">
        <f>'DOE25'!H41</f>
        <v>0</v>
      </c>
      <c r="F40" s="95">
        <f>'DOE25'!I41</f>
        <v>0</v>
      </c>
      <c r="G40" s="95">
        <f>'DOE25'!J41</f>
        <v>789365.27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509474.39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599039.44999999995</v>
      </c>
      <c r="D42" s="41">
        <f>SUM(D34:D41)</f>
        <v>18972.68</v>
      </c>
      <c r="E42" s="41">
        <f>SUM(E34:E41)</f>
        <v>0</v>
      </c>
      <c r="F42" s="41">
        <f>SUM(F34:F41)</f>
        <v>0</v>
      </c>
      <c r="G42" s="41">
        <f>SUM(G34:G41)</f>
        <v>789365.27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686079.59</v>
      </c>
      <c r="D43" s="41">
        <f>D42+D32</f>
        <v>21808.99</v>
      </c>
      <c r="E43" s="41">
        <f>E42+E32</f>
        <v>145982.74000000002</v>
      </c>
      <c r="F43" s="41">
        <f>F42+F32</f>
        <v>0</v>
      </c>
      <c r="G43" s="41">
        <f>G42+G32</f>
        <v>821031.78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4932961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3073.28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9214.5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1037.53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1134.19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109118.81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6038.11</v>
      </c>
      <c r="D53" s="95">
        <f>SUM('DOE25'!G90:G102)</f>
        <v>0</v>
      </c>
      <c r="E53" s="95">
        <f>SUM('DOE25'!H90:H102)</f>
        <v>8495.6200000000008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19363.420000000002</v>
      </c>
      <c r="D54" s="130">
        <f>SUM(D49:D53)</f>
        <v>109118.81</v>
      </c>
      <c r="E54" s="130">
        <f>SUM(E49:E53)</f>
        <v>8495.6200000000008</v>
      </c>
      <c r="F54" s="130">
        <f>SUM(F49:F53)</f>
        <v>0</v>
      </c>
      <c r="G54" s="130">
        <f>SUM(G49:G53)</f>
        <v>1134.19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4952324.42</v>
      </c>
      <c r="D55" s="22">
        <f>D48+D54</f>
        <v>109118.81</v>
      </c>
      <c r="E55" s="22">
        <f>E48+E54</f>
        <v>8495.6200000000008</v>
      </c>
      <c r="F55" s="22">
        <f>F48+F54</f>
        <v>0</v>
      </c>
      <c r="G55" s="22">
        <f>G48+G54</f>
        <v>1134.19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1320889.7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986454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47908.3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2355252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119049.1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7350</v>
      </c>
      <c r="D69" s="95">
        <f>SUM('DOE25'!G123:G127)</f>
        <v>1484.9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126399.1</v>
      </c>
      <c r="D70" s="130">
        <f>SUM(D64:D69)</f>
        <v>1484.9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2481651.1</v>
      </c>
      <c r="D73" s="130">
        <f>SUM(D71:D72)+D70+D62</f>
        <v>1484.9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40811.879999999997</v>
      </c>
      <c r="D80" s="95">
        <f>SUM('DOE25'!G145:G153)</f>
        <v>39497.53</v>
      </c>
      <c r="E80" s="95">
        <f>SUM('DOE25'!H145:H153)</f>
        <v>266560.24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4394.43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40811.879999999997</v>
      </c>
      <c r="D83" s="131">
        <f>SUM(D77:D82)</f>
        <v>39497.53</v>
      </c>
      <c r="E83" s="131">
        <f>SUM(E77:E82)</f>
        <v>270954.67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12500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12500</v>
      </c>
    </row>
    <row r="96" spans="1:7" ht="12.75" thickTop="1" thickBot="1" x14ac:dyDescent="0.25">
      <c r="A96" s="33" t="s">
        <v>796</v>
      </c>
      <c r="C96" s="86">
        <f>C55+C73+C83+C95</f>
        <v>7474787.3999999994</v>
      </c>
      <c r="D96" s="86">
        <f>D55+D73+D83+D95</f>
        <v>150101.24</v>
      </c>
      <c r="E96" s="86">
        <f>E55+E73+E83+E95</f>
        <v>279450.28999999998</v>
      </c>
      <c r="F96" s="86">
        <f>F55+F73+F83+F95</f>
        <v>0</v>
      </c>
      <c r="G96" s="86">
        <f>G55+G73+G95</f>
        <v>13634.19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3731062.2</v>
      </c>
      <c r="D101" s="24" t="s">
        <v>312</v>
      </c>
      <c r="E101" s="95">
        <f>('DOE25'!L268)+('DOE25'!L287)+('DOE25'!L306)</f>
        <v>46501.69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1420778.8</v>
      </c>
      <c r="D102" s="24" t="s">
        <v>312</v>
      </c>
      <c r="E102" s="95">
        <f>('DOE25'!L269)+('DOE25'!L288)+('DOE25'!L307)</f>
        <v>113153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40488.839999999997</v>
      </c>
      <c r="D104" s="24" t="s">
        <v>312</v>
      </c>
      <c r="E104" s="95">
        <f>+('DOE25'!L271)+('DOE25'!L290)+('DOE25'!L309)</f>
        <v>2411.1400000000003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5192329.84</v>
      </c>
      <c r="D107" s="86">
        <f>SUM(D101:D106)</f>
        <v>0</v>
      </c>
      <c r="E107" s="86">
        <f>SUM(E101:E106)</f>
        <v>162065.83000000002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339852.66</v>
      </c>
      <c r="D110" s="24" t="s">
        <v>312</v>
      </c>
      <c r="E110" s="95">
        <f>+('DOE25'!L273)+('DOE25'!L292)+('DOE25'!L311)</f>
        <v>29205.9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90420.55</v>
      </c>
      <c r="D111" s="24" t="s">
        <v>312</v>
      </c>
      <c r="E111" s="95">
        <f>+('DOE25'!L274)+('DOE25'!L293)+('DOE25'!L312)</f>
        <v>54993.49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214994.56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308000.65999999997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7879.36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349907.01</v>
      </c>
      <c r="D115" s="24" t="s">
        <v>312</v>
      </c>
      <c r="E115" s="95">
        <f>+('DOE25'!L278)+('DOE25'!L297)+('DOE25'!L316)</f>
        <v>2212.4299999999998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388675.86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124770.92000000001</v>
      </c>
      <c r="D117" s="24" t="s">
        <v>312</v>
      </c>
      <c r="E117" s="95">
        <f>+('DOE25'!L280)+('DOE25'!L299)+('DOE25'!L318)</f>
        <v>17403.61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142011.18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1816622.2199999997</v>
      </c>
      <c r="D120" s="86">
        <f>SUM(D110:D119)</f>
        <v>142011.18</v>
      </c>
      <c r="E120" s="86">
        <f>SUM(E110:E119)</f>
        <v>111694.79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85614.84</v>
      </c>
      <c r="D122" s="24" t="s">
        <v>312</v>
      </c>
      <c r="E122" s="129">
        <f>'DOE25'!L328</f>
        <v>5689.67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849.94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12784.25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-1134.1900000000005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98114.84</v>
      </c>
      <c r="D136" s="141">
        <f>SUM(D122:D135)</f>
        <v>0</v>
      </c>
      <c r="E136" s="141">
        <f>SUM(E122:E135)</f>
        <v>5689.67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7107066.8999999994</v>
      </c>
      <c r="D137" s="86">
        <f>(D107+D120+D136)</f>
        <v>142011.18</v>
      </c>
      <c r="E137" s="86">
        <f>(E107+E120+E136)</f>
        <v>279450.28999999998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7D9A-2BB5-418B-822A-FA1DD325706C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Candia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11644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11644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3777564</v>
      </c>
      <c r="D10" s="182">
        <f>ROUND((C10/$C$28)*100,1)</f>
        <v>51.6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1533932</v>
      </c>
      <c r="D11" s="182">
        <f>ROUND((C11/$C$28)*100,1)</f>
        <v>21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42900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369059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145414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357169</v>
      </c>
      <c r="D17" s="182">
        <f t="shared" si="0"/>
        <v>4.9000000000000004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308001</v>
      </c>
      <c r="D18" s="182">
        <f t="shared" si="0"/>
        <v>4.2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7879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352119</v>
      </c>
      <c r="D20" s="182">
        <f t="shared" si="0"/>
        <v>4.8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388676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32892.19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7315605.1900000004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91305</v>
      </c>
    </row>
    <row r="30" spans="1:4" x14ac:dyDescent="0.2">
      <c r="B30" s="187" t="s">
        <v>760</v>
      </c>
      <c r="C30" s="180">
        <f>SUM(C28:C29)</f>
        <v>7406910.1900000004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4932961</v>
      </c>
      <c r="D35" s="182">
        <f t="shared" ref="D35:D40" si="1">ROUND((C35/$C$41)*100,1)</f>
        <v>63.3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28993.230000000447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2355252</v>
      </c>
      <c r="D37" s="182">
        <f t="shared" si="1"/>
        <v>30.2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127884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351264</v>
      </c>
      <c r="D39" s="182">
        <f t="shared" si="1"/>
        <v>4.5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7796354.2300000004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137D-9375-4941-95A9-68084550A6A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Candia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2011-10-26T12:30:44Z</cp:lastPrinted>
  <dcterms:created xsi:type="dcterms:W3CDTF">1997-12-04T19:04:30Z</dcterms:created>
  <dcterms:modified xsi:type="dcterms:W3CDTF">2025-01-09T20:34:49Z</dcterms:modified>
</cp:coreProperties>
</file>