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48D54B7-C4CD-4D14-8C5D-803A03CD4F7F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D4509E44-BD3E-4AC4-BC76-3F05C43CD7B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2" l="1"/>
  <c r="B29" i="12"/>
  <c r="B12" i="12"/>
  <c r="B20" i="12"/>
  <c r="B21" i="12"/>
  <c r="B11" i="12"/>
  <c r="F42" i="1"/>
  <c r="F37" i="1"/>
  <c r="F572" i="1"/>
  <c r="F653" i="1" s="1"/>
  <c r="G572" i="1"/>
  <c r="I572" i="1" s="1"/>
  <c r="H572" i="1"/>
  <c r="I582" i="1"/>
  <c r="G531" i="1"/>
  <c r="G554" i="1"/>
  <c r="G553" i="1"/>
  <c r="G552" i="1"/>
  <c r="F554" i="1"/>
  <c r="F553" i="1"/>
  <c r="L553" i="1" s="1"/>
  <c r="F552" i="1"/>
  <c r="F555" i="1" s="1"/>
  <c r="F561" i="1" s="1"/>
  <c r="I552" i="1"/>
  <c r="H523" i="1"/>
  <c r="G523" i="1"/>
  <c r="F523" i="1"/>
  <c r="I522" i="1"/>
  <c r="H522" i="1"/>
  <c r="G522" i="1"/>
  <c r="F522" i="1"/>
  <c r="L522" i="1" s="1"/>
  <c r="H540" i="1" s="1"/>
  <c r="I521" i="1"/>
  <c r="I524" i="1" s="1"/>
  <c r="H521" i="1"/>
  <c r="G521" i="1"/>
  <c r="L521" i="1" s="1"/>
  <c r="F521" i="1"/>
  <c r="H236" i="1"/>
  <c r="H200" i="1"/>
  <c r="H190" i="1"/>
  <c r="H511" i="1" s="1"/>
  <c r="L200" i="1"/>
  <c r="H581" i="1" s="1"/>
  <c r="H585" i="1"/>
  <c r="H218" i="1"/>
  <c r="H208" i="1"/>
  <c r="L236" i="1"/>
  <c r="H652" i="1" s="1"/>
  <c r="H226" i="1"/>
  <c r="H239" i="1" s="1"/>
  <c r="I584" i="1"/>
  <c r="K584" i="1" s="1"/>
  <c r="H602" i="1"/>
  <c r="G602" i="1"/>
  <c r="K513" i="1"/>
  <c r="K512" i="1"/>
  <c r="J512" i="1"/>
  <c r="I513" i="1"/>
  <c r="I512" i="1"/>
  <c r="I514" i="1" s="1"/>
  <c r="I535" i="1" s="1"/>
  <c r="I511" i="1"/>
  <c r="H459" i="1"/>
  <c r="H41" i="1"/>
  <c r="H13" i="1"/>
  <c r="H153" i="1"/>
  <c r="H147" i="1"/>
  <c r="H154" i="1" s="1"/>
  <c r="H161" i="1" s="1"/>
  <c r="H151" i="1"/>
  <c r="H148" i="1"/>
  <c r="H146" i="1"/>
  <c r="J462" i="1"/>
  <c r="F431" i="1"/>
  <c r="H32" i="1"/>
  <c r="H23" i="1"/>
  <c r="H327" i="1"/>
  <c r="G327" i="1"/>
  <c r="F327" i="1"/>
  <c r="H30" i="1"/>
  <c r="E29" i="2" s="1"/>
  <c r="F312" i="1"/>
  <c r="L312" i="1" s="1"/>
  <c r="H306" i="1"/>
  <c r="F306" i="1"/>
  <c r="F320" i="1" s="1"/>
  <c r="H307" i="1"/>
  <c r="F287" i="1"/>
  <c r="H288" i="1"/>
  <c r="H512" i="1" s="1"/>
  <c r="K274" i="1"/>
  <c r="J274" i="1"/>
  <c r="I274" i="1"/>
  <c r="H274" i="1"/>
  <c r="G274" i="1"/>
  <c r="F274" i="1"/>
  <c r="L274" i="1" s="1"/>
  <c r="E111" i="2" s="1"/>
  <c r="F268" i="1"/>
  <c r="B9" i="12" s="1"/>
  <c r="A13" i="12" s="1"/>
  <c r="K269" i="1"/>
  <c r="K511" i="1" s="1"/>
  <c r="K514" i="1" s="1"/>
  <c r="K535" i="1" s="1"/>
  <c r="J269" i="1"/>
  <c r="J282" i="1" s="1"/>
  <c r="I269" i="1"/>
  <c r="H269" i="1"/>
  <c r="G269" i="1"/>
  <c r="F269" i="1"/>
  <c r="K325" i="1"/>
  <c r="G325" i="1"/>
  <c r="F325" i="1"/>
  <c r="H325" i="1"/>
  <c r="I325" i="1"/>
  <c r="I329" i="1" s="1"/>
  <c r="H308" i="1"/>
  <c r="H320" i="1" s="1"/>
  <c r="H330" i="1" s="1"/>
  <c r="H344" i="1" s="1"/>
  <c r="K308" i="1"/>
  <c r="I308" i="1"/>
  <c r="I320" i="1" s="1"/>
  <c r="J308" i="1"/>
  <c r="H278" i="1"/>
  <c r="H149" i="1"/>
  <c r="I189" i="1"/>
  <c r="I207" i="1"/>
  <c r="I225" i="1"/>
  <c r="H189" i="1"/>
  <c r="I226" i="1"/>
  <c r="F23" i="1"/>
  <c r="C22" i="2" s="1"/>
  <c r="C32" i="2" s="1"/>
  <c r="F12" i="1"/>
  <c r="C12" i="2" s="1"/>
  <c r="C19" i="2" s="1"/>
  <c r="F463" i="1"/>
  <c r="I199" i="1"/>
  <c r="I203" i="1" s="1"/>
  <c r="F13" i="1"/>
  <c r="F32" i="1"/>
  <c r="F30" i="1"/>
  <c r="F9" i="1"/>
  <c r="I232" i="1"/>
  <c r="G189" i="1"/>
  <c r="I233" i="1"/>
  <c r="H233" i="1"/>
  <c r="G233" i="1"/>
  <c r="F233" i="1"/>
  <c r="I215" i="1"/>
  <c r="H215" i="1"/>
  <c r="G215" i="1"/>
  <c r="F215" i="1"/>
  <c r="I197" i="1"/>
  <c r="H197" i="1"/>
  <c r="G197" i="1"/>
  <c r="L197" i="1" s="1"/>
  <c r="F197" i="1"/>
  <c r="H230" i="1"/>
  <c r="G230" i="1"/>
  <c r="F230" i="1"/>
  <c r="L230" i="1" s="1"/>
  <c r="H212" i="1"/>
  <c r="G212" i="1"/>
  <c r="F212" i="1"/>
  <c r="F221" i="1" s="1"/>
  <c r="H194" i="1"/>
  <c r="G194" i="1"/>
  <c r="F194" i="1"/>
  <c r="H196" i="1"/>
  <c r="H214" i="1"/>
  <c r="H232" i="1"/>
  <c r="J231" i="1"/>
  <c r="H231" i="1"/>
  <c r="G226" i="1"/>
  <c r="G239" i="1" s="1"/>
  <c r="F226" i="1"/>
  <c r="F513" i="1" s="1"/>
  <c r="J213" i="1"/>
  <c r="F7" i="13" s="1"/>
  <c r="I213" i="1"/>
  <c r="L213" i="1" s="1"/>
  <c r="H213" i="1"/>
  <c r="I208" i="1"/>
  <c r="G208" i="1"/>
  <c r="G512" i="1" s="1"/>
  <c r="F208" i="1"/>
  <c r="F512" i="1" s="1"/>
  <c r="L512" i="1" s="1"/>
  <c r="F540" i="1" s="1"/>
  <c r="K540" i="1" s="1"/>
  <c r="J195" i="1"/>
  <c r="I195" i="1"/>
  <c r="H195" i="1"/>
  <c r="I190" i="1"/>
  <c r="G190" i="1"/>
  <c r="G511" i="1" s="1"/>
  <c r="F190" i="1"/>
  <c r="F511" i="1" s="1"/>
  <c r="J218" i="1"/>
  <c r="J236" i="1"/>
  <c r="F15" i="13" s="1"/>
  <c r="I235" i="1"/>
  <c r="I236" i="1"/>
  <c r="H235" i="1"/>
  <c r="G236" i="1"/>
  <c r="G235" i="1"/>
  <c r="F235" i="1"/>
  <c r="I217" i="1"/>
  <c r="H217" i="1"/>
  <c r="G218" i="1"/>
  <c r="G217" i="1"/>
  <c r="F218" i="1"/>
  <c r="L218" i="1" s="1"/>
  <c r="F217" i="1"/>
  <c r="L217" i="1" s="1"/>
  <c r="J200" i="1"/>
  <c r="I200" i="1"/>
  <c r="H199" i="1"/>
  <c r="G200" i="1"/>
  <c r="G199" i="1"/>
  <c r="L199" i="1" s="1"/>
  <c r="F200" i="1"/>
  <c r="F199" i="1"/>
  <c r="F232" i="1"/>
  <c r="G214" i="1"/>
  <c r="G221" i="1" s="1"/>
  <c r="F214" i="1"/>
  <c r="L214" i="1" s="1"/>
  <c r="G196" i="1"/>
  <c r="F196" i="1"/>
  <c r="L196" i="1" s="1"/>
  <c r="H225" i="1"/>
  <c r="G225" i="1"/>
  <c r="F225" i="1"/>
  <c r="H207" i="1"/>
  <c r="G207" i="1"/>
  <c r="L207" i="1" s="1"/>
  <c r="F207" i="1"/>
  <c r="F189" i="1"/>
  <c r="F102" i="1"/>
  <c r="F62" i="1"/>
  <c r="F64" i="1"/>
  <c r="F60" i="1"/>
  <c r="F71" i="1" s="1"/>
  <c r="G231" i="1"/>
  <c r="F231" i="1"/>
  <c r="K230" i="1"/>
  <c r="J230" i="1"/>
  <c r="I230" i="1"/>
  <c r="K228" i="1"/>
  <c r="J228" i="1"/>
  <c r="I228" i="1"/>
  <c r="H228" i="1"/>
  <c r="G228" i="1"/>
  <c r="C36" i="12" s="1"/>
  <c r="F228" i="1"/>
  <c r="B36" i="12" s="1"/>
  <c r="J227" i="1"/>
  <c r="I227" i="1"/>
  <c r="L227" i="1" s="1"/>
  <c r="H227" i="1"/>
  <c r="G227" i="1"/>
  <c r="F227" i="1"/>
  <c r="J226" i="1"/>
  <c r="J513" i="1" s="1"/>
  <c r="J225" i="1"/>
  <c r="L225" i="1" s="1"/>
  <c r="G213" i="1"/>
  <c r="F213" i="1"/>
  <c r="J212" i="1"/>
  <c r="I212" i="1"/>
  <c r="J210" i="1"/>
  <c r="J221" i="1" s="1"/>
  <c r="I210" i="1"/>
  <c r="I221" i="1" s="1"/>
  <c r="H210" i="1"/>
  <c r="H221" i="1" s="1"/>
  <c r="G210" i="1"/>
  <c r="F210" i="1"/>
  <c r="J209" i="1"/>
  <c r="I209" i="1"/>
  <c r="H209" i="1"/>
  <c r="L209" i="1" s="1"/>
  <c r="G209" i="1"/>
  <c r="F209" i="1"/>
  <c r="K207" i="1"/>
  <c r="J207" i="1"/>
  <c r="F5" i="13" s="1"/>
  <c r="K256" i="1"/>
  <c r="K262" i="1" s="1"/>
  <c r="K195" i="1"/>
  <c r="G7" i="13" s="1"/>
  <c r="G195" i="1"/>
  <c r="L195" i="1" s="1"/>
  <c r="F195" i="1"/>
  <c r="J194" i="1"/>
  <c r="I194" i="1"/>
  <c r="J190" i="1"/>
  <c r="J511" i="1" s="1"/>
  <c r="J514" i="1" s="1"/>
  <c r="J535" i="1" s="1"/>
  <c r="J189" i="1"/>
  <c r="J320" i="1"/>
  <c r="J301" i="1"/>
  <c r="J203" i="1"/>
  <c r="H594" i="1" s="1"/>
  <c r="F492" i="1"/>
  <c r="F489" i="1"/>
  <c r="F488" i="1"/>
  <c r="F485" i="1"/>
  <c r="F52" i="1"/>
  <c r="F103" i="1"/>
  <c r="F128" i="1"/>
  <c r="F113" i="1"/>
  <c r="F132" i="1" s="1"/>
  <c r="F154" i="1"/>
  <c r="F139" i="1"/>
  <c r="F161" i="1"/>
  <c r="F180" i="1"/>
  <c r="L189" i="1"/>
  <c r="L190" i="1"/>
  <c r="L192" i="1"/>
  <c r="L194" i="1"/>
  <c r="L208" i="1"/>
  <c r="L212" i="1"/>
  <c r="L215" i="1"/>
  <c r="L231" i="1"/>
  <c r="L233" i="1"/>
  <c r="L235" i="1"/>
  <c r="L232" i="1"/>
  <c r="H271" i="1"/>
  <c r="K271" i="1"/>
  <c r="I271" i="1"/>
  <c r="G271" i="1"/>
  <c r="G282" i="1" s="1"/>
  <c r="G330" i="1" s="1"/>
  <c r="G344" i="1" s="1"/>
  <c r="F271" i="1"/>
  <c r="L271" i="1" s="1"/>
  <c r="E104" i="2" s="1"/>
  <c r="H102" i="1"/>
  <c r="H103" i="1" s="1"/>
  <c r="H127" i="1"/>
  <c r="L278" i="1"/>
  <c r="L273" i="1"/>
  <c r="L275" i="1"/>
  <c r="L306" i="1"/>
  <c r="L307" i="1"/>
  <c r="H329" i="1"/>
  <c r="F329" i="1"/>
  <c r="L329" i="1" s="1"/>
  <c r="G329" i="1"/>
  <c r="K329" i="1"/>
  <c r="L288" i="1"/>
  <c r="L287" i="1"/>
  <c r="L301" i="1" s="1"/>
  <c r="L293" i="1"/>
  <c r="H128" i="1"/>
  <c r="H175" i="1"/>
  <c r="G459" i="1"/>
  <c r="H359" i="1"/>
  <c r="G359" i="1"/>
  <c r="I350" i="1"/>
  <c r="L350" i="1" s="1"/>
  <c r="H352" i="1"/>
  <c r="L352" i="1" s="1"/>
  <c r="H651" i="1" s="1"/>
  <c r="H351" i="1"/>
  <c r="L351" i="1" s="1"/>
  <c r="H350" i="1"/>
  <c r="G150" i="1"/>
  <c r="G102" i="1"/>
  <c r="G41" i="1"/>
  <c r="G24" i="1"/>
  <c r="G13" i="1"/>
  <c r="G128" i="1"/>
  <c r="C37" i="10"/>
  <c r="C60" i="2"/>
  <c r="B2" i="13"/>
  <c r="F8" i="13"/>
  <c r="G8" i="13"/>
  <c r="D39" i="13"/>
  <c r="F13" i="13"/>
  <c r="G13" i="13"/>
  <c r="L198" i="1"/>
  <c r="L216" i="1"/>
  <c r="L234" i="1"/>
  <c r="C114" i="2" s="1"/>
  <c r="E13" i="13"/>
  <c r="C13" i="13" s="1"/>
  <c r="F16" i="13"/>
  <c r="E16" i="13" s="1"/>
  <c r="C16" i="13" s="1"/>
  <c r="G16" i="13"/>
  <c r="L201" i="1"/>
  <c r="L219" i="1"/>
  <c r="L237" i="1"/>
  <c r="G5" i="13"/>
  <c r="L191" i="1"/>
  <c r="F6" i="13"/>
  <c r="G6" i="13"/>
  <c r="G33" i="13" s="1"/>
  <c r="F12" i="13"/>
  <c r="G12" i="13"/>
  <c r="F14" i="13"/>
  <c r="G14" i="13"/>
  <c r="G15" i="13"/>
  <c r="F17" i="13"/>
  <c r="G17" i="13"/>
  <c r="L243" i="1"/>
  <c r="D17" i="13" s="1"/>
  <c r="C17" i="13" s="1"/>
  <c r="F18" i="13"/>
  <c r="G18" i="13"/>
  <c r="L244" i="1"/>
  <c r="D18" i="13"/>
  <c r="F19" i="13"/>
  <c r="G19" i="13"/>
  <c r="L245" i="1"/>
  <c r="D19" i="13" s="1"/>
  <c r="C19" i="13" s="1"/>
  <c r="F29" i="13"/>
  <c r="G29" i="13"/>
  <c r="K282" i="1"/>
  <c r="G31" i="13" s="1"/>
  <c r="K301" i="1"/>
  <c r="K320" i="1"/>
  <c r="L270" i="1"/>
  <c r="L276" i="1"/>
  <c r="L277" i="1"/>
  <c r="L279" i="1"/>
  <c r="L280" i="1"/>
  <c r="L289" i="1"/>
  <c r="L290" i="1"/>
  <c r="L292" i="1"/>
  <c r="E110" i="2" s="1"/>
  <c r="L294" i="1"/>
  <c r="E112" i="2" s="1"/>
  <c r="L295" i="1"/>
  <c r="E113" i="2" s="1"/>
  <c r="L296" i="1"/>
  <c r="E114" i="2" s="1"/>
  <c r="L297" i="1"/>
  <c r="L298" i="1"/>
  <c r="L299" i="1"/>
  <c r="L309" i="1"/>
  <c r="L311" i="1"/>
  <c r="L313" i="1"/>
  <c r="L314" i="1"/>
  <c r="L315" i="1"/>
  <c r="L316" i="1"/>
  <c r="L317" i="1"/>
  <c r="E116" i="2" s="1"/>
  <c r="L318" i="1"/>
  <c r="E117" i="2" s="1"/>
  <c r="L326" i="1"/>
  <c r="L327" i="1"/>
  <c r="L252" i="1"/>
  <c r="L253" i="1"/>
  <c r="L333" i="1"/>
  <c r="C32" i="10" s="1"/>
  <c r="L334" i="1"/>
  <c r="E124" i="2" s="1"/>
  <c r="L247" i="1"/>
  <c r="F22" i="13" s="1"/>
  <c r="C22" i="13" s="1"/>
  <c r="L328" i="1"/>
  <c r="C18" i="13"/>
  <c r="C11" i="13"/>
  <c r="C10" i="13"/>
  <c r="C9" i="13"/>
  <c r="L353" i="1"/>
  <c r="B4" i="12"/>
  <c r="B40" i="12"/>
  <c r="C40" i="12"/>
  <c r="B27" i="12"/>
  <c r="C27" i="12"/>
  <c r="B31" i="12"/>
  <c r="A31" i="12" s="1"/>
  <c r="C31" i="12"/>
  <c r="B13" i="12"/>
  <c r="C9" i="12"/>
  <c r="C13" i="12"/>
  <c r="B22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5" i="2" s="1"/>
  <c r="G51" i="2"/>
  <c r="G54" i="2" s="1"/>
  <c r="G53" i="2"/>
  <c r="F2" i="11"/>
  <c r="L603" i="1"/>
  <c r="L602" i="1"/>
  <c r="L601" i="1"/>
  <c r="L604" i="1" s="1"/>
  <c r="C40" i="10"/>
  <c r="G52" i="1"/>
  <c r="C35" i="10" s="1"/>
  <c r="H52" i="1"/>
  <c r="I52" i="1"/>
  <c r="F86" i="1"/>
  <c r="G103" i="1"/>
  <c r="H71" i="1"/>
  <c r="E49" i="2" s="1"/>
  <c r="E54" i="2" s="1"/>
  <c r="H86" i="1"/>
  <c r="E50" i="2" s="1"/>
  <c r="I103" i="1"/>
  <c r="I104" i="1"/>
  <c r="J103" i="1"/>
  <c r="G113" i="1"/>
  <c r="G132" i="1" s="1"/>
  <c r="H113" i="1"/>
  <c r="H132" i="1" s="1"/>
  <c r="I113" i="1"/>
  <c r="I132" i="1" s="1"/>
  <c r="I128" i="1"/>
  <c r="J113" i="1"/>
  <c r="J132" i="1" s="1"/>
  <c r="J128" i="1"/>
  <c r="G139" i="1"/>
  <c r="G161" i="1" s="1"/>
  <c r="C39" i="10" s="1"/>
  <c r="G154" i="1"/>
  <c r="H139" i="1"/>
  <c r="I139" i="1"/>
  <c r="I154" i="1"/>
  <c r="I161" i="1"/>
  <c r="L242" i="1"/>
  <c r="C23" i="10" s="1"/>
  <c r="L324" i="1"/>
  <c r="L246" i="1"/>
  <c r="L260" i="1"/>
  <c r="C26" i="10" s="1"/>
  <c r="L261" i="1"/>
  <c r="C135" i="2" s="1"/>
  <c r="L341" i="1"/>
  <c r="E134" i="2" s="1"/>
  <c r="L342" i="1"/>
  <c r="E135" i="2" s="1"/>
  <c r="I655" i="1"/>
  <c r="I660" i="1"/>
  <c r="F652" i="1"/>
  <c r="I659" i="1"/>
  <c r="C42" i="10"/>
  <c r="L366" i="1"/>
  <c r="L367" i="1"/>
  <c r="L368" i="1"/>
  <c r="L369" i="1"/>
  <c r="L370" i="1"/>
  <c r="L371" i="1"/>
  <c r="L374" i="1" s="1"/>
  <c r="G626" i="1" s="1"/>
  <c r="J626" i="1" s="1"/>
  <c r="L372" i="1"/>
  <c r="B2" i="10"/>
  <c r="L336" i="1"/>
  <c r="L337" i="1"/>
  <c r="L338" i="1"/>
  <c r="L339" i="1"/>
  <c r="K343" i="1"/>
  <c r="L516" i="1"/>
  <c r="G539" i="1"/>
  <c r="L517" i="1"/>
  <c r="L519" i="1" s="1"/>
  <c r="G540" i="1"/>
  <c r="G542" i="1" s="1"/>
  <c r="L518" i="1"/>
  <c r="G541" i="1"/>
  <c r="L523" i="1"/>
  <c r="H541" i="1" s="1"/>
  <c r="L526" i="1"/>
  <c r="I539" i="1"/>
  <c r="I542" i="1" s="1"/>
  <c r="L527" i="1"/>
  <c r="I540" i="1"/>
  <c r="L528" i="1"/>
  <c r="I541" i="1"/>
  <c r="L531" i="1"/>
  <c r="J539" i="1" s="1"/>
  <c r="L532" i="1"/>
  <c r="J540" i="1" s="1"/>
  <c r="L533" i="1"/>
  <c r="J541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D12" i="2"/>
  <c r="E12" i="2"/>
  <c r="F12" i="2"/>
  <c r="I433" i="1"/>
  <c r="I438" i="1" s="1"/>
  <c r="G632" i="1" s="1"/>
  <c r="J12" i="1"/>
  <c r="G12" i="2" s="1"/>
  <c r="C13" i="2"/>
  <c r="D13" i="2"/>
  <c r="E13" i="2"/>
  <c r="F13" i="2"/>
  <c r="I434" i="1"/>
  <c r="J13" i="1"/>
  <c r="G13" i="2"/>
  <c r="C14" i="2"/>
  <c r="D14" i="2"/>
  <c r="E14" i="2"/>
  <c r="E19" i="2" s="1"/>
  <c r="F14" i="2"/>
  <c r="F19" i="2" s="1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D19" i="2"/>
  <c r="D22" i="2"/>
  <c r="E22" i="2"/>
  <c r="F22" i="2"/>
  <c r="I440" i="1"/>
  <c r="J23" i="1" s="1"/>
  <c r="C23" i="2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F29" i="2"/>
  <c r="C30" i="2"/>
  <c r="D30" i="2"/>
  <c r="E30" i="2"/>
  <c r="F30" i="2"/>
  <c r="C31" i="2"/>
  <c r="D31" i="2"/>
  <c r="E31" i="2"/>
  <c r="F31" i="2"/>
  <c r="I443" i="1"/>
  <c r="I444" i="1" s="1"/>
  <c r="I451" i="1" s="1"/>
  <c r="H632" i="1" s="1"/>
  <c r="J32" i="1"/>
  <c r="G31" i="2" s="1"/>
  <c r="C34" i="2"/>
  <c r="D34" i="2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/>
  <c r="C37" i="2"/>
  <c r="C42" i="2" s="1"/>
  <c r="C43" i="2" s="1"/>
  <c r="D37" i="2"/>
  <c r="E37" i="2"/>
  <c r="F37" i="2"/>
  <c r="I447" i="1"/>
  <c r="J38" i="1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D42" i="2"/>
  <c r="D43" i="2" s="1"/>
  <c r="C48" i="2"/>
  <c r="D48" i="2"/>
  <c r="E48" i="2"/>
  <c r="E55" i="2" s="1"/>
  <c r="F48" i="2"/>
  <c r="C50" i="2"/>
  <c r="C51" i="2"/>
  <c r="D51" i="2"/>
  <c r="E51" i="2"/>
  <c r="F51" i="2"/>
  <c r="D52" i="2"/>
  <c r="D54" i="2" s="1"/>
  <c r="C53" i="2"/>
  <c r="D53" i="2"/>
  <c r="E53" i="2"/>
  <c r="F53" i="2"/>
  <c r="F54" i="2" s="1"/>
  <c r="F55" i="2" s="1"/>
  <c r="C58" i="2"/>
  <c r="C62" i="2" s="1"/>
  <c r="C59" i="2"/>
  <c r="C61" i="2"/>
  <c r="D61" i="2"/>
  <c r="D62" i="2" s="1"/>
  <c r="D73" i="2" s="1"/>
  <c r="E61" i="2"/>
  <c r="E62" i="2" s="1"/>
  <c r="F61" i="2"/>
  <c r="F62" i="2" s="1"/>
  <c r="G61" i="2"/>
  <c r="G62" i="2"/>
  <c r="C64" i="2"/>
  <c r="C70" i="2" s="1"/>
  <c r="F64" i="2"/>
  <c r="F70" i="2" s="1"/>
  <c r="C65" i="2"/>
  <c r="F65" i="2"/>
  <c r="C66" i="2"/>
  <c r="C67" i="2"/>
  <c r="C68" i="2"/>
  <c r="E68" i="2"/>
  <c r="F68" i="2"/>
  <c r="C69" i="2"/>
  <c r="D69" i="2"/>
  <c r="E69" i="2"/>
  <c r="E70" i="2" s="1"/>
  <c r="E73" i="2" s="1"/>
  <c r="F69" i="2"/>
  <c r="G69" i="2"/>
  <c r="G70" i="2" s="1"/>
  <c r="G73" i="2" s="1"/>
  <c r="D70" i="2"/>
  <c r="C71" i="2"/>
  <c r="D71" i="2"/>
  <c r="E71" i="2"/>
  <c r="C72" i="2"/>
  <c r="E72" i="2"/>
  <c r="C77" i="2"/>
  <c r="C83" i="2" s="1"/>
  <c r="E77" i="2"/>
  <c r="F77" i="2"/>
  <c r="C79" i="2"/>
  <c r="E79" i="2"/>
  <c r="F79" i="2"/>
  <c r="C80" i="2"/>
  <c r="D80" i="2"/>
  <c r="F80" i="2"/>
  <c r="C81" i="2"/>
  <c r="D81" i="2"/>
  <c r="E81" i="2"/>
  <c r="F81" i="2"/>
  <c r="C82" i="2"/>
  <c r="F83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95" i="2"/>
  <c r="G95" i="2"/>
  <c r="C105" i="2"/>
  <c r="E105" i="2"/>
  <c r="D107" i="2"/>
  <c r="F107" i="2"/>
  <c r="G107" i="2"/>
  <c r="E115" i="2"/>
  <c r="C117" i="2"/>
  <c r="F120" i="2"/>
  <c r="G120" i="2"/>
  <c r="C122" i="2"/>
  <c r="E122" i="2"/>
  <c r="D126" i="2"/>
  <c r="E126" i="2"/>
  <c r="F126" i="2"/>
  <c r="K411" i="1"/>
  <c r="K419" i="1"/>
  <c r="K425" i="1"/>
  <c r="K426" i="1"/>
  <c r="G126" i="2" s="1"/>
  <c r="G136" i="2" s="1"/>
  <c r="L255" i="1"/>
  <c r="C127" i="2"/>
  <c r="E127" i="2"/>
  <c r="L257" i="1"/>
  <c r="C129" i="2" s="1"/>
  <c r="E129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C152" i="2"/>
  <c r="D152" i="2"/>
  <c r="G152" i="2" s="1"/>
  <c r="E152" i="2"/>
  <c r="F152" i="2"/>
  <c r="F490" i="1"/>
  <c r="B153" i="2" s="1"/>
  <c r="G153" i="2" s="1"/>
  <c r="G490" i="1"/>
  <c r="C153" i="2" s="1"/>
  <c r="H490" i="1"/>
  <c r="D153" i="2"/>
  <c r="I490" i="1"/>
  <c r="E153" i="2"/>
  <c r="J490" i="1"/>
  <c r="K490" i="1" s="1"/>
  <c r="F153" i="2"/>
  <c r="B154" i="2"/>
  <c r="G154" i="2" s="1"/>
  <c r="C154" i="2"/>
  <c r="D154" i="2"/>
  <c r="E154" i="2"/>
  <c r="F154" i="2"/>
  <c r="B155" i="2"/>
  <c r="C155" i="2"/>
  <c r="D155" i="2"/>
  <c r="E155" i="2"/>
  <c r="G155" i="2" s="1"/>
  <c r="F155" i="2"/>
  <c r="F493" i="1"/>
  <c r="B156" i="2" s="1"/>
  <c r="G493" i="1"/>
  <c r="C156" i="2" s="1"/>
  <c r="H493" i="1"/>
  <c r="D156" i="2" s="1"/>
  <c r="I493" i="1"/>
  <c r="E156" i="2" s="1"/>
  <c r="J493" i="1"/>
  <c r="F156" i="2"/>
  <c r="G19" i="1"/>
  <c r="G608" i="1" s="1"/>
  <c r="J608" i="1" s="1"/>
  <c r="H19" i="1"/>
  <c r="I19" i="1"/>
  <c r="G33" i="1"/>
  <c r="I33" i="1"/>
  <c r="F43" i="1"/>
  <c r="G43" i="1"/>
  <c r="G44" i="1" s="1"/>
  <c r="H608" i="1" s="1"/>
  <c r="H43" i="1"/>
  <c r="G614" i="1" s="1"/>
  <c r="I43" i="1"/>
  <c r="G615" i="1" s="1"/>
  <c r="J615" i="1" s="1"/>
  <c r="F169" i="1"/>
  <c r="F184" i="1" s="1"/>
  <c r="I169" i="1"/>
  <c r="F175" i="1"/>
  <c r="G175" i="1"/>
  <c r="G184" i="1" s="1"/>
  <c r="I175" i="1"/>
  <c r="I184" i="1" s="1"/>
  <c r="J175" i="1"/>
  <c r="G635" i="1" s="1"/>
  <c r="J635" i="1" s="1"/>
  <c r="G180" i="1"/>
  <c r="H180" i="1"/>
  <c r="H184" i="1" s="1"/>
  <c r="I180" i="1"/>
  <c r="G203" i="1"/>
  <c r="G249" i="1" s="1"/>
  <c r="G263" i="1" s="1"/>
  <c r="H203" i="1"/>
  <c r="H249" i="1" s="1"/>
  <c r="H263" i="1" s="1"/>
  <c r="K203" i="1"/>
  <c r="K249" i="1" s="1"/>
  <c r="K263" i="1" s="1"/>
  <c r="K221" i="1"/>
  <c r="I239" i="1"/>
  <c r="K239" i="1"/>
  <c r="F248" i="1"/>
  <c r="L248" i="1" s="1"/>
  <c r="G248" i="1"/>
  <c r="H248" i="1"/>
  <c r="I248" i="1"/>
  <c r="J248" i="1"/>
  <c r="K248" i="1"/>
  <c r="H282" i="1"/>
  <c r="I282" i="1"/>
  <c r="F301" i="1"/>
  <c r="G301" i="1"/>
  <c r="H301" i="1"/>
  <c r="I301" i="1"/>
  <c r="G320" i="1"/>
  <c r="J329" i="1"/>
  <c r="F354" i="1"/>
  <c r="G354" i="1"/>
  <c r="H354" i="1"/>
  <c r="I354" i="1"/>
  <c r="G624" i="1" s="1"/>
  <c r="J354" i="1"/>
  <c r="K354" i="1"/>
  <c r="I360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I393" i="1"/>
  <c r="I400" i="1" s="1"/>
  <c r="F399" i="1"/>
  <c r="F400" i="1" s="1"/>
  <c r="H633" i="1" s="1"/>
  <c r="G399" i="1"/>
  <c r="H399" i="1"/>
  <c r="H400" i="1" s="1"/>
  <c r="H634" i="1" s="1"/>
  <c r="I399" i="1"/>
  <c r="L405" i="1"/>
  <c r="L411" i="1" s="1"/>
  <c r="L406" i="1"/>
  <c r="L407" i="1"/>
  <c r="L408" i="1"/>
  <c r="L409" i="1"/>
  <c r="L410" i="1"/>
  <c r="F411" i="1"/>
  <c r="F426" i="1" s="1"/>
  <c r="G411" i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 s="1"/>
  <c r="H425" i="1"/>
  <c r="H426" i="1" s="1"/>
  <c r="I425" i="1"/>
  <c r="J425" i="1"/>
  <c r="J426" i="1"/>
  <c r="F438" i="1"/>
  <c r="G438" i="1"/>
  <c r="G630" i="1" s="1"/>
  <c r="J630" i="1" s="1"/>
  <c r="H438" i="1"/>
  <c r="F444" i="1"/>
  <c r="G444" i="1"/>
  <c r="H444" i="1"/>
  <c r="F450" i="1"/>
  <c r="G450" i="1"/>
  <c r="H450" i="1"/>
  <c r="H451" i="1" s="1"/>
  <c r="H631" i="1" s="1"/>
  <c r="J631" i="1" s="1"/>
  <c r="I450" i="1"/>
  <c r="F451" i="1"/>
  <c r="G451" i="1"/>
  <c r="H630" i="1" s="1"/>
  <c r="I460" i="1"/>
  <c r="I466" i="1" s="1"/>
  <c r="H615" i="1" s="1"/>
  <c r="J460" i="1"/>
  <c r="J466" i="1" s="1"/>
  <c r="H616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9" i="1"/>
  <c r="G519" i="1"/>
  <c r="H519" i="1"/>
  <c r="I519" i="1"/>
  <c r="J519" i="1"/>
  <c r="K519" i="1"/>
  <c r="F524" i="1"/>
  <c r="G524" i="1"/>
  <c r="H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L547" i="1"/>
  <c r="L548" i="1"/>
  <c r="L549" i="1"/>
  <c r="F550" i="1"/>
  <c r="G550" i="1"/>
  <c r="H550" i="1"/>
  <c r="I550" i="1"/>
  <c r="J550" i="1"/>
  <c r="K550" i="1"/>
  <c r="K561" i="1" s="1"/>
  <c r="L550" i="1"/>
  <c r="L554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2" i="1"/>
  <c r="K583" i="1"/>
  <c r="K585" i="1"/>
  <c r="K586" i="1"/>
  <c r="K587" i="1"/>
  <c r="K592" i="1"/>
  <c r="K593" i="1"/>
  <c r="F604" i="1"/>
  <c r="G604" i="1"/>
  <c r="H604" i="1"/>
  <c r="I604" i="1"/>
  <c r="J604" i="1"/>
  <c r="K604" i="1"/>
  <c r="G609" i="1"/>
  <c r="G610" i="1"/>
  <c r="G613" i="1"/>
  <c r="H620" i="1"/>
  <c r="H621" i="1"/>
  <c r="H626" i="1"/>
  <c r="H627" i="1"/>
  <c r="H628" i="1"/>
  <c r="G629" i="1"/>
  <c r="J629" i="1" s="1"/>
  <c r="H629" i="1"/>
  <c r="G631" i="1"/>
  <c r="G633" i="1"/>
  <c r="J633" i="1" s="1"/>
  <c r="G634" i="1"/>
  <c r="G639" i="1"/>
  <c r="G641" i="1"/>
  <c r="G642" i="1"/>
  <c r="J642" i="1" s="1"/>
  <c r="H642" i="1"/>
  <c r="G643" i="1"/>
  <c r="G644" i="1"/>
  <c r="H644" i="1"/>
  <c r="J644" i="1"/>
  <c r="G645" i="1"/>
  <c r="J645" i="1" s="1"/>
  <c r="H645" i="1"/>
  <c r="H588" i="1" l="1"/>
  <c r="H639" i="1" s="1"/>
  <c r="J639" i="1" s="1"/>
  <c r="J542" i="1"/>
  <c r="H514" i="1"/>
  <c r="H535" i="1" s="1"/>
  <c r="J43" i="1"/>
  <c r="G37" i="2"/>
  <c r="L426" i="1"/>
  <c r="G628" i="1" s="1"/>
  <c r="J628" i="1" s="1"/>
  <c r="G156" i="2"/>
  <c r="D6" i="13"/>
  <c r="C6" i="13" s="1"/>
  <c r="C111" i="2"/>
  <c r="D7" i="13"/>
  <c r="C7" i="13" s="1"/>
  <c r="C16" i="10"/>
  <c r="E8" i="13"/>
  <c r="C112" i="2"/>
  <c r="C17" i="10"/>
  <c r="I249" i="1"/>
  <c r="I263" i="1" s="1"/>
  <c r="I330" i="1"/>
  <c r="I344" i="1" s="1"/>
  <c r="F31" i="13"/>
  <c r="J330" i="1"/>
  <c r="J344" i="1" s="1"/>
  <c r="G22" i="2"/>
  <c r="G32" i="2" s="1"/>
  <c r="J33" i="1"/>
  <c r="C38" i="10"/>
  <c r="F44" i="1"/>
  <c r="H607" i="1" s="1"/>
  <c r="L400" i="1"/>
  <c r="C130" i="2"/>
  <c r="C49" i="2"/>
  <c r="C54" i="2" s="1"/>
  <c r="F104" i="1"/>
  <c r="F185" i="1" s="1"/>
  <c r="I581" i="1"/>
  <c r="I588" i="1" s="1"/>
  <c r="H640" i="1" s="1"/>
  <c r="D15" i="13"/>
  <c r="C15" i="13" s="1"/>
  <c r="C21" i="10"/>
  <c r="G652" i="1"/>
  <c r="I652" i="1" s="1"/>
  <c r="G640" i="1"/>
  <c r="J640" i="1" s="1"/>
  <c r="C116" i="2"/>
  <c r="H637" i="1"/>
  <c r="I185" i="1"/>
  <c r="G620" i="1" s="1"/>
  <c r="J620" i="1" s="1"/>
  <c r="G651" i="1"/>
  <c r="I594" i="1"/>
  <c r="A40" i="12"/>
  <c r="F514" i="1"/>
  <c r="F535" i="1" s="1"/>
  <c r="L511" i="1"/>
  <c r="H539" i="1"/>
  <c r="H542" i="1" s="1"/>
  <c r="L524" i="1"/>
  <c r="E96" i="2"/>
  <c r="F33" i="13"/>
  <c r="G137" i="2"/>
  <c r="F96" i="2"/>
  <c r="D55" i="2"/>
  <c r="G42" i="2"/>
  <c r="G43" i="2" s="1"/>
  <c r="L354" i="1"/>
  <c r="F651" i="1"/>
  <c r="D119" i="2"/>
  <c r="D120" i="2" s="1"/>
  <c r="D137" i="2" s="1"/>
  <c r="H595" i="1"/>
  <c r="J641" i="1"/>
  <c r="C55" i="2"/>
  <c r="J19" i="1"/>
  <c r="G611" i="1" s="1"/>
  <c r="G9" i="2"/>
  <c r="G19" i="2" s="1"/>
  <c r="J610" i="1"/>
  <c r="F73" i="2"/>
  <c r="G96" i="2"/>
  <c r="E120" i="2"/>
  <c r="J634" i="1"/>
  <c r="C73" i="2"/>
  <c r="J632" i="1"/>
  <c r="C133" i="2"/>
  <c r="C103" i="2"/>
  <c r="L221" i="1"/>
  <c r="G650" i="1" s="1"/>
  <c r="C20" i="10"/>
  <c r="C115" i="2"/>
  <c r="D14" i="13"/>
  <c r="C14" i="13" s="1"/>
  <c r="C113" i="2"/>
  <c r="D12" i="13"/>
  <c r="C12" i="13" s="1"/>
  <c r="C18" i="10"/>
  <c r="K330" i="1"/>
  <c r="K344" i="1" s="1"/>
  <c r="E80" i="2"/>
  <c r="E83" i="2" s="1"/>
  <c r="C19" i="10"/>
  <c r="L325" i="1"/>
  <c r="E106" i="2" s="1"/>
  <c r="G513" i="1"/>
  <c r="G514" i="1" s="1"/>
  <c r="G535" i="1" s="1"/>
  <c r="H513" i="1"/>
  <c r="J581" i="1"/>
  <c r="J588" i="1" s="1"/>
  <c r="H641" i="1" s="1"/>
  <c r="L552" i="1"/>
  <c r="L555" i="1" s="1"/>
  <c r="L561" i="1" s="1"/>
  <c r="F19" i="1"/>
  <c r="G607" i="1" s="1"/>
  <c r="L256" i="1"/>
  <c r="C128" i="2" s="1"/>
  <c r="C136" i="2" s="1"/>
  <c r="F122" i="2"/>
  <c r="F136" i="2" s="1"/>
  <c r="F137" i="2" s="1"/>
  <c r="C110" i="2"/>
  <c r="C29" i="10"/>
  <c r="H25" i="13"/>
  <c r="L308" i="1"/>
  <c r="E103" i="2" s="1"/>
  <c r="H104" i="1"/>
  <c r="H185" i="1" s="1"/>
  <c r="F203" i="1"/>
  <c r="C25" i="10"/>
  <c r="C15" i="10"/>
  <c r="G104" i="1"/>
  <c r="G185" i="1" s="1"/>
  <c r="C18" i="12"/>
  <c r="L268" i="1"/>
  <c r="F359" i="1"/>
  <c r="L210" i="1"/>
  <c r="G612" i="1"/>
  <c r="L228" i="1"/>
  <c r="F282" i="1"/>
  <c r="F330" i="1" s="1"/>
  <c r="F344" i="1" s="1"/>
  <c r="F239" i="1"/>
  <c r="H33" i="1"/>
  <c r="C101" i="2"/>
  <c r="L343" i="1"/>
  <c r="B18" i="12"/>
  <c r="A22" i="12" s="1"/>
  <c r="J239" i="1"/>
  <c r="J594" i="1" s="1"/>
  <c r="J595" i="1" s="1"/>
  <c r="H643" i="1"/>
  <c r="J643" i="1" s="1"/>
  <c r="J184" i="1"/>
  <c r="I44" i="1"/>
  <c r="H610" i="1" s="1"/>
  <c r="L269" i="1"/>
  <c r="E102" i="2" s="1"/>
  <c r="L226" i="1"/>
  <c r="C11" i="10" s="1"/>
  <c r="L203" i="1"/>
  <c r="H44" i="1"/>
  <c r="H609" i="1" s="1"/>
  <c r="J609" i="1" s="1"/>
  <c r="F33" i="1"/>
  <c r="C134" i="2"/>
  <c r="C106" i="2"/>
  <c r="D77" i="2"/>
  <c r="D83" i="2" s="1"/>
  <c r="E123" i="2"/>
  <c r="E136" i="2" s="1"/>
  <c r="K493" i="1"/>
  <c r="J104" i="1"/>
  <c r="J185" i="1" s="1"/>
  <c r="C102" i="2" l="1"/>
  <c r="J44" i="1"/>
  <c r="H611" i="1" s="1"/>
  <c r="G616" i="1"/>
  <c r="J616" i="1" s="1"/>
  <c r="F249" i="1"/>
  <c r="F263" i="1" s="1"/>
  <c r="L239" i="1"/>
  <c r="H650" i="1" s="1"/>
  <c r="H654" i="1" s="1"/>
  <c r="I651" i="1"/>
  <c r="G627" i="1"/>
  <c r="J627" i="1" s="1"/>
  <c r="H636" i="1"/>
  <c r="E33" i="13"/>
  <c r="D35" i="13" s="1"/>
  <c r="C8" i="13"/>
  <c r="H458" i="1"/>
  <c r="G619" i="1"/>
  <c r="C25" i="13"/>
  <c r="H33" i="13"/>
  <c r="J611" i="1"/>
  <c r="G636" i="1"/>
  <c r="J636" i="1" s="1"/>
  <c r="G621" i="1"/>
  <c r="J621" i="1" s="1"/>
  <c r="C104" i="2"/>
  <c r="C96" i="2"/>
  <c r="D96" i="2"/>
  <c r="L513" i="1"/>
  <c r="F541" i="1" s="1"/>
  <c r="K541" i="1" s="1"/>
  <c r="C36" i="10"/>
  <c r="F361" i="1"/>
  <c r="I359" i="1"/>
  <c r="C120" i="2"/>
  <c r="F539" i="1"/>
  <c r="L514" i="1"/>
  <c r="L535" i="1" s="1"/>
  <c r="C12" i="10"/>
  <c r="E101" i="2"/>
  <c r="E107" i="2" s="1"/>
  <c r="E137" i="2" s="1"/>
  <c r="L282" i="1"/>
  <c r="F650" i="1" s="1"/>
  <c r="C24" i="10"/>
  <c r="L320" i="1"/>
  <c r="H653" i="1"/>
  <c r="G618" i="1"/>
  <c r="G458" i="1"/>
  <c r="J607" i="1"/>
  <c r="D5" i="13"/>
  <c r="I595" i="1"/>
  <c r="G653" i="1"/>
  <c r="G654" i="1" s="1"/>
  <c r="G617" i="1"/>
  <c r="F458" i="1"/>
  <c r="C107" i="2"/>
  <c r="K594" i="1"/>
  <c r="K595" i="1" s="1"/>
  <c r="G638" i="1" s="1"/>
  <c r="J249" i="1"/>
  <c r="K581" i="1"/>
  <c r="K588" i="1" s="1"/>
  <c r="G637" i="1" s="1"/>
  <c r="J637" i="1" s="1"/>
  <c r="G462" i="1"/>
  <c r="C27" i="10"/>
  <c r="G625" i="1"/>
  <c r="C10" i="10"/>
  <c r="C13" i="10"/>
  <c r="I650" i="1" l="1"/>
  <c r="F654" i="1"/>
  <c r="G662" i="1"/>
  <c r="C5" i="10" s="1"/>
  <c r="G657" i="1"/>
  <c r="C5" i="13"/>
  <c r="F542" i="1"/>
  <c r="K539" i="1"/>
  <c r="K542" i="1" s="1"/>
  <c r="H662" i="1"/>
  <c r="C6" i="10" s="1"/>
  <c r="H657" i="1"/>
  <c r="H638" i="1"/>
  <c r="J263" i="1"/>
  <c r="J618" i="1"/>
  <c r="I361" i="1"/>
  <c r="H624" i="1" s="1"/>
  <c r="J624" i="1" s="1"/>
  <c r="D29" i="13"/>
  <c r="C29" i="13" s="1"/>
  <c r="J638" i="1"/>
  <c r="C41" i="10"/>
  <c r="L249" i="1"/>
  <c r="L263" i="1" s="1"/>
  <c r="G464" i="1"/>
  <c r="H625" i="1"/>
  <c r="J625" i="1" s="1"/>
  <c r="C137" i="2"/>
  <c r="H618" i="1"/>
  <c r="G460" i="1"/>
  <c r="F460" i="1"/>
  <c r="H617" i="1"/>
  <c r="L330" i="1"/>
  <c r="L344" i="1" s="1"/>
  <c r="D31" i="13"/>
  <c r="C31" i="13" s="1"/>
  <c r="J619" i="1"/>
  <c r="C28" i="10"/>
  <c r="D10" i="10"/>
  <c r="J617" i="1"/>
  <c r="H460" i="1"/>
  <c r="H619" i="1"/>
  <c r="I653" i="1"/>
  <c r="D22" i="10" l="1"/>
  <c r="C30" i="10"/>
  <c r="D26" i="10"/>
  <c r="D23" i="10"/>
  <c r="D11" i="10"/>
  <c r="D28" i="10" s="1"/>
  <c r="D21" i="10"/>
  <c r="D25" i="10"/>
  <c r="D18" i="10"/>
  <c r="D20" i="10"/>
  <c r="D16" i="10"/>
  <c r="D17" i="10"/>
  <c r="D15" i="10"/>
  <c r="D19" i="10"/>
  <c r="G622" i="1"/>
  <c r="F462" i="1"/>
  <c r="D40" i="10"/>
  <c r="D37" i="10"/>
  <c r="D35" i="10"/>
  <c r="D39" i="10"/>
  <c r="D38" i="10"/>
  <c r="D27" i="10"/>
  <c r="H462" i="1"/>
  <c r="G623" i="1"/>
  <c r="D36" i="10"/>
  <c r="D33" i="13"/>
  <c r="D36" i="13" s="1"/>
  <c r="D12" i="10"/>
  <c r="D13" i="10"/>
  <c r="G466" i="1"/>
  <c r="H613" i="1" s="1"/>
  <c r="J613" i="1" s="1"/>
  <c r="F662" i="1"/>
  <c r="C4" i="10" s="1"/>
  <c r="F657" i="1"/>
  <c r="D24" i="10"/>
  <c r="I654" i="1"/>
  <c r="I662" i="1" l="1"/>
  <c r="C7" i="10" s="1"/>
  <c r="I657" i="1"/>
  <c r="D41" i="10"/>
  <c r="H623" i="1"/>
  <c r="J623" i="1" s="1"/>
  <c r="H464" i="1"/>
  <c r="H466" i="1" s="1"/>
  <c r="H614" i="1" s="1"/>
  <c r="J614" i="1" s="1"/>
  <c r="H622" i="1"/>
  <c r="F464" i="1"/>
  <c r="F466" i="1" s="1"/>
  <c r="H612" i="1" s="1"/>
  <c r="J612" i="1" s="1"/>
  <c r="J622" i="1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4E74356-0276-4FA2-BB14-B2CBFC62144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384B608-4816-49EE-B9AC-E1C2F44DD1B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81813E6-2E0C-4DE3-B50F-67E9B68DE26F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D16CF7E-8206-4B0E-A29E-7BB5168B2D4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C15936F-3AA8-4894-9AB7-12D2A17C056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3643214-950E-4FCB-838C-8E0D0815192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69858C6-6070-4181-A9D2-E8FA0B692B09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67A983D-DDA9-4B30-A666-4CA28A0416F7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A503A08-8A70-400C-98FF-A27F463DE19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5D39C9C-B77E-48C1-927A-5DE0FADAB1E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90DB96B-3F46-4FAC-AA59-1042116302A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16E3DBCE-4CB6-4A5E-8A9D-7807D0AC7EE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<sst xmlns="http://schemas.openxmlformats.org/spreadsheetml/2006/main" count="3862" uniqueCount="899">
  <si>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</si>
  <si>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</si>
  <si>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</si>
  <si>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</si>
  <si>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</si>
  <si>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</si>
  <si>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</si>
  <si>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</si>
  <si>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</si>
  <si>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</si>
  <si>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</si>
  <si>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</si>
  <si>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</si>
  <si>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</si>
  <si>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</si>
  <si>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</si>
  <si>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</si>
  <si>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</si>
  <si>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</si>
  <si>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</si>
  <si>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</si>
  <si>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</si>
  <si>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</si>
  <si>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</si>
  <si>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</si>
  <si>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</si>
  <si>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</si>
  <si>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</si>
  <si>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</si>
  <si>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</si>
  <si>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</si>
  <si>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</si>
  <si>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</si>
  <si>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</si>
  <si>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</si>
  <si>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</si>
  <si>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</si>
  <si>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</si>
  <si>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</si>
  <si>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</si>
  <si>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</si>
  <si>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</si>
  <si>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</si>
  <si>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</si>
  <si>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</si>
  <si>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</si>
  <si>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</si>
  <si>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</si>
  <si>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</si>
  <si>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</si>
  <si>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</si>
  <si>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</si>
  <si>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</si>
  <si>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</si>
  <si>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</si>
  <si>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</si>
  <si>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</si>
  <si>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</si>
  <si>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</si>
  <si>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</si>
  <si>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</si>
  <si>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</si>
  <si>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</si>
  <si>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</si>
  <si>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</si>
  <si>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</si>
  <si>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</si>
  <si>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</si>
  <si>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</si>
  <si>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</si>
  <si>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</si>
  <si>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</si>
  <si>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</si>
  <si>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</si>
  <si>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</si>
  <si>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</si>
  <si>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</si>
  <si>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</si>
  <si>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</si>
  <si>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</si>
  <si>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</si>
  <si>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</si>
  <si>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</si>
  <si>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</si>
  <si>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</si>
  <si>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</si>
  <si>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</si>
  <si>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</si>
  <si>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</si>
  <si>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</si>
  <si>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</si>
  <si>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</si>
  <si>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</si>
  <si>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</si>
  <si>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</si>
  <si>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</si>
  <si>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</si>
  <si>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</si>
  <si>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</si>
  <si>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</si>
  <si>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</si>
  <si>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</si>
  <si>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</si>
  <si>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</si>
  <si>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</si>
  <si>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</si>
  <si>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</si>
  <si>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</si>
  <si>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</si>
  <si>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</si>
  <si>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</si>
  <si>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</si>
  <si>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</si>
  <si>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</si>
  <si>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</si>
  <si>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</si>
  <si>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</si>
  <si>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</si>
  <si>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</si>
  <si>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</si>
  <si>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</si>
  <si>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</si>
  <si>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</si>
  <si>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</si>
  <si>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</si>
  <si>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</si>
  <si>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</si>
  <si>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</si>
  <si>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</si>
  <si>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</si>
  <si>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</si>
  <si>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</si>
  <si>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</si>
  <si>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</si>
  <si>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</si>
  <si>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</si>
  <si>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</si>
  <si>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</si>
  <si>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</si>
  <si>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</si>
  <si>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</si>
  <si>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</si>
  <si>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</si>
  <si>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</si>
  <si>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</si>
  <si>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</si>
  <si>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</si>
  <si>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</si>
  <si>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</si>
  <si>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</si>
  <si>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</si>
  <si>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</si>
  <si>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</si>
  <si>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</si>
  <si>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</si>
  <si>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</si>
  <si>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</si>
  <si>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</si>
  <si>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</si>
  <si>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</si>
  <si>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</si>
  <si>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</si>
  <si>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</si>
  <si>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</si>
  <si>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</si>
  <si>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</si>
  <si>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</si>
  <si>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</si>
  <si>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</si>
  <si>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</si>
  <si>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</si>
  <si>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</si>
  <si>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</si>
  <si>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</si>
  <si>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</si>
  <si>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</si>
  <si>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</si>
  <si>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</si>
  <si>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</si>
  <si>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</si>
  <si>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</si>
  <si>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</si>
  <si>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</si>
  <si>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</si>
  <si>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</si>
  <si>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</si>
  <si>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</si>
  <si>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</si>
  <si>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</si>
  <si>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</si>
  <si>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</si>
  <si>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</si>
  <si>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</si>
  <si>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</si>
  <si>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</si>
  <si>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</si>
  <si>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</si>
  <si>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</si>
  <si>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</si>
  <si>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</si>
  <si>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</si>
  <si>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</si>
  <si>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</si>
  <si>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</si>
  <si>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</si>
  <si>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</si>
  <si>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</si>
  <si>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</si>
  <si>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</si>
  <si>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</si>
  <si>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</si>
  <si>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</si>
  <si>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</si>
  <si>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</si>
  <si>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</si>
  <si>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</si>
  <si>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</si>
  <si>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</si>
  <si>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</si>
  <si>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</si>
  <si>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</si>
  <si>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</si>
  <si>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</si>
  <si>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</si>
  <si>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</si>
  <si>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</si>
  <si>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</si>
  <si>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</si>
  <si>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</si>
  <si>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</si>
  <si>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</si>
  <si>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</si>
  <si>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</si>
  <si>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</si>
  <si>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</si>
  <si>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</si>
  <si>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</si>
  <si>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</si>
  <si>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</si>
  <si>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</si>
  <si>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</si>
  <si>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</si>
  <si>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</si>
  <si>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</si>
  <si>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</si>
  <si>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</si>
  <si>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</si>
  <si>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</si>
  <si>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</si>
  <si>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</si>
  <si>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</si>
  <si>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</si>
  <si>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</si>
  <si>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</si>
  <si>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</si>
  <si>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</si>
  <si>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</si>
  <si>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</si>
  <si>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</si>
  <si>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</si>
  <si>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</si>
  <si>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</si>
  <si>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</si>
  <si>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</si>
  <si>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</si>
  <si>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</si>
  <si>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</si>
  <si>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</si>
  <si>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</si>
  <si>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</si>
  <si>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</si>
  <si>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</si>
  <si>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</si>
  <si>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</si>
  <si>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</si>
  <si>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</si>
  <si>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</si>
  <si>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</si>
  <si>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</si>
  <si>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</si>
  <si>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</si>
  <si>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</si>
  <si>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</si>
  <si>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</si>
  <si>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</si>
  <si>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</si>
  <si>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</si>
  <si>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</si>
  <si>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</si>
  <si>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</si>
  <si>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</si>
  <si>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</si>
  <si>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</si>
  <si>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</si>
  <si>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</si>
  <si>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</si>
  <si>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</si>
  <si>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</si>
  <si>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</si>
  <si>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</si>
  <si>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</si>
  <si>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</si>
  <si>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</si>
  <si>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</si>
  <si>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</si>
  <si>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</si>
  <si>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</si>
  <si>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</si>
  <si>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</si>
  <si>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</si>
  <si>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</si>
  <si>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</si>
  <si>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</si>
  <si>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</si>
  <si>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</si>
  <si>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</si>
  <si>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</si>
  <si>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</si>
  <si>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</si>
  <si>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</si>
  <si>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</si>
  <si>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</si>
  <si>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</si>
  <si>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</si>
  <si>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</si>
  <si>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</si>
  <si>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</si>
  <si>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</si>
  <si>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</si>
  <si>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</si>
  <si>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</si>
  <si>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</si>
  <si>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</si>
  <si>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</si>
  <si>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</si>
  <si>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</si>
  <si>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</si>
  <si>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</si>
  <si>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</si>
  <si>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</si>
  <si>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</si>
  <si>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</si>
  <si>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</si>
  <si>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</si>
  <si>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</si>
  <si>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</si>
  <si>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</si>
  <si>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</si>
  <si>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</si>
  <si>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</si>
  <si>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</si>
  <si>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</si>
  <si>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</si>
  <si>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</si>
  <si>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</si>
  <si>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</si>
  <si>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</si>
  <si>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</si>
  <si>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</si>
  <si>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</si>
  <si>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</si>
  <si>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</si>
  <si>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</si>
  <si>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</si>
  <si>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</si>
  <si>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</si>
  <si>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</si>
  <si>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</si>
  <si>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</si>
  <si>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</si>
  <si>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</si>
  <si>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</si>
  <si>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</si>
  <si>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</si>
  <si>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</si>
  <si>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</si>
  <si>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</si>
  <si>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</si>
  <si>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</si>
  <si>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</si>
  <si>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</si>
  <si>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</si>
  <si>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</si>
  <si>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</si>
  <si>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</si>
  <si>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</si>
  <si>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</si>
  <si>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</si>
  <si>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</si>
  <si>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</si>
  <si>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</si>
  <si>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</si>
  <si>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</si>
  <si>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</si>
  <si>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</si>
  <si>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</si>
  <si>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</si>
  <si>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</si>
  <si>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</si>
  <si>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</si>
  <si>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</si>
  <si>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</si>
  <si>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</si>
  <si>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</si>
  <si>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</si>
  <si>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</si>
  <si>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</si>
  <si>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</si>
  <si>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</si>
  <si>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</si>
  <si>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</si>
  <si>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</si>
  <si>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</si>
  <si>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</si>
  <si>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</si>
  <si>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</si>
  <si>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</si>
  <si>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</si>
  <si>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</si>
  <si>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</si>
  <si>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</si>
  <si>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</si>
  <si>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</si>
  <si>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</si>
  <si>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</si>
  <si>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</si>
  <si>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</si>
  <si>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</si>
  <si>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</si>
  <si>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</si>
  <si>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</si>
  <si>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</si>
  <si>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</si>
  <si>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</si>
  <si>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</si>
  <si>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</si>
  <si>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</si>
  <si>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</si>
  <si>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</si>
  <si>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</si>
  <si>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</si>
  <si>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</si>
  <si>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</si>
  <si>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</si>
  <si>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</si>
  <si>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</si>
  <si>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</si>
  <si>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</si>
  <si>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</si>
  <si>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</si>
  <si>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</si>
  <si>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</si>
  <si>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</si>
  <si>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</si>
  <si>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</si>
  <si>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</si>
  <si>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</si>
  <si>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</si>
  <si>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</si>
  <si>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</si>
  <si>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</si>
  <si>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</si>
  <si>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</si>
  <si>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</si>
  <si>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</si>
  <si>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</si>
  <si>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</si>
  <si>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</si>
  <si>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</si>
  <si>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</si>
  <si>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</si>
  <si>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</si>
  <si>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</si>
  <si>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</si>
  <si>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</si>
  <si>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</si>
  <si>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</si>
  <si>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</si>
  <si>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</si>
  <si>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</si>
  <si>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</si>
  <si>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</si>
  <si>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</si>
  <si>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</si>
  <si>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</si>
  <si>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</si>
  <si>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</si>
  <si>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</si>
  <si>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</si>
  <si>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</si>
  <si>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</si>
  <si>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</si>
  <si>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</si>
  <si>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</si>
  <si>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</si>
  <si>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</si>
  <si>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</si>
  <si>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</si>
  <si>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</si>
  <si>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</si>
  <si>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</si>
  <si>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</si>
  <si>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</si>
  <si>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</si>
  <si>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</si>
  <si>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</si>
  <si>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</si>
  <si>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</si>
  <si>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</si>
  <si>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</si>
  <si>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</si>
  <si>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</si>
  <si>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</si>
  <si>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</si>
  <si>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</si>
  <si>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</si>
  <si>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</si>
  <si>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</si>
  <si>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</si>
  <si>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</si>
  <si>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</si>
  <si>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</si>
  <si>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</si>
  <si>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</si>
  <si>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</si>
  <si>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</si>
  <si>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</si>
  <si>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</si>
  <si>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</si>
  <si>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</si>
  <si>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</si>
  <si>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</si>
  <si>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</si>
  <si>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</si>
  <si>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</si>
  <si>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</si>
  <si>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</si>
  <si>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</si>
  <si>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</si>
  <si>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</si>
  <si>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</si>
  <si>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</si>
  <si>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</si>
  <si>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</si>
  <si>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</si>
  <si>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</si>
  <si>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</si>
  <si>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</si>
  <si>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</si>
  <si>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</si>
  <si>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</si>
  <si>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</si>
  <si>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</si>
  <si>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</si>
  <si>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</si>
  <si>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</si>
  <si>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</si>
  <si>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</si>
  <si>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</si>
  <si>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</si>
  <si>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</si>
  <si>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</si>
  <si>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</si>
  <si>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</si>
  <si>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</si>
  <si>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</si>
  <si>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</si>
  <si>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</si>
  <si>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</si>
  <si>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</si>
  <si>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</si>
  <si>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</si>
  <si>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</si>
  <si>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</si>
  <si>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</si>
  <si>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</si>
  <si>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</si>
  <si>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</si>
  <si>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</si>
  <si>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</si>
  <si>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</si>
  <si>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</si>
  <si>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</si>
  <si>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</si>
  <si>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</si>
  <si>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</si>
  <si>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</si>
  <si>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</si>
  <si>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</si>
  <si>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</si>
  <si>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</si>
  <si>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</si>
  <si>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</si>
  <si>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</si>
  <si>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</si>
  <si>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</si>
  <si>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</si>
  <si>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</si>
  <si>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</si>
  <si>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</si>
  <si>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</si>
  <si>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</si>
  <si>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</si>
  <si>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</si>
  <si>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</si>
  <si>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</si>
  <si>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</si>
  <si>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</si>
  <si>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</si>
  <si>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</si>
  <si>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</si>
  <si>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</si>
  <si>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</si>
  <si>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</si>
  <si>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</si>
  <si>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</si>
  <si>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</si>
  <si>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</si>
  <si>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</si>
  <si>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</si>
  <si>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</si>
  <si>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</si>
  <si>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</si>
  <si>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</si>
  <si>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</si>
  <si>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</si>
  <si>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</si>
  <si>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</si>
  <si>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</si>
  <si>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</si>
  <si>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</si>
  <si>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</si>
  <si>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</si>
  <si>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</si>
  <si>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</si>
  <si>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</si>
  <si>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</si>
  <si>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</si>
  <si>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</si>
  <si>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</si>
  <si>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</si>
  <si>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</si>
  <si>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</si>
  <si>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</si>
  <si>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</si>
  <si>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</si>
  <si>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</si>
  <si>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</si>
  <si>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</si>
  <si>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</si>
  <si>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</si>
  <si>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</si>
  <si>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</si>
  <si>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</si>
  <si>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</si>
  <si>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</si>
  <si>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</si>
  <si>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</si>
  <si>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</si>
  <si>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</si>
  <si>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</si>
  <si>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</si>
  <si>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</si>
  <si>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</si>
  <si>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</si>
  <si>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</si>
  <si>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</si>
  <si>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</si>
  <si>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</si>
  <si>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</si>
  <si>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</si>
  <si>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</si>
  <si>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</si>
  <si>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</si>
  <si>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</si>
  <si>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</si>
  <si>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</si>
  <si>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</si>
  <si>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</si>
  <si>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</si>
  <si>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</si>
  <si>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</si>
  <si>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</si>
  <si>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</si>
  <si>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</si>
  <si>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</si>
  <si>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</si>
  <si>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</si>
  <si>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</si>
  <si>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</si>
  <si>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</si>
  <si>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</si>
  <si>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</si>
  <si>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</si>
  <si>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</si>
  <si>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</si>
  <si>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</si>
  <si>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</si>
  <si>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</si>
  <si>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</si>
  <si>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</si>
  <si>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</si>
  <si>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</si>
  <si>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</si>
  <si>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</si>
  <si>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</si>
  <si>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</si>
  <si>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</si>
  <si>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</si>
  <si>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</si>
  <si>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</si>
  <si>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</si>
  <si>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</si>
  <si>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</si>
  <si>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</si>
  <si>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</si>
  <si>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</si>
  <si>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</si>
  <si>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</si>
  <si>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</si>
  <si>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</si>
  <si>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</si>
  <si>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</si>
  <si>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</si>
  <si>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</si>
  <si>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</si>
  <si>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</si>
  <si>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</si>
  <si>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</si>
  <si>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</si>
  <si>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</si>
  <si>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</si>
  <si>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</si>
  <si>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</si>
  <si>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</si>
  <si>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</si>
  <si>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</si>
  <si>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</si>
  <si>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</si>
  <si>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</si>
  <si>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</si>
  <si>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</si>
  <si>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</si>
  <si>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</si>
  <si>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</si>
  <si>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</si>
  <si>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</si>
  <si>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</si>
  <si>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</si>
  <si>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</si>
  <si>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</si>
  <si>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</si>
  <si>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</si>
  <si>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</si>
  <si>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</si>
  <si>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</si>
  <si>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</si>
  <si>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</si>
  <si>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</si>
  <si>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</si>
  <si>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</si>
  <si>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</si>
  <si>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</si>
  <si>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</si>
  <si>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</si>
  <si>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</si>
  <si>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</si>
  <si>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</si>
  <si>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</si>
  <si>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</si>
  <si>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</si>
  <si>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</si>
  <si>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</si>
  <si>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</si>
  <si>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</si>
  <si>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</si>
  <si>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</si>
  <si>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</si>
  <si>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</si>
  <si>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</si>
  <si>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</si>
  <si>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</si>
  <si>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</si>
  <si>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</si>
  <si>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</si>
  <si>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</si>
  <si>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</si>
  <si>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</si>
  <si>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</si>
  <si>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</si>
  <si>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</si>
  <si>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</si>
  <si>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</si>
  <si>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</si>
  <si>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</si>
  <si>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</si>
  <si>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</si>
  <si>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</si>
  <si>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</si>
  <si>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</si>
  <si>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</si>
  <si>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</si>
  <si>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</si>
  <si>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</si>
  <si>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</si>
  <si>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</si>
  <si>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</si>
  <si>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</si>
  <si>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</si>
  <si>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</si>
  <si>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</si>
  <si>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</si>
  <si>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</si>
  <si>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</si>
  <si>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</si>
  <si>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</si>
  <si>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</si>
  <si>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</si>
  <si>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</si>
  <si>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</si>
  <si>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</si>
  <si>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</si>
  <si>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</si>
  <si>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</si>
  <si>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</si>
  <si>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</si>
  <si>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</si>
  <si>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</si>
  <si>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</si>
  <si>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</si>
  <si>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</si>
  <si>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</si>
  <si>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</si>
  <si>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</si>
  <si>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</si>
  <si>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</si>
  <si>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</si>
  <si>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</si>
  <si>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</si>
  <si>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</si>
  <si>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</si>
  <si>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</si>
  <si>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</si>
  <si>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</si>
  <si>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</si>
  <si>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</si>
  <si>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</si>
  <si>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</si>
  <si>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</si>
  <si>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</si>
  <si>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</si>
  <si>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</si>
  <si>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</si>
  <si>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</si>
  <si>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</si>
  <si>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</si>
  <si>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</si>
  <si>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</si>
  <si>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</si>
  <si>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</si>
  <si>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</si>
  <si>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</si>
  <si>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</si>
  <si>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</si>
  <si>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</si>
  <si>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</si>
  <si>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</si>
  <si>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</si>
  <si>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</si>
  <si>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</si>
  <si>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</si>
  <si>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</si>
  <si>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</si>
  <si>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</si>
  <si>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</si>
  <si>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</si>
  <si>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</si>
  <si>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</si>
  <si>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</si>
  <si>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</si>
  <si>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</si>
  <si>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</si>
  <si>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</si>
  <si>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</si>
  <si>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</si>
  <si>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</si>
  <si>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</si>
  <si>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</si>
  <si>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</si>
  <si>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</si>
  <si>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</si>
  <si>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</si>
  <si>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</si>
  <si>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</si>
  <si>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08/95</t>
  </si>
  <si>
    <t>08/15</t>
  </si>
  <si>
    <t>Claremont SD</t>
  </si>
  <si>
    <t>Revenue from Day Care program</t>
  </si>
  <si>
    <t>Revenue from EdJobs - Competitve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</si>
</sst>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73DB-1BBF-4D85-985D-1D32031CB60F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101</v>
      </c>
      <c r="C2" s="21">
        <v>101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-1037102+200+477379</f>
        <v>-559523</v>
      </c>
      <c r="G9" s="18"/>
      <c r="H9" s="18">
        <v>54715</v>
      </c>
      <c r="I9" s="18"/>
      <c r="J9" s="67">
        <f>SUM(I431)</f>
        <v>186163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637125+8000+126658</f>
        <v>771783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138331</f>
        <v>138331</v>
      </c>
      <c r="G13" s="18">
        <f>847+96436</f>
        <v>97283</v>
      </c>
      <c r="H13" s="18">
        <f>33063+446972-50</f>
        <v>479985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>
        <v>1681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173843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524434</v>
      </c>
      <c r="G19" s="41">
        <f>SUM(G9:G18)</f>
        <v>97283</v>
      </c>
      <c r="H19" s="41">
        <f>SUM(H9:H18)</f>
        <v>536381</v>
      </c>
      <c r="I19" s="41">
        <f>SUM(I9:I18)</f>
        <v>0</v>
      </c>
      <c r="J19" s="41">
        <f>SUM(J9:J18)</f>
        <v>186163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191209+27732+19496+19315</f>
        <v>257752</v>
      </c>
      <c r="G23" s="18">
        <v>20633</v>
      </c>
      <c r="H23" s="18">
        <f>23731+47705+16714+14770-1030-18758+776589-1162-365392</f>
        <v>493167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f>3417+4682</f>
        <v>8099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150</v>
      </c>
      <c r="G25" s="18">
        <v>377</v>
      </c>
      <c r="H25" s="18">
        <v>2012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1745</f>
        <v>1745</v>
      </c>
      <c r="G30" s="18"/>
      <c r="H30" s="18">
        <f>16+344+56+349</f>
        <v>765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f>106+787-207</f>
        <v>686</v>
      </c>
      <c r="G32" s="18"/>
      <c r="H32" s="18">
        <f>4199+69+420092</f>
        <v>424360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260333</v>
      </c>
      <c r="G33" s="41">
        <f>SUM(G23:G32)</f>
        <v>29109</v>
      </c>
      <c r="H33" s="41">
        <f>SUM(H23:H32)</f>
        <v>920304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30285+34848+27947</f>
        <v>93080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93019-24845</f>
        <v>68174</v>
      </c>
      <c r="H41" s="18">
        <f>-23731-54329-16714-14770+1030+33063+1681+18742-780688+4043+813+446972-35</f>
        <v>-383923</v>
      </c>
      <c r="I41" s="18"/>
      <c r="J41" s="13">
        <f>SUM(I449)</f>
        <v>186163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-11295+300069+5873-27732-2814-34848-30285-27947</f>
        <v>171021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264101</v>
      </c>
      <c r="G43" s="41">
        <f>SUM(G35:G42)</f>
        <v>68174</v>
      </c>
      <c r="H43" s="41">
        <f>SUM(H35:H42)</f>
        <v>-383923</v>
      </c>
      <c r="I43" s="41">
        <f>SUM(I35:I42)</f>
        <v>0</v>
      </c>
      <c r="J43" s="41">
        <f>SUM(J35:J42)</f>
        <v>186163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524434</v>
      </c>
      <c r="G44" s="41">
        <f>G43+G33</f>
        <v>97283</v>
      </c>
      <c r="H44" s="41">
        <f>H43+H33</f>
        <v>536381</v>
      </c>
      <c r="I44" s="41">
        <f>I43+I33</f>
        <v>0</v>
      </c>
      <c r="J44" s="41">
        <f>J43+J33</f>
        <v>186163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10952934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10952934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9636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683921</f>
        <v>683921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18709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f>9993</f>
        <v>9993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f>55556</f>
        <v>55556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150788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918967</v>
      </c>
      <c r="G71" s="45" t="s">
        <v>312</v>
      </c>
      <c r="H71" s="41">
        <f>SUM(H55:H70)</f>
        <v>9636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8435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225885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v>5040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48013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-2454+133378+75</f>
        <v>130999</v>
      </c>
      <c r="G102" s="18">
        <f>4141</f>
        <v>4141</v>
      </c>
      <c r="H102" s="18">
        <f>154993+4360+51483+5308+270+795</f>
        <v>217209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187447</v>
      </c>
      <c r="G103" s="41">
        <f>SUM(G88:G102)</f>
        <v>230026</v>
      </c>
      <c r="H103" s="41">
        <f>SUM(H88:H102)</f>
        <v>222249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12059348</v>
      </c>
      <c r="G104" s="41">
        <f>G52+G103</f>
        <v>230026</v>
      </c>
      <c r="H104" s="41">
        <f>H52+H71+H86+H103</f>
        <v>231885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12055899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1846210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437264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14339373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99000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173238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9120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4382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>
        <v>4265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9511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f>32310+5000+47525+33063</f>
        <v>117898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285740</v>
      </c>
      <c r="G128" s="41">
        <f>SUM(G115:G127)</f>
        <v>9511</v>
      </c>
      <c r="H128" s="41">
        <f>SUM(H115:H127)</f>
        <v>122163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14625113</v>
      </c>
      <c r="G132" s="41">
        <f>G113+SUM(G128:G129)</f>
        <v>9511</v>
      </c>
      <c r="H132" s="41">
        <f>H113+SUM(H128:H131)</f>
        <v>122163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309556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309556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64784+2724+392991+144113+224205+39797</f>
        <v>868614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102002+41743+73466+60615+9800+4326</f>
        <v>291952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11107+65937+6209</f>
        <v>83253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f>2404+52613+49546-3801</f>
        <v>100762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303824+10358+93019</f>
        <v>407201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437848+13696+13984+187103+1512+235+39989+34078</f>
        <v>728445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282411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f>166403+8260+2000+31890+20264+3000+8421+8069+4287+5557+12594+7000+3503+823+5000+1528+13443+1959</f>
        <v>304001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282411</v>
      </c>
      <c r="G154" s="41">
        <f>SUM(G142:G153)</f>
        <v>407201</v>
      </c>
      <c r="H154" s="41">
        <f>SUM(H142:H153)</f>
        <v>2377027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591967</v>
      </c>
      <c r="G161" s="41">
        <f>G139+G154+SUM(G155:G160)</f>
        <v>407201</v>
      </c>
      <c r="H161" s="41">
        <f>H139+H154+SUM(H155:H160)</f>
        <v>2377027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>
        <v>251000</v>
      </c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251000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376748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61022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437770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437770</v>
      </c>
      <c r="G184" s="41">
        <f>G175+SUM(G180:G183)</f>
        <v>0</v>
      </c>
      <c r="H184" s="41">
        <f>+H175+SUM(H180:H183)</f>
        <v>251000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27714198</v>
      </c>
      <c r="G185" s="47">
        <f>G104+G132+G161+G184</f>
        <v>646738</v>
      </c>
      <c r="H185" s="47">
        <f>H104+H132+H161+H184</f>
        <v>2982075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99973+2618604</f>
        <v>2718577</v>
      </c>
      <c r="G189" s="18">
        <f>1209001+172316</f>
        <v>1381317</v>
      </c>
      <c r="H189" s="18">
        <f>1449+354+63524+7588+192</f>
        <v>73107</v>
      </c>
      <c r="I189" s="18">
        <f>84513+76617+135+2000</f>
        <v>163265</v>
      </c>
      <c r="J189" s="18">
        <f>35539</f>
        <v>35539</v>
      </c>
      <c r="K189" s="18">
        <v>250</v>
      </c>
      <c r="L189" s="19">
        <f>SUM(F189:K189)</f>
        <v>4372055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1672044+84928</f>
        <v>1756972</v>
      </c>
      <c r="G190" s="18">
        <f>38529+526113</f>
        <v>564642</v>
      </c>
      <c r="H190" s="18">
        <f>253832+44205+4734-69002</f>
        <v>233769</v>
      </c>
      <c r="I190" s="18">
        <f>7480+667</f>
        <v>8147</v>
      </c>
      <c r="J190" s="18">
        <f>2153</f>
        <v>2153</v>
      </c>
      <c r="K190" s="18"/>
      <c r="L190" s="19">
        <f>SUM(F190:K190)</f>
        <v>2565683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288</v>
      </c>
      <c r="G192" s="18">
        <v>48</v>
      </c>
      <c r="H192" s="18"/>
      <c r="I192" s="18">
        <v>573</v>
      </c>
      <c r="J192" s="18"/>
      <c r="K192" s="18"/>
      <c r="L192" s="19">
        <f>SUM(F192:K192)</f>
        <v>909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326642+130804</f>
        <v>457446</v>
      </c>
      <c r="G194" s="18">
        <f>119789+55937</f>
        <v>175726</v>
      </c>
      <c r="H194" s="18">
        <f>40153+2415</f>
        <v>42568</v>
      </c>
      <c r="I194" s="18">
        <f>4887</f>
        <v>4887</v>
      </c>
      <c r="J194" s="18">
        <f>547</f>
        <v>547</v>
      </c>
      <c r="K194" s="18"/>
      <c r="L194" s="19">
        <f t="shared" ref="L194:L200" si="0">SUM(F194:K194)</f>
        <v>681174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103764</f>
        <v>103764</v>
      </c>
      <c r="G195" s="18">
        <f>37403</f>
        <v>37403</v>
      </c>
      <c r="H195" s="18">
        <f>51057+17962</f>
        <v>69019</v>
      </c>
      <c r="I195" s="18">
        <f>17222+48</f>
        <v>17270</v>
      </c>
      <c r="J195" s="18">
        <f>2569+3788</f>
        <v>6357</v>
      </c>
      <c r="K195" s="18">
        <f>495</f>
        <v>495</v>
      </c>
      <c r="L195" s="19">
        <f t="shared" si="0"/>
        <v>234308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4623</f>
        <v>4623</v>
      </c>
      <c r="G196" s="18">
        <f>198</f>
        <v>198</v>
      </c>
      <c r="H196" s="18">
        <f>51176+14069+500793</f>
        <v>566038</v>
      </c>
      <c r="I196" s="18">
        <v>5951</v>
      </c>
      <c r="J196" s="18"/>
      <c r="K196" s="18"/>
      <c r="L196" s="19">
        <f t="shared" si="0"/>
        <v>576810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377779+34642</f>
        <v>412421</v>
      </c>
      <c r="G197" s="18">
        <f>26695+160239</f>
        <v>186934</v>
      </c>
      <c r="H197" s="18">
        <f>2790+536+10531</f>
        <v>13857</v>
      </c>
      <c r="I197" s="18">
        <f>7060+20</f>
        <v>7080</v>
      </c>
      <c r="J197" s="18"/>
      <c r="K197" s="18">
        <v>476</v>
      </c>
      <c r="L197" s="19">
        <f t="shared" si="0"/>
        <v>620768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192827+72079</f>
        <v>264906</v>
      </c>
      <c r="G199" s="18">
        <f>77638+19158</f>
        <v>96796</v>
      </c>
      <c r="H199" s="18">
        <f>18194+70444+21283+4233+14646+29373</f>
        <v>158173</v>
      </c>
      <c r="I199" s="18">
        <f>242707+8759+11295</f>
        <v>262761</v>
      </c>
      <c r="J199" s="18"/>
      <c r="K199" s="18"/>
      <c r="L199" s="19">
        <f t="shared" si="0"/>
        <v>782636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176936</f>
        <v>176936</v>
      </c>
      <c r="G200" s="18">
        <f>59370</f>
        <v>59370</v>
      </c>
      <c r="H200" s="18">
        <f>1724+5601+54050+5903+69002</f>
        <v>136280</v>
      </c>
      <c r="I200" s="18">
        <f>23743</f>
        <v>23743</v>
      </c>
      <c r="J200" s="18">
        <f>22953</f>
        <v>22953</v>
      </c>
      <c r="K200" s="18"/>
      <c r="L200" s="19">
        <f t="shared" si="0"/>
        <v>419282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5895933</v>
      </c>
      <c r="G203" s="41">
        <f t="shared" si="1"/>
        <v>2502434</v>
      </c>
      <c r="H203" s="41">
        <f t="shared" si="1"/>
        <v>1292811</v>
      </c>
      <c r="I203" s="41">
        <f t="shared" si="1"/>
        <v>493677</v>
      </c>
      <c r="J203" s="41">
        <f t="shared" si="1"/>
        <v>67549</v>
      </c>
      <c r="K203" s="41">
        <f t="shared" si="1"/>
        <v>1221</v>
      </c>
      <c r="L203" s="41">
        <f t="shared" si="1"/>
        <v>10253625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52356+1586994</f>
        <v>1639350</v>
      </c>
      <c r="G207" s="18">
        <f>758837+90242</f>
        <v>849079</v>
      </c>
      <c r="H207" s="18">
        <f>490+33268+3974</f>
        <v>37732</v>
      </c>
      <c r="I207" s="18">
        <f>54911+40124+2000</f>
        <v>97035</v>
      </c>
      <c r="J207" s="18">
        <f>17879</f>
        <v>17879</v>
      </c>
      <c r="K207" s="18">
        <f>1631</f>
        <v>1631</v>
      </c>
      <c r="L207" s="19">
        <f>SUM(F207:K207)</f>
        <v>2642706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659009+44477</f>
        <v>703486</v>
      </c>
      <c r="G208" s="18">
        <f>235076+20178</f>
        <v>255254</v>
      </c>
      <c r="H208" s="18">
        <f>394654+23151+2479+26983-70082</f>
        <v>377185</v>
      </c>
      <c r="I208" s="18">
        <f>4928+349</f>
        <v>5277</v>
      </c>
      <c r="J208" s="18">
        <v>5241</v>
      </c>
      <c r="K208" s="18"/>
      <c r="L208" s="19">
        <f>SUM(F208:K208)</f>
        <v>1346443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f>223417</f>
        <v>223417</v>
      </c>
      <c r="G209" s="18">
        <f>111949</f>
        <v>111949</v>
      </c>
      <c r="H209" s="18">
        <f>494</f>
        <v>494</v>
      </c>
      <c r="I209" s="18">
        <f>11413</f>
        <v>11413</v>
      </c>
      <c r="J209" s="18">
        <f>811</f>
        <v>811</v>
      </c>
      <c r="K209" s="18"/>
      <c r="L209" s="19">
        <f>SUM(F209:K209)</f>
        <v>348084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60392</f>
        <v>60392</v>
      </c>
      <c r="G210" s="18">
        <f>7330</f>
        <v>7330</v>
      </c>
      <c r="H210" s="18">
        <f>9401+3000</f>
        <v>12401</v>
      </c>
      <c r="I210" s="18">
        <f>4635</f>
        <v>4635</v>
      </c>
      <c r="J210" s="18">
        <f>3709</f>
        <v>3709</v>
      </c>
      <c r="K210" s="18"/>
      <c r="L210" s="19">
        <f>SUM(F210:K210)</f>
        <v>88467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164847+68502</f>
        <v>233349</v>
      </c>
      <c r="G212" s="18">
        <f>82237+29294</f>
        <v>111531</v>
      </c>
      <c r="H212" s="18">
        <f>21028+1265</f>
        <v>22293</v>
      </c>
      <c r="I212" s="18">
        <f>2167</f>
        <v>2167</v>
      </c>
      <c r="J212" s="18">
        <f>182</f>
        <v>182</v>
      </c>
      <c r="K212" s="18"/>
      <c r="L212" s="19">
        <f t="shared" ref="L212:L218" si="2">SUM(F212:K212)</f>
        <v>369522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47798</f>
        <v>47798</v>
      </c>
      <c r="G213" s="18">
        <f>23727</f>
        <v>23727</v>
      </c>
      <c r="H213" s="18">
        <f>26739+9407</f>
        <v>36146</v>
      </c>
      <c r="I213" s="18">
        <f>8202+25</f>
        <v>8227</v>
      </c>
      <c r="J213" s="18">
        <f>1984</f>
        <v>1984</v>
      </c>
      <c r="K213" s="18"/>
      <c r="L213" s="19">
        <f t="shared" si="2"/>
        <v>117882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2421</f>
        <v>2421</v>
      </c>
      <c r="G214" s="18">
        <f>104</f>
        <v>104</v>
      </c>
      <c r="H214" s="18">
        <f>26801+7368+262266</f>
        <v>296435</v>
      </c>
      <c r="I214" s="18">
        <v>3116</v>
      </c>
      <c r="J214" s="18"/>
      <c r="K214" s="18"/>
      <c r="L214" s="19">
        <f t="shared" si="2"/>
        <v>302076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218070+18142</f>
        <v>236212</v>
      </c>
      <c r="G215" s="18">
        <f>13981+65747</f>
        <v>79728</v>
      </c>
      <c r="H215" s="18">
        <f>6825+1461+281</f>
        <v>8567</v>
      </c>
      <c r="I215" s="18">
        <f>1988+11</f>
        <v>1999</v>
      </c>
      <c r="J215" s="18"/>
      <c r="K215" s="18"/>
      <c r="L215" s="19">
        <f t="shared" si="2"/>
        <v>326506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118329+41761</f>
        <v>160090</v>
      </c>
      <c r="G217" s="18">
        <f>55308+11100</f>
        <v>66408</v>
      </c>
      <c r="H217" s="18">
        <f>25865+462488+9513+2453+8486+17018</f>
        <v>525823</v>
      </c>
      <c r="I217" s="18">
        <f>163580+5075</f>
        <v>168655</v>
      </c>
      <c r="J217" s="18"/>
      <c r="K217" s="18"/>
      <c r="L217" s="19">
        <f t="shared" si="2"/>
        <v>920976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92662</f>
        <v>92662</v>
      </c>
      <c r="G218" s="18">
        <f>635+31092</f>
        <v>31727</v>
      </c>
      <c r="H218" s="18">
        <f>2933+28306+3091+35216+70082</f>
        <v>139628</v>
      </c>
      <c r="I218" s="18">
        <v>12434</v>
      </c>
      <c r="J218" s="18">
        <f>12020</f>
        <v>12020</v>
      </c>
      <c r="K218" s="18"/>
      <c r="L218" s="19">
        <f t="shared" si="2"/>
        <v>288471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3399177</v>
      </c>
      <c r="G221" s="41">
        <f>SUM(G207:G220)</f>
        <v>1536837</v>
      </c>
      <c r="H221" s="41">
        <f>SUM(H207:H220)</f>
        <v>1456704</v>
      </c>
      <c r="I221" s="41">
        <f>SUM(I207:I220)</f>
        <v>314958</v>
      </c>
      <c r="J221" s="41">
        <f>SUM(J207:J220)</f>
        <v>41826</v>
      </c>
      <c r="K221" s="41">
        <f t="shared" si="3"/>
        <v>1631</v>
      </c>
      <c r="L221" s="41">
        <f t="shared" si="3"/>
        <v>6751133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2034020+67702</f>
        <v>2101722</v>
      </c>
      <c r="G225" s="18">
        <f>971855+116693</f>
        <v>1088548</v>
      </c>
      <c r="H225" s="18">
        <f>125020+14468+82+43018+5138</f>
        <v>187726</v>
      </c>
      <c r="I225" s="18">
        <f>85187+51885+2983</f>
        <v>140055</v>
      </c>
      <c r="J225" s="18">
        <f>24159</f>
        <v>24159</v>
      </c>
      <c r="K225" s="18">
        <v>16252</v>
      </c>
      <c r="L225" s="19">
        <f>SUM(F225:K225)</f>
        <v>3558462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566258+57514</f>
        <v>623772</v>
      </c>
      <c r="G226" s="18">
        <f>225940+26092</f>
        <v>252032</v>
      </c>
      <c r="H226" s="18">
        <f>892211-27+29936+3206-108178</f>
        <v>817148</v>
      </c>
      <c r="I226" s="18">
        <f>5808+451+423</f>
        <v>6682</v>
      </c>
      <c r="J226" s="18">
        <f>1610</f>
        <v>1610</v>
      </c>
      <c r="K226" s="18"/>
      <c r="L226" s="19">
        <f>SUM(F226:K226)</f>
        <v>1701244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767964</f>
        <v>767964</v>
      </c>
      <c r="G227" s="18">
        <f>355275</f>
        <v>355275</v>
      </c>
      <c r="H227" s="18">
        <f>4898+7707+3990</f>
        <v>16595</v>
      </c>
      <c r="I227" s="18">
        <f>55330</f>
        <v>55330</v>
      </c>
      <c r="J227" s="18">
        <f>6074</f>
        <v>6074</v>
      </c>
      <c r="K227" s="18"/>
      <c r="L227" s="19">
        <f>SUM(F227:K227)</f>
        <v>1201238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181840</f>
        <v>181840</v>
      </c>
      <c r="G228" s="18">
        <f>47963</f>
        <v>47963</v>
      </c>
      <c r="H228" s="18">
        <f>70904+7348+177</f>
        <v>78429</v>
      </c>
      <c r="I228" s="18">
        <f>20063</f>
        <v>20063</v>
      </c>
      <c r="J228" s="18">
        <f>13877</f>
        <v>13877</v>
      </c>
      <c r="K228" s="18">
        <f>8082</f>
        <v>8082</v>
      </c>
      <c r="L228" s="19">
        <f>SUM(F228:K228)</f>
        <v>350254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293159+88580</f>
        <v>381739</v>
      </c>
      <c r="G230" s="18">
        <f>108424+37880</f>
        <v>146304</v>
      </c>
      <c r="H230" s="18">
        <f>10076+122+27192+1635</f>
        <v>39025</v>
      </c>
      <c r="I230" s="18">
        <f>4395</f>
        <v>4395</v>
      </c>
      <c r="J230" s="18">
        <f>3015</f>
        <v>3015</v>
      </c>
      <c r="K230" s="18">
        <f>2163</f>
        <v>2163</v>
      </c>
      <c r="L230" s="19">
        <f t="shared" ref="L230:L236" si="4">SUM(F230:K230)</f>
        <v>576641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63093</f>
        <v>63093</v>
      </c>
      <c r="G231" s="18">
        <f>26418</f>
        <v>26418</v>
      </c>
      <c r="H231" s="18">
        <f>450+21333+34576+12164</f>
        <v>68523</v>
      </c>
      <c r="I231" s="18">
        <v>32</v>
      </c>
      <c r="J231" s="18">
        <f>387+2565</f>
        <v>2952</v>
      </c>
      <c r="K231" s="18"/>
      <c r="L231" s="19">
        <f t="shared" si="4"/>
        <v>161018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3131</f>
        <v>3131</v>
      </c>
      <c r="G232" s="18">
        <v>134</v>
      </c>
      <c r="H232" s="18">
        <f>34657+9527+339137</f>
        <v>383321</v>
      </c>
      <c r="I232" s="18">
        <f>27+4030</f>
        <v>4057</v>
      </c>
      <c r="J232" s="18"/>
      <c r="K232" s="18"/>
      <c r="L232" s="19">
        <f t="shared" si="4"/>
        <v>390643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425525+23460</f>
        <v>448985</v>
      </c>
      <c r="G233" s="18">
        <f>151144+18078</f>
        <v>169222</v>
      </c>
      <c r="H233" s="18">
        <f>397+21236+1889+363</f>
        <v>23885</v>
      </c>
      <c r="I233" s="18">
        <f>9076+14</f>
        <v>9090</v>
      </c>
      <c r="J233" s="18">
        <v>299</v>
      </c>
      <c r="K233" s="18">
        <v>2995</v>
      </c>
      <c r="L233" s="19">
        <f t="shared" si="4"/>
        <v>654476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224763+117564</f>
        <v>342327</v>
      </c>
      <c r="G235" s="18">
        <f>80975+31248</f>
        <v>112223</v>
      </c>
      <c r="H235" s="18">
        <f>21790+63044+15998+6904+23888+47909</f>
        <v>179533</v>
      </c>
      <c r="I235" s="18">
        <f>299900+14286</f>
        <v>314186</v>
      </c>
      <c r="J235" s="18"/>
      <c r="K235" s="18"/>
      <c r="L235" s="19">
        <f t="shared" si="4"/>
        <v>948269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119822</v>
      </c>
      <c r="G236" s="18">
        <f>2097+40206</f>
        <v>42303</v>
      </c>
      <c r="H236" s="18">
        <f>55012+3793+36602+3997+108178</f>
        <v>207582</v>
      </c>
      <c r="I236" s="18">
        <f>16078</f>
        <v>16078</v>
      </c>
      <c r="J236" s="18">
        <f>15544</f>
        <v>15544</v>
      </c>
      <c r="K236" s="18"/>
      <c r="L236" s="19">
        <f t="shared" si="4"/>
        <v>401329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5034395</v>
      </c>
      <c r="G239" s="41">
        <f t="shared" si="5"/>
        <v>2240422</v>
      </c>
      <c r="H239" s="41">
        <f t="shared" si="5"/>
        <v>2001767</v>
      </c>
      <c r="I239" s="41">
        <f t="shared" si="5"/>
        <v>569968</v>
      </c>
      <c r="J239" s="41">
        <f t="shared" si="5"/>
        <v>67530</v>
      </c>
      <c r="K239" s="41">
        <f t="shared" si="5"/>
        <v>29492</v>
      </c>
      <c r="L239" s="41">
        <f t="shared" si="5"/>
        <v>9943574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4"/>
      <c r="G243" s="4"/>
      <c r="H243" s="4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14329505</v>
      </c>
      <c r="G249" s="41">
        <f t="shared" si="8"/>
        <v>6279693</v>
      </c>
      <c r="H249" s="41">
        <f t="shared" si="8"/>
        <v>4751282</v>
      </c>
      <c r="I249" s="41">
        <f t="shared" si="8"/>
        <v>1378603</v>
      </c>
      <c r="J249" s="41">
        <f t="shared" si="8"/>
        <v>176905</v>
      </c>
      <c r="K249" s="41">
        <f t="shared" si="8"/>
        <v>32344</v>
      </c>
      <c r="L249" s="41">
        <f t="shared" si="8"/>
        <v>26948332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330000</v>
      </c>
      <c r="L252" s="19">
        <f>SUM(F252:K252)</f>
        <v>330000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100650</v>
      </c>
      <c r="L253" s="19">
        <f>SUM(F253:K253)</f>
        <v>100650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f>120000+41000+90000</f>
        <v>251000</v>
      </c>
      <c r="L256" s="19">
        <f t="shared" ref="L256:L262" si="9">SUM(F256:K256)</f>
        <v>251000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681650</v>
      </c>
      <c r="L262" s="41">
        <f t="shared" si="9"/>
        <v>681650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14329505</v>
      </c>
      <c r="G263" s="42">
        <f t="shared" si="11"/>
        <v>6279693</v>
      </c>
      <c r="H263" s="42">
        <f t="shared" si="11"/>
        <v>4751282</v>
      </c>
      <c r="I263" s="42">
        <f t="shared" si="11"/>
        <v>1378603</v>
      </c>
      <c r="J263" s="42">
        <f t="shared" si="11"/>
        <v>176905</v>
      </c>
      <c r="K263" s="42">
        <f t="shared" si="11"/>
        <v>713994</v>
      </c>
      <c r="L263" s="42">
        <f t="shared" si="11"/>
        <v>27629982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5731</f>
        <v>5731</v>
      </c>
      <c r="G268" s="18">
        <v>712</v>
      </c>
      <c r="H268" s="18">
        <v>21427</v>
      </c>
      <c r="I268" s="18">
        <v>5499</v>
      </c>
      <c r="J268" s="18">
        <v>1980</v>
      </c>
      <c r="K268" s="18"/>
      <c r="L268" s="19">
        <f>SUM(F268:K268)</f>
        <v>35349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5390+220+12910+27826+1680+375396+152564+11306+5000+1013-926+61487+2541+1117+187458</f>
        <v>844982</v>
      </c>
      <c r="G269" s="18">
        <f>75+321+308+17+73+119070+28336+5277+881-38+1472+578+567+4540+5089+2426-88+19413+9233+1356+112+23738+13608+11380+446+490+32+102+28+926+35+121-141+3854+152+304-33+5063+204+60272</f>
        <v>319599</v>
      </c>
      <c r="H269" s="18">
        <f>833+1215+680-265+3000+790+3273-1555+100+4730+25853+420+7400+61+3456+1500+400+11224+63906+92</f>
        <v>127113</v>
      </c>
      <c r="I269" s="18">
        <f>2049+144+1687+7984+765+3590+1045+1302-129+3499+4697+5972+3280+40124+335+3010+5383-157+5698</f>
        <v>90278</v>
      </c>
      <c r="J269" s="18">
        <f>5259+3021+1477+416+420+10371-420+30212+7698</f>
        <v>58454</v>
      </c>
      <c r="K269" s="18">
        <f>97+608+19613+7806+276+3132+473+12066</f>
        <v>44071</v>
      </c>
      <c r="L269" s="19">
        <f>SUM(F269:K269)</f>
        <v>1484497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16838+1040+12650+410+10966+3965+103852+50900+737+2147+1460+34803+21783</f>
        <v>261551</v>
      </c>
      <c r="G271" s="18">
        <f>396+1007+155+13+56+26+149+637+421+5+23+33+158+677+229+54+231+10752+6987+441+321+200+100+155+1465+712+6367+3129+7001+4065+11+46+2+30+129+156+21+88+114+505+2158+256+3695+347+78+1450+1017+301+1289+1705</f>
        <v>59363</v>
      </c>
      <c r="H271" s="18">
        <f>317+401+93+149+9+20972+3600+6325+300+1534+1023+1003+240+235+413+1400+1126+1600+403+1251+3960+65+1305+4732+700+101+1019+609+9974+455</f>
        <v>65314</v>
      </c>
      <c r="I271" s="18">
        <f>1798+1313+44+328+1090+855+1215+987+380-2463+1400+577+943+125+350+541+4051+186+6078+1971+131+212+4447+750</f>
        <v>27309</v>
      </c>
      <c r="J271" s="18">
        <v>329</v>
      </c>
      <c r="K271" s="18">
        <f>202+359+3721+2188</f>
        <v>6470</v>
      </c>
      <c r="L271" s="19">
        <f>SUM(F271:K271)</f>
        <v>420336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999</v>
      </c>
      <c r="I273" s="18"/>
      <c r="J273" s="18"/>
      <c r="K273" s="18"/>
      <c r="L273" s="19">
        <f t="shared" ref="L273:L279" si="12">SUM(F273:K273)</f>
        <v>999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251+2313+185+13062+56053</f>
        <v>71864</v>
      </c>
      <c r="G274" s="18">
        <f>40+170+154+189+810+17313</f>
        <v>18676</v>
      </c>
      <c r="H274" s="18">
        <f>7195+174+1389+72252</f>
        <v>81010</v>
      </c>
      <c r="I274" s="18">
        <f>292+1552+412+1146+3659</f>
        <v>7061</v>
      </c>
      <c r="J274" s="18">
        <f>2463+2466</f>
        <v>4929</v>
      </c>
      <c r="K274" s="18">
        <f>99+393+474+200+398+153+6380</f>
        <v>8097</v>
      </c>
      <c r="L274" s="19">
        <f t="shared" si="12"/>
        <v>191637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1840</v>
      </c>
      <c r="I275" s="18"/>
      <c r="J275" s="18"/>
      <c r="K275" s="18"/>
      <c r="L275" s="19">
        <f t="shared" si="12"/>
        <v>1840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f>300</f>
        <v>300</v>
      </c>
      <c r="I278" s="18"/>
      <c r="J278" s="18"/>
      <c r="K278" s="18"/>
      <c r="L278" s="19">
        <f t="shared" si="12"/>
        <v>300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1184128</v>
      </c>
      <c r="G282" s="42">
        <f t="shared" si="13"/>
        <v>398350</v>
      </c>
      <c r="H282" s="42">
        <f t="shared" si="13"/>
        <v>298003</v>
      </c>
      <c r="I282" s="42">
        <f t="shared" si="13"/>
        <v>130147</v>
      </c>
      <c r="J282" s="42">
        <f t="shared" si="13"/>
        <v>65692</v>
      </c>
      <c r="K282" s="42">
        <f t="shared" si="13"/>
        <v>58638</v>
      </c>
      <c r="L282" s="41">
        <f t="shared" si="13"/>
        <v>2134958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3001</f>
        <v>3001</v>
      </c>
      <c r="G287" s="18">
        <v>373</v>
      </c>
      <c r="H287" s="18">
        <v>11221</v>
      </c>
      <c r="I287" s="18">
        <v>2880</v>
      </c>
      <c r="J287" s="18">
        <v>1037</v>
      </c>
      <c r="K287" s="18"/>
      <c r="L287" s="19">
        <f>SUM(F287:K287)</f>
        <v>18512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98172</v>
      </c>
      <c r="G288" s="18">
        <v>31565</v>
      </c>
      <c r="H288" s="18">
        <f>48+33467</f>
        <v>33515</v>
      </c>
      <c r="I288" s="18">
        <v>2984</v>
      </c>
      <c r="J288" s="18">
        <v>4031</v>
      </c>
      <c r="K288" s="18">
        <v>6319</v>
      </c>
      <c r="L288" s="19">
        <f>SUM(F288:K288)</f>
        <v>176586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29355</v>
      </c>
      <c r="G293" s="18">
        <v>9067</v>
      </c>
      <c r="H293" s="18">
        <v>37839</v>
      </c>
      <c r="I293" s="18">
        <v>1916</v>
      </c>
      <c r="J293" s="18">
        <v>1292</v>
      </c>
      <c r="K293" s="18">
        <v>3341</v>
      </c>
      <c r="L293" s="19">
        <f t="shared" si="14"/>
        <v>82810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130528</v>
      </c>
      <c r="G301" s="42">
        <f t="shared" si="15"/>
        <v>41005</v>
      </c>
      <c r="H301" s="42">
        <f t="shared" si="15"/>
        <v>82575</v>
      </c>
      <c r="I301" s="42">
        <f t="shared" si="15"/>
        <v>7780</v>
      </c>
      <c r="J301" s="42">
        <f t="shared" si="15"/>
        <v>6360</v>
      </c>
      <c r="K301" s="42">
        <f t="shared" si="15"/>
        <v>9660</v>
      </c>
      <c r="L301" s="41">
        <f t="shared" si="15"/>
        <v>277908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3881</f>
        <v>3881</v>
      </c>
      <c r="G306" s="18">
        <v>482</v>
      </c>
      <c r="H306" s="18">
        <f>166403+14510</f>
        <v>180913</v>
      </c>
      <c r="I306" s="18">
        <v>3724</v>
      </c>
      <c r="J306" s="18">
        <v>1341</v>
      </c>
      <c r="K306" s="18"/>
      <c r="L306" s="19">
        <f>SUM(F306:K306)</f>
        <v>190341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126946</v>
      </c>
      <c r="G307" s="18">
        <v>40816</v>
      </c>
      <c r="H307" s="18">
        <f>43277+62</f>
        <v>43339</v>
      </c>
      <c r="I307" s="18">
        <v>3859</v>
      </c>
      <c r="J307" s="18">
        <v>5213</v>
      </c>
      <c r="K307" s="18">
        <v>8171</v>
      </c>
      <c r="L307" s="19">
        <f>SUM(F307:K307)</f>
        <v>228344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>
        <f>687+15+1873+650+191+5500+275+392+641+9594+2705+66+1488</f>
        <v>24077</v>
      </c>
      <c r="I308" s="18">
        <f>675+2932+2670+4364+500+600</f>
        <v>11741</v>
      </c>
      <c r="J308" s="18">
        <f>35420+2700+2700+466</f>
        <v>41286</v>
      </c>
      <c r="K308" s="18">
        <f>2921+534+1977</f>
        <v>5432</v>
      </c>
      <c r="L308" s="19">
        <f>SUM(F308:K308)</f>
        <v>82536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37959</f>
        <v>37959</v>
      </c>
      <c r="G312" s="18">
        <v>11724</v>
      </c>
      <c r="H312" s="18">
        <v>48929</v>
      </c>
      <c r="I312" s="18">
        <v>2478</v>
      </c>
      <c r="J312" s="18">
        <v>1670</v>
      </c>
      <c r="K312" s="18">
        <v>4321</v>
      </c>
      <c r="L312" s="19">
        <f t="shared" si="16"/>
        <v>107081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168786</v>
      </c>
      <c r="G320" s="42">
        <f t="shared" si="17"/>
        <v>53022</v>
      </c>
      <c r="H320" s="42">
        <f t="shared" si="17"/>
        <v>297258</v>
      </c>
      <c r="I320" s="42">
        <f t="shared" si="17"/>
        <v>21802</v>
      </c>
      <c r="J320" s="42">
        <f t="shared" si="17"/>
        <v>49510</v>
      </c>
      <c r="K320" s="42">
        <f t="shared" si="17"/>
        <v>17924</v>
      </c>
      <c r="L320" s="41">
        <f t="shared" si="17"/>
        <v>608302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42662+945+18217+14725+15958+13799+7000+7000</f>
        <v>120306</v>
      </c>
      <c r="G325" s="18">
        <f>3501+77-179+433+274+614+2659+3428+238+212+1291+900+128+339+3588+210+50+232+172+989+853+441+1151+909+909+47+47+50+50+116+116+434+434+561+561</f>
        <v>25835</v>
      </c>
      <c r="H325" s="18">
        <f>2060+903+63-1171+500+500+300+581+223+254+75+650+442</f>
        <v>5380</v>
      </c>
      <c r="I325" s="18">
        <f>1500+1527+2291+734+268</f>
        <v>6320</v>
      </c>
      <c r="J325" s="18"/>
      <c r="K325" s="18">
        <f>112+1483+1396</f>
        <v>2991</v>
      </c>
      <c r="L325" s="19">
        <f>SUM(F325:K325)</f>
        <v>160832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f>78955</f>
        <v>78955</v>
      </c>
      <c r="G327" s="18">
        <f>1145+4895+4563</f>
        <v>10603</v>
      </c>
      <c r="H327" s="18">
        <f>5000+2000+981+2133+1014</f>
        <v>11128</v>
      </c>
      <c r="I327" s="18">
        <v>541</v>
      </c>
      <c r="J327" s="18"/>
      <c r="K327" s="18"/>
      <c r="L327" s="19">
        <f t="shared" si="18"/>
        <v>101227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199261</v>
      </c>
      <c r="G329" s="41">
        <f t="shared" si="19"/>
        <v>36438</v>
      </c>
      <c r="H329" s="41">
        <f t="shared" si="19"/>
        <v>16508</v>
      </c>
      <c r="I329" s="41">
        <f t="shared" si="19"/>
        <v>6861</v>
      </c>
      <c r="J329" s="41">
        <f t="shared" si="19"/>
        <v>0</v>
      </c>
      <c r="K329" s="41">
        <f t="shared" si="19"/>
        <v>2991</v>
      </c>
      <c r="L329" s="41">
        <f t="shared" si="18"/>
        <v>262059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1682703</v>
      </c>
      <c r="G330" s="41">
        <f t="shared" si="20"/>
        <v>528815</v>
      </c>
      <c r="H330" s="41">
        <f t="shared" si="20"/>
        <v>694344</v>
      </c>
      <c r="I330" s="41">
        <f t="shared" si="20"/>
        <v>166590</v>
      </c>
      <c r="J330" s="41">
        <f t="shared" si="20"/>
        <v>121562</v>
      </c>
      <c r="K330" s="41">
        <f t="shared" si="20"/>
        <v>89213</v>
      </c>
      <c r="L330" s="41">
        <f t="shared" si="20"/>
        <v>3283227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1682703</v>
      </c>
      <c r="G344" s="41">
        <f>G330</f>
        <v>528815</v>
      </c>
      <c r="H344" s="41">
        <f>H330</f>
        <v>694344</v>
      </c>
      <c r="I344" s="41">
        <f>I330</f>
        <v>166590</v>
      </c>
      <c r="J344" s="41">
        <f>J330</f>
        <v>121562</v>
      </c>
      <c r="K344" s="47">
        <f>K330+K343</f>
        <v>89213</v>
      </c>
      <c r="L344" s="41">
        <f>L330+L343</f>
        <v>3283227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92061</v>
      </c>
      <c r="G350" s="18">
        <v>15041</v>
      </c>
      <c r="H350" s="18">
        <f>216+7743</f>
        <v>7959</v>
      </c>
      <c r="I350" s="18">
        <f>163019</f>
        <v>163019</v>
      </c>
      <c r="J350" s="18">
        <v>3034</v>
      </c>
      <c r="K350" s="18">
        <v>46</v>
      </c>
      <c r="L350" s="13">
        <f>SUM(F350:K350)</f>
        <v>281160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48213</v>
      </c>
      <c r="G351" s="18">
        <v>7877</v>
      </c>
      <c r="H351" s="18">
        <f>113+4055</f>
        <v>4168</v>
      </c>
      <c r="I351" s="18">
        <v>85373</v>
      </c>
      <c r="J351" s="18">
        <v>1589</v>
      </c>
      <c r="K351" s="18">
        <v>24</v>
      </c>
      <c r="L351" s="19">
        <f>SUM(F351:K351)</f>
        <v>147244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62344</v>
      </c>
      <c r="G352" s="18">
        <v>10186</v>
      </c>
      <c r="H352" s="18">
        <f>146+5244</f>
        <v>5390</v>
      </c>
      <c r="I352" s="18">
        <v>110397</v>
      </c>
      <c r="J352" s="18">
        <v>2054</v>
      </c>
      <c r="K352" s="18">
        <v>31</v>
      </c>
      <c r="L352" s="19">
        <f>SUM(F352:K352)</f>
        <v>190402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202618</v>
      </c>
      <c r="G354" s="47">
        <f t="shared" si="22"/>
        <v>33104</v>
      </c>
      <c r="H354" s="47">
        <f t="shared" si="22"/>
        <v>17517</v>
      </c>
      <c r="I354" s="47">
        <f t="shared" si="22"/>
        <v>358789</v>
      </c>
      <c r="J354" s="47">
        <f t="shared" si="22"/>
        <v>6677</v>
      </c>
      <c r="K354" s="47">
        <f t="shared" si="22"/>
        <v>101</v>
      </c>
      <c r="L354" s="47">
        <f t="shared" si="22"/>
        <v>618806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I350-7271</f>
        <v>155748</v>
      </c>
      <c r="G359" s="18">
        <f>85373-3808</f>
        <v>81565</v>
      </c>
      <c r="H359" s="18">
        <f>110397-4924</f>
        <v>105473</v>
      </c>
      <c r="I359" s="56">
        <f>SUM(F359:H359)</f>
        <v>342786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7271</v>
      </c>
      <c r="G360" s="63">
        <v>3808</v>
      </c>
      <c r="H360" s="63">
        <v>4924</v>
      </c>
      <c r="I360" s="56">
        <f>SUM(F360:H360)</f>
        <v>16003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163019</v>
      </c>
      <c r="G361" s="47">
        <f>SUM(G359:G360)</f>
        <v>85373</v>
      </c>
      <c r="H361" s="47">
        <f>SUM(H359:H360)</f>
        <v>110397</v>
      </c>
      <c r="I361" s="47">
        <f>SUM(I359:I360)</f>
        <v>358789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376748</v>
      </c>
      <c r="L414" s="56">
        <f t="shared" si="29"/>
        <v>376748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376748</v>
      </c>
      <c r="L419" s="47">
        <f t="shared" si="30"/>
        <v>376748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376748</v>
      </c>
      <c r="L426" s="47">
        <f t="shared" si="32"/>
        <v>376748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f>562911-376748</f>
        <v>186163</v>
      </c>
      <c r="G431" s="18"/>
      <c r="H431" s="18"/>
      <c r="I431" s="56">
        <f t="shared" ref="I431:I437" si="33">SUM(F431:H431)</f>
        <v>186163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186163</v>
      </c>
      <c r="G438" s="13">
        <f>SUM(G431:G437)</f>
        <v>0</v>
      </c>
      <c r="H438" s="13">
        <f>SUM(H431:H437)</f>
        <v>0</v>
      </c>
      <c r="I438" s="13">
        <f>SUM(I431:I437)</f>
        <v>186163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186163</v>
      </c>
      <c r="G449" s="18"/>
      <c r="H449" s="18"/>
      <c r="I449" s="56">
        <f>SUM(F449:H449)</f>
        <v>186163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186163</v>
      </c>
      <c r="G450" s="83">
        <f>SUM(G446:G449)</f>
        <v>0</v>
      </c>
      <c r="H450" s="83">
        <f>SUM(H446:H449)</f>
        <v>0</v>
      </c>
      <c r="I450" s="83">
        <f>SUM(I446:I449)</f>
        <v>186163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186163</v>
      </c>
      <c r="G451" s="42">
        <f>G444+G450</f>
        <v>0</v>
      </c>
      <c r="H451" s="42">
        <f>H444+H450</f>
        <v>0</v>
      </c>
      <c r="I451" s="42">
        <f>I444+I450</f>
        <v>186163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262532</v>
      </c>
      <c r="G455" s="18">
        <v>14325</v>
      </c>
      <c r="H455" s="18">
        <v>-225192</v>
      </c>
      <c r="I455" s="18"/>
      <c r="J455" s="18">
        <v>562911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27714198</v>
      </c>
      <c r="G458" s="18">
        <f>G185</f>
        <v>646738</v>
      </c>
      <c r="H458" s="18">
        <f>H185</f>
        <v>2982075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f>40244-14327</f>
        <v>25917</v>
      </c>
      <c r="H459" s="18">
        <f>-85+142506</f>
        <v>142421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27714198</v>
      </c>
      <c r="G460" s="53">
        <f>SUM(G458:G459)</f>
        <v>672655</v>
      </c>
      <c r="H460" s="53">
        <f>SUM(H458:H459)</f>
        <v>3124496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27629982</v>
      </c>
      <c r="G462" s="18">
        <f>L354</f>
        <v>618806</v>
      </c>
      <c r="H462" s="18">
        <f>L344</f>
        <v>3283227</v>
      </c>
      <c r="I462" s="18"/>
      <c r="J462" s="18">
        <f>376748</f>
        <v>376748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262532-170577-9308</f>
        <v>82647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27712629</v>
      </c>
      <c r="G464" s="53">
        <f>SUM(G462:G463)</f>
        <v>618806</v>
      </c>
      <c r="H464" s="53">
        <f>SUM(H462:H463)</f>
        <v>3283227</v>
      </c>
      <c r="I464" s="53">
        <f>SUM(I462:I463)</f>
        <v>0</v>
      </c>
      <c r="J464" s="53">
        <f>SUM(J462:J463)</f>
        <v>376748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264101</v>
      </c>
      <c r="G466" s="53">
        <f>(G455+G460)- G464</f>
        <v>68174</v>
      </c>
      <c r="H466" s="53">
        <f>(H455+H460)- H464</f>
        <v>-383923</v>
      </c>
      <c r="I466" s="53">
        <f>(I455+I460)- I464</f>
        <v>0</v>
      </c>
      <c r="J466" s="53">
        <f>(J455+J460)- J464</f>
        <v>186163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6600000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f>2310000-330000</f>
        <v>1980000</v>
      </c>
      <c r="G485" s="18"/>
      <c r="H485" s="18"/>
      <c r="I485" s="18"/>
      <c r="J485" s="18"/>
      <c r="K485" s="53">
        <f>SUM(F485:J485)</f>
        <v>1980000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330000</v>
      </c>
      <c r="G487" s="18"/>
      <c r="H487" s="18"/>
      <c r="I487" s="18"/>
      <c r="J487" s="18"/>
      <c r="K487" s="53">
        <f t="shared" si="34"/>
        <v>330000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1650000</v>
      </c>
      <c r="G488" s="205"/>
      <c r="H488" s="205"/>
      <c r="I488" s="205"/>
      <c r="J488" s="205"/>
      <c r="K488" s="206">
        <f t="shared" si="34"/>
        <v>1650000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45788+36713+36712+27638+27637+18563+18562+9281+9282</f>
        <v>230176</v>
      </c>
      <c r="G489" s="18"/>
      <c r="H489" s="18"/>
      <c r="I489" s="18"/>
      <c r="J489" s="18"/>
      <c r="K489" s="53">
        <f t="shared" si="34"/>
        <v>230176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1880176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1880176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330000</v>
      </c>
      <c r="G491" s="205"/>
      <c r="H491" s="205"/>
      <c r="I491" s="205"/>
      <c r="J491" s="205"/>
      <c r="K491" s="206">
        <f t="shared" si="34"/>
        <v>330000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45788+36713</f>
        <v>82501</v>
      </c>
      <c r="G492" s="18"/>
      <c r="H492" s="18"/>
      <c r="I492" s="18"/>
      <c r="J492" s="18"/>
      <c r="K492" s="53">
        <f t="shared" si="34"/>
        <v>82501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412501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412501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F190+F269</f>
        <v>2601954</v>
      </c>
      <c r="G511" s="18">
        <f>G190+G269</f>
        <v>884241</v>
      </c>
      <c r="H511" s="18">
        <f>H190+H269-12254</f>
        <v>348628</v>
      </c>
      <c r="I511" s="18">
        <f>I190+I269</f>
        <v>98425</v>
      </c>
      <c r="J511" s="18">
        <f>J190+J269</f>
        <v>60607</v>
      </c>
      <c r="K511" s="18">
        <f>K190+K269</f>
        <v>44071</v>
      </c>
      <c r="L511" s="88">
        <f>SUM(F511:K511)</f>
        <v>4037926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F208+F288</f>
        <v>801658</v>
      </c>
      <c r="G512" s="18">
        <f>G208+G288</f>
        <v>286819</v>
      </c>
      <c r="H512" s="18">
        <f>H208+H288-46006</f>
        <v>364694</v>
      </c>
      <c r="I512" s="18">
        <f>I208+I288</f>
        <v>8261</v>
      </c>
      <c r="J512" s="18">
        <f>J208+J288</f>
        <v>9272</v>
      </c>
      <c r="K512" s="18">
        <f>K208+K288</f>
        <v>6319</v>
      </c>
      <c r="L512" s="88">
        <f>SUM(F512:K512)</f>
        <v>1477023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F226+F307</f>
        <v>750718</v>
      </c>
      <c r="G513" s="18">
        <f>G226+G307</f>
        <v>292848</v>
      </c>
      <c r="H513" s="18">
        <f>H226+H307-108079</f>
        <v>752408</v>
      </c>
      <c r="I513" s="18">
        <f>I226+I307</f>
        <v>10541</v>
      </c>
      <c r="J513" s="18">
        <f>J226+J307</f>
        <v>6823</v>
      </c>
      <c r="K513" s="18">
        <f>K226+K307</f>
        <v>8171</v>
      </c>
      <c r="L513" s="88">
        <f>SUM(F513:K513)</f>
        <v>1821509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4154330</v>
      </c>
      <c r="G514" s="108">
        <f t="shared" ref="G514:L514" si="35">SUM(G511:G513)</f>
        <v>1463908</v>
      </c>
      <c r="H514" s="108">
        <f t="shared" si="35"/>
        <v>1465730</v>
      </c>
      <c r="I514" s="108">
        <f t="shared" si="35"/>
        <v>117227</v>
      </c>
      <c r="J514" s="108">
        <f t="shared" si="35"/>
        <v>76702</v>
      </c>
      <c r="K514" s="108">
        <f t="shared" si="35"/>
        <v>58561</v>
      </c>
      <c r="L514" s="89">
        <f t="shared" si="35"/>
        <v>7336458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12254</v>
      </c>
      <c r="I516" s="18"/>
      <c r="J516" s="18"/>
      <c r="K516" s="18"/>
      <c r="L516" s="88">
        <f>SUM(F516:K516)</f>
        <v>12254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46006</v>
      </c>
      <c r="I517" s="18"/>
      <c r="J517" s="18"/>
      <c r="K517" s="18"/>
      <c r="L517" s="88">
        <f>SUM(F517:K517)</f>
        <v>46006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108079</v>
      </c>
      <c r="I518" s="18"/>
      <c r="J518" s="18"/>
      <c r="K518" s="18"/>
      <c r="L518" s="88">
        <f>SUM(F518:K518)</f>
        <v>108079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166339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166339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75927</f>
        <v>75927</v>
      </c>
      <c r="G521" s="18">
        <f>41528</f>
        <v>41528</v>
      </c>
      <c r="H521" s="18">
        <f>3326</f>
        <v>3326</v>
      </c>
      <c r="I521" s="18">
        <f>20</f>
        <v>20</v>
      </c>
      <c r="J521" s="18"/>
      <c r="K521" s="18"/>
      <c r="L521" s="88">
        <f>SUM(F521:K521)</f>
        <v>120801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39763</f>
        <v>39763</v>
      </c>
      <c r="G522" s="18">
        <f>21748</f>
        <v>21748</v>
      </c>
      <c r="H522" s="18">
        <f>1742</f>
        <v>1742</v>
      </c>
      <c r="I522" s="18">
        <f>11</f>
        <v>11</v>
      </c>
      <c r="J522" s="18"/>
      <c r="K522" s="18"/>
      <c r="L522" s="88">
        <f>SUM(F522:K522)</f>
        <v>63264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51418</f>
        <v>51418</v>
      </c>
      <c r="G523" s="18">
        <f>28123</f>
        <v>28123</v>
      </c>
      <c r="H523" s="18">
        <f>2252</f>
        <v>2252</v>
      </c>
      <c r="I523" s="18">
        <v>14</v>
      </c>
      <c r="J523" s="18"/>
      <c r="K523" s="18"/>
      <c r="L523" s="88">
        <f>SUM(F523:K523)</f>
        <v>81807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167108</v>
      </c>
      <c r="G524" s="89">
        <f t="shared" ref="G524:L524" si="37">SUM(G521:G523)</f>
        <v>91399</v>
      </c>
      <c r="H524" s="89">
        <f t="shared" si="37"/>
        <v>7320</v>
      </c>
      <c r="I524" s="89">
        <f t="shared" si="37"/>
        <v>45</v>
      </c>
      <c r="J524" s="89">
        <f t="shared" si="37"/>
        <v>0</v>
      </c>
      <c r="K524" s="89">
        <f t="shared" si="37"/>
        <v>0</v>
      </c>
      <c r="L524" s="89">
        <f t="shared" si="37"/>
        <v>265872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6140</v>
      </c>
      <c r="I526" s="18"/>
      <c r="J526" s="18"/>
      <c r="K526" s="18"/>
      <c r="L526" s="88">
        <f>SUM(F526:K526)</f>
        <v>6140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6140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6140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21582</v>
      </c>
      <c r="G531" s="18">
        <f>6555</f>
        <v>6555</v>
      </c>
      <c r="H531" s="18">
        <v>69002</v>
      </c>
      <c r="I531" s="18"/>
      <c r="J531" s="18"/>
      <c r="K531" s="18"/>
      <c r="L531" s="88">
        <f>SUM(F531:K531)</f>
        <v>97139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11302</v>
      </c>
      <c r="G532" s="18">
        <v>3433</v>
      </c>
      <c r="H532" s="18">
        <v>70082</v>
      </c>
      <c r="I532" s="18"/>
      <c r="J532" s="18"/>
      <c r="K532" s="18"/>
      <c r="L532" s="88">
        <f>SUM(F532:K532)</f>
        <v>84817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14615</v>
      </c>
      <c r="G533" s="18">
        <v>4439</v>
      </c>
      <c r="H533" s="18">
        <v>108079</v>
      </c>
      <c r="I533" s="18"/>
      <c r="J533" s="18"/>
      <c r="K533" s="18"/>
      <c r="L533" s="88">
        <f>SUM(F533:K533)</f>
        <v>127133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47499</v>
      </c>
      <c r="G534" s="194">
        <f t="shared" ref="G534:L534" si="39">SUM(G531:G533)</f>
        <v>14427</v>
      </c>
      <c r="H534" s="194">
        <f t="shared" si="39"/>
        <v>247163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309089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4368937</v>
      </c>
      <c r="G535" s="89">
        <f t="shared" ref="G535:L535" si="40">G514+G519+G524+G529+G534</f>
        <v>1569734</v>
      </c>
      <c r="H535" s="89">
        <f t="shared" si="40"/>
        <v>1892692</v>
      </c>
      <c r="I535" s="89">
        <f t="shared" si="40"/>
        <v>117272</v>
      </c>
      <c r="J535" s="89">
        <f t="shared" si="40"/>
        <v>76702</v>
      </c>
      <c r="K535" s="89">
        <f t="shared" si="40"/>
        <v>58561</v>
      </c>
      <c r="L535" s="89">
        <f t="shared" si="40"/>
        <v>8083898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4037926</v>
      </c>
      <c r="G539" s="87">
        <f>L516</f>
        <v>12254</v>
      </c>
      <c r="H539" s="87">
        <f>L521</f>
        <v>120801</v>
      </c>
      <c r="I539" s="87">
        <f>L526</f>
        <v>6140</v>
      </c>
      <c r="J539" s="87">
        <f>L531</f>
        <v>97139</v>
      </c>
      <c r="K539" s="87">
        <f>SUM(F539:J539)</f>
        <v>4274260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1477023</v>
      </c>
      <c r="G540" s="87">
        <f>L517</f>
        <v>46006</v>
      </c>
      <c r="H540" s="87">
        <f>L522</f>
        <v>63264</v>
      </c>
      <c r="I540" s="87">
        <f>L527</f>
        <v>0</v>
      </c>
      <c r="J540" s="87">
        <f>L532</f>
        <v>84817</v>
      </c>
      <c r="K540" s="87">
        <f>SUM(F540:J540)</f>
        <v>1671110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1821509</v>
      </c>
      <c r="G541" s="87">
        <f>L518</f>
        <v>108079</v>
      </c>
      <c r="H541" s="87">
        <f>L523</f>
        <v>81807</v>
      </c>
      <c r="I541" s="87">
        <f>L528</f>
        <v>0</v>
      </c>
      <c r="J541" s="87">
        <f>L533</f>
        <v>127133</v>
      </c>
      <c r="K541" s="87">
        <f>SUM(F541:J541)</f>
        <v>2138528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7336458</v>
      </c>
      <c r="G542" s="89">
        <f t="shared" si="41"/>
        <v>166339</v>
      </c>
      <c r="H542" s="89">
        <f t="shared" si="41"/>
        <v>265872</v>
      </c>
      <c r="I542" s="89">
        <f t="shared" si="41"/>
        <v>6140</v>
      </c>
      <c r="J542" s="89">
        <f t="shared" si="41"/>
        <v>309089</v>
      </c>
      <c r="K542" s="89">
        <f t="shared" si="41"/>
        <v>8083898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1.03*24805</f>
        <v>25549.15</v>
      </c>
      <c r="G552" s="18">
        <f>1.06*14208</f>
        <v>15060.480000000001</v>
      </c>
      <c r="H552" s="18"/>
      <c r="I552" s="18">
        <f>454</f>
        <v>454</v>
      </c>
      <c r="J552" s="18"/>
      <c r="K552" s="18"/>
      <c r="L552" s="88">
        <f>SUM(F552:K552)</f>
        <v>41063.630000000005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1.03*12990</f>
        <v>13379.7</v>
      </c>
      <c r="G553" s="18">
        <f>1.06*7441</f>
        <v>7887.46</v>
      </c>
      <c r="H553" s="18"/>
      <c r="I553" s="18">
        <v>238</v>
      </c>
      <c r="J553" s="18"/>
      <c r="K553" s="18"/>
      <c r="L553" s="88">
        <f>SUM(F553:K553)</f>
        <v>21505.16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1.03*16798</f>
        <v>17301.939999999999</v>
      </c>
      <c r="G554" s="18">
        <f>1.06*9622</f>
        <v>10199.32</v>
      </c>
      <c r="H554" s="18"/>
      <c r="I554" s="18">
        <v>308</v>
      </c>
      <c r="J554" s="18"/>
      <c r="K554" s="18"/>
      <c r="L554" s="88">
        <f>SUM(F554:K554)</f>
        <v>27809.26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56230.790000000008</v>
      </c>
      <c r="G555" s="89">
        <f t="shared" si="43"/>
        <v>33147.26</v>
      </c>
      <c r="H555" s="89">
        <f t="shared" si="43"/>
        <v>0</v>
      </c>
      <c r="I555" s="89">
        <f t="shared" si="43"/>
        <v>1000</v>
      </c>
      <c r="J555" s="89">
        <f t="shared" si="43"/>
        <v>0</v>
      </c>
      <c r="K555" s="89">
        <f t="shared" si="43"/>
        <v>0</v>
      </c>
      <c r="L555" s="89">
        <f t="shared" si="43"/>
        <v>90378.05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56230.790000000008</v>
      </c>
      <c r="G561" s="89">
        <f t="shared" ref="G561:L561" si="45">G550+G555+G560</f>
        <v>33147.26</v>
      </c>
      <c r="H561" s="89">
        <f t="shared" si="45"/>
        <v>0</v>
      </c>
      <c r="I561" s="89">
        <f t="shared" si="45"/>
        <v>1000</v>
      </c>
      <c r="J561" s="89">
        <f t="shared" si="45"/>
        <v>0</v>
      </c>
      <c r="K561" s="89">
        <f t="shared" si="45"/>
        <v>0</v>
      </c>
      <c r="L561" s="89">
        <f t="shared" si="45"/>
        <v>90378.05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13115</v>
      </c>
      <c r="I566" s="87">
        <f t="shared" ref="I566:I577" si="46">SUM(F566:H566)</f>
        <v>13115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92737</v>
      </c>
      <c r="G569" s="18">
        <v>14527</v>
      </c>
      <c r="H569" s="18">
        <v>53597</v>
      </c>
      <c r="I569" s="87">
        <f t="shared" si="46"/>
        <v>160861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27672</v>
      </c>
      <c r="G570" s="18">
        <v>51790</v>
      </c>
      <c r="H570" s="18">
        <v>25605</v>
      </c>
      <c r="I570" s="87">
        <f t="shared" si="46"/>
        <v>105067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92737+18590</f>
        <v>111327</v>
      </c>
      <c r="G572" s="18">
        <f>166494+45755</f>
        <v>212249</v>
      </c>
      <c r="H572" s="18">
        <f>38752+593235</f>
        <v>631987</v>
      </c>
      <c r="I572" s="87">
        <f t="shared" si="46"/>
        <v>955563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3990</v>
      </c>
      <c r="I574" s="87">
        <f t="shared" si="46"/>
        <v>3990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L200-1724-97139</f>
        <v>320419</v>
      </c>
      <c r="I581" s="18">
        <f>L218-13168-22048-84817</f>
        <v>168438</v>
      </c>
      <c r="J581" s="18">
        <f>L236-14167-40845-127133-23500</f>
        <v>195684</v>
      </c>
      <c r="K581" s="104">
        <f t="shared" ref="K581:K587" si="47">SUM(H581:J581)</f>
        <v>684541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97139</v>
      </c>
      <c r="I582" s="18">
        <f>84817</f>
        <v>84817</v>
      </c>
      <c r="J582" s="18">
        <v>127133</v>
      </c>
      <c r="K582" s="104">
        <f t="shared" si="47"/>
        <v>309089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23500</v>
      </c>
      <c r="K583" s="104">
        <f t="shared" si="47"/>
        <v>23500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13168</f>
        <v>13168</v>
      </c>
      <c r="J584" s="18">
        <v>40845</v>
      </c>
      <c r="K584" s="104">
        <f t="shared" si="47"/>
        <v>54013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696+273+755</f>
        <v>1724</v>
      </c>
      <c r="I585" s="18">
        <v>22048</v>
      </c>
      <c r="J585" s="18">
        <v>14167</v>
      </c>
      <c r="K585" s="104">
        <f t="shared" si="47"/>
        <v>37939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419282</v>
      </c>
      <c r="I588" s="108">
        <f>SUM(I581:I587)</f>
        <v>288471</v>
      </c>
      <c r="J588" s="108">
        <f>SUM(J581:J587)</f>
        <v>401329</v>
      </c>
      <c r="K588" s="108">
        <f>SUM(K581:K587)</f>
        <v>1109082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133241</v>
      </c>
      <c r="I594" s="18">
        <f>J221+J301</f>
        <v>48186</v>
      </c>
      <c r="J594" s="18">
        <f>J239+J320</f>
        <v>117040</v>
      </c>
      <c r="K594" s="104">
        <f>SUM(H594:J594)</f>
        <v>298467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133241</v>
      </c>
      <c r="I595" s="108">
        <f>SUM(I592:I594)</f>
        <v>48186</v>
      </c>
      <c r="J595" s="108">
        <f>SUM(J592:J594)</f>
        <v>117040</v>
      </c>
      <c r="K595" s="108">
        <f>SUM(K592:K594)</f>
        <v>298467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288</v>
      </c>
      <c r="G601" s="18">
        <v>49</v>
      </c>
      <c r="H601" s="18"/>
      <c r="I601" s="18">
        <v>574</v>
      </c>
      <c r="J601" s="18"/>
      <c r="K601" s="18"/>
      <c r="L601" s="88">
        <f>SUM(F601:K601)</f>
        <v>911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11770</v>
      </c>
      <c r="G602" s="18">
        <f>171+730+493</f>
        <v>1394</v>
      </c>
      <c r="H602" s="18">
        <f>3000</f>
        <v>3000</v>
      </c>
      <c r="I602" s="18">
        <v>151</v>
      </c>
      <c r="J602" s="18"/>
      <c r="K602" s="18"/>
      <c r="L602" s="88">
        <f>SUM(F602:K602)</f>
        <v>16315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12058</v>
      </c>
      <c r="G604" s="108">
        <f t="shared" si="48"/>
        <v>1443</v>
      </c>
      <c r="H604" s="108">
        <f t="shared" si="48"/>
        <v>3000</v>
      </c>
      <c r="I604" s="108">
        <f t="shared" si="48"/>
        <v>725</v>
      </c>
      <c r="J604" s="108">
        <f t="shared" si="48"/>
        <v>0</v>
      </c>
      <c r="K604" s="108">
        <f t="shared" si="48"/>
        <v>0</v>
      </c>
      <c r="L604" s="89">
        <f t="shared" si="48"/>
        <v>17226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524434</v>
      </c>
      <c r="H607" s="109">
        <f>SUM(F44)</f>
        <v>524434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97283</v>
      </c>
      <c r="H608" s="109">
        <f>SUM(G44)</f>
        <v>97283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536381</v>
      </c>
      <c r="H609" s="109">
        <f>SUM(H44)</f>
        <v>536381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186163</v>
      </c>
      <c r="H611" s="109">
        <f>SUM(J44)</f>
        <v>186163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264101</v>
      </c>
      <c r="H612" s="109">
        <f>F466</f>
        <v>264101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68174</v>
      </c>
      <c r="H613" s="109">
        <f>G466</f>
        <v>68174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-383923</v>
      </c>
      <c r="H614" s="109">
        <f>H466</f>
        <v>-383923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186163</v>
      </c>
      <c r="H616" s="109">
        <f>J466</f>
        <v>186163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27714198</v>
      </c>
      <c r="H617" s="104">
        <f>SUM(F458)</f>
        <v>27714198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646738</v>
      </c>
      <c r="H618" s="104">
        <f>SUM(G458)</f>
        <v>646738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2982075</v>
      </c>
      <c r="H619" s="104">
        <f>SUM(H458)</f>
        <v>2982075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27629982</v>
      </c>
      <c r="H622" s="104">
        <f>SUM(F462)</f>
        <v>27629982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3283227</v>
      </c>
      <c r="H623" s="104">
        <f>SUM(H462)</f>
        <v>3283227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358789</v>
      </c>
      <c r="H624" s="104">
        <f>I361</f>
        <v>358789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618806</v>
      </c>
      <c r="H625" s="104">
        <f>SUM(G462)</f>
        <v>618806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376748</v>
      </c>
      <c r="H628" s="164">
        <f>SUM(J462)</f>
        <v>376748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186163</v>
      </c>
      <c r="H629" s="104">
        <f>SUM(F451)</f>
        <v>186163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186163</v>
      </c>
      <c r="H632" s="104">
        <f>SUM(I451)</f>
        <v>186163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1109082</v>
      </c>
      <c r="H637" s="104">
        <f>L200+L218+L236</f>
        <v>1109082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298467</v>
      </c>
      <c r="H638" s="104">
        <f>(J249+J330)-(J247+J328)</f>
        <v>298467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419282</v>
      </c>
      <c r="H639" s="104">
        <f>H588</f>
        <v>419282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288471</v>
      </c>
      <c r="H640" s="104">
        <f>I588</f>
        <v>288471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401329</v>
      </c>
      <c r="H641" s="104">
        <f>J588</f>
        <v>401329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251000</v>
      </c>
      <c r="H643" s="104">
        <f>K256</f>
        <v>251000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12669743</v>
      </c>
      <c r="G650" s="19">
        <f>(L221+L301+L351)</f>
        <v>7176285</v>
      </c>
      <c r="H650" s="19">
        <f>(L239+L320+L352)</f>
        <v>10742278</v>
      </c>
      <c r="I650" s="19">
        <f>SUM(F650:H650)</f>
        <v>30588306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104514.355322993</v>
      </c>
      <c r="G651" s="19">
        <f>(L351/IF(SUM(L350:L352)=0,1,SUM(L350:L352))*(SUM(G89:G102)))</f>
        <v>54734.356719230265</v>
      </c>
      <c r="H651" s="19">
        <f>(L352/IF(SUM(L350:L352)=0,1,SUM(L350:L352))*(SUM(G89:G102)))</f>
        <v>70777.287957776745</v>
      </c>
      <c r="I651" s="19">
        <f>SUM(F651:H651)</f>
        <v>230026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396329</v>
      </c>
      <c r="G652" s="19">
        <f>(L218+L298)-(J218+J298)</f>
        <v>276451</v>
      </c>
      <c r="H652" s="19">
        <f>(L236+L317)-(J236+J317)</f>
        <v>385785</v>
      </c>
      <c r="I652" s="19">
        <f>SUM(F652:H652)</f>
        <v>1058565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365888</v>
      </c>
      <c r="G653" s="200">
        <f>SUM(G565:G577)+SUM(I592:I594)+L602</f>
        <v>343067</v>
      </c>
      <c r="H653" s="200">
        <f>SUM(H565:H577)+SUM(J592:J594)+L603</f>
        <v>845334</v>
      </c>
      <c r="I653" s="19">
        <f>SUM(F653:H653)</f>
        <v>1554289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11803011.644677008</v>
      </c>
      <c r="G654" s="19">
        <f>G650-SUM(G651:G653)</f>
        <v>6502032.6432807697</v>
      </c>
      <c r="H654" s="19">
        <f>H650-SUM(H651:H653)</f>
        <v>9440381.7120422237</v>
      </c>
      <c r="I654" s="19">
        <f>I650-SUM(I651:I653)</f>
        <v>27745426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815.22</v>
      </c>
      <c r="G655" s="249">
        <v>465.05</v>
      </c>
      <c r="H655" s="249">
        <v>595.03</v>
      </c>
      <c r="I655" s="19">
        <f>SUM(F655:H655)</f>
        <v>1875.3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14478.31</v>
      </c>
      <c r="G657" s="19">
        <f>ROUND(G654/G655,2)</f>
        <v>13981.36</v>
      </c>
      <c r="H657" s="19">
        <f>ROUND(H654/H655,2)</f>
        <v>15865.39</v>
      </c>
      <c r="I657" s="19">
        <f>ROUND(I654/I655,2)</f>
        <v>14795.19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-4.24</v>
      </c>
      <c r="I660" s="19">
        <f>SUM(F660:H660)</f>
        <v>-4.24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14478.31</v>
      </c>
      <c r="G662" s="19">
        <f>ROUND((G654+G659)/(G655+G660),2)</f>
        <v>13981.36</v>
      </c>
      <c r="H662" s="19">
        <f>ROUND((H654+H659)/(H655+H660),2)</f>
        <v>15979.25</v>
      </c>
      <c r="I662" s="19">
        <f>ROUND((I654+I659)/(I655+I660),2)</f>
        <v>14828.72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0D44-AADF-4788-86B2-691D4B66DE95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Claremont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6472262</v>
      </c>
      <c r="C9" s="230">
        <f>'DOE25'!G189+'DOE25'!G207+'DOE25'!G225+'DOE25'!G268+'DOE25'!G287+'DOE25'!G306</f>
        <v>3320511</v>
      </c>
    </row>
    <row r="10" spans="1:3" x14ac:dyDescent="0.2">
      <c r="A10" t="s">
        <v>810</v>
      </c>
      <c r="B10" s="241">
        <v>6024976</v>
      </c>
      <c r="C10" s="241">
        <v>3254100</v>
      </c>
    </row>
    <row r="11" spans="1:3" x14ac:dyDescent="0.2">
      <c r="A11" t="s">
        <v>811</v>
      </c>
      <c r="B11" s="241">
        <f>14456+1783+23129+43862</f>
        <v>83230</v>
      </c>
      <c r="C11" s="241">
        <v>29130</v>
      </c>
    </row>
    <row r="12" spans="1:3" x14ac:dyDescent="0.2">
      <c r="A12" t="s">
        <v>812</v>
      </c>
      <c r="B12" s="241">
        <f>59194+64262+31769+187875+13200+3816+3940</f>
        <v>364056</v>
      </c>
      <c r="C12" s="241">
        <v>37281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6472262</v>
      </c>
      <c r="C13" s="232">
        <f>SUM(C10:C12)</f>
        <v>3320511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4154330</v>
      </c>
      <c r="C18" s="230">
        <f>'DOE25'!G190+'DOE25'!G208+'DOE25'!G226+'DOE25'!G269+'DOE25'!G288+'DOE25'!G307</f>
        <v>1463908</v>
      </c>
    </row>
    <row r="19" spans="1:3" x14ac:dyDescent="0.2">
      <c r="A19" t="s">
        <v>810</v>
      </c>
      <c r="B19" s="241">
        <v>2379802</v>
      </c>
      <c r="C19" s="241">
        <v>966180</v>
      </c>
    </row>
    <row r="20" spans="1:3" x14ac:dyDescent="0.2">
      <c r="A20" t="s">
        <v>811</v>
      </c>
      <c r="B20" s="241">
        <f>10598+9189+266714+16600+280910+345280+14490+435841+246176+11306</f>
        <v>1637104</v>
      </c>
      <c r="C20" s="241">
        <v>487228</v>
      </c>
    </row>
    <row r="21" spans="1:3" x14ac:dyDescent="0.2">
      <c r="A21" t="s">
        <v>812</v>
      </c>
      <c r="B21" s="241">
        <f>132034+5390</f>
        <v>137424</v>
      </c>
      <c r="C21" s="241">
        <v>10500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4154330</v>
      </c>
      <c r="C22" s="232">
        <f>SUM(C19:C21)</f>
        <v>1463908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991381</v>
      </c>
      <c r="C27" s="235">
        <f>'DOE25'!G191+'DOE25'!G209+'DOE25'!G227+'DOE25'!G270+'DOE25'!G289+'DOE25'!G308</f>
        <v>467224</v>
      </c>
    </row>
    <row r="28" spans="1:3" x14ac:dyDescent="0.2">
      <c r="A28" t="s">
        <v>810</v>
      </c>
      <c r="B28" s="241">
        <v>857081</v>
      </c>
      <c r="C28" s="241">
        <v>387795</v>
      </c>
    </row>
    <row r="29" spans="1:3" x14ac:dyDescent="0.2">
      <c r="A29" t="s">
        <v>811</v>
      </c>
      <c r="B29" s="241">
        <f>134300</f>
        <v>134300</v>
      </c>
      <c r="C29" s="241">
        <v>79429</v>
      </c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991381</v>
      </c>
      <c r="C31" s="232">
        <f>SUM(C28:C30)</f>
        <v>467224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504071</v>
      </c>
      <c r="C36" s="236">
        <f>'DOE25'!G192+'DOE25'!G210+'DOE25'!G228+'DOE25'!G271+'DOE25'!G290+'DOE25'!G309</f>
        <v>114704</v>
      </c>
    </row>
    <row r="37" spans="1:3" x14ac:dyDescent="0.2">
      <c r="A37" t="s">
        <v>810</v>
      </c>
      <c r="B37" s="241">
        <f>11769+288</f>
        <v>12057</v>
      </c>
      <c r="C37" s="241">
        <v>1568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492014</v>
      </c>
      <c r="C39" s="241">
        <v>113136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504071</v>
      </c>
      <c r="C40" s="232">
        <f>SUM(C37:C39)</f>
        <v>114704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F5C1-C4C9-4B70-8686-330602D76B50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Claremont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18175545</v>
      </c>
      <c r="D5" s="20">
        <f>SUM('DOE25'!L189:L192)+SUM('DOE25'!L207:L210)+SUM('DOE25'!L225:L228)-F5-G5</f>
        <v>18038278</v>
      </c>
      <c r="E5" s="244"/>
      <c r="F5" s="256">
        <f>SUM('DOE25'!J189:J192)+SUM('DOE25'!J207:J210)+SUM('DOE25'!J225:J228)</f>
        <v>111052</v>
      </c>
      <c r="G5" s="53">
        <f>SUM('DOE25'!K189:K192)+SUM('DOE25'!K207:K210)+SUM('DOE25'!K225:K228)</f>
        <v>26215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1627337</v>
      </c>
      <c r="D6" s="20">
        <f>'DOE25'!L194+'DOE25'!L212+'DOE25'!L230-F6-G6</f>
        <v>1621430</v>
      </c>
      <c r="E6" s="244"/>
      <c r="F6" s="256">
        <f>'DOE25'!J194+'DOE25'!J212+'DOE25'!J230</f>
        <v>3744</v>
      </c>
      <c r="G6" s="53">
        <f>'DOE25'!K194+'DOE25'!K212+'DOE25'!K230</f>
        <v>2163</v>
      </c>
      <c r="H6" s="260"/>
    </row>
    <row r="7" spans="1:9" x14ac:dyDescent="0.2">
      <c r="A7" s="32">
        <v>2200</v>
      </c>
      <c r="B7" t="s">
        <v>865</v>
      </c>
      <c r="C7" s="246">
        <f t="shared" si="0"/>
        <v>513208</v>
      </c>
      <c r="D7" s="20">
        <f>'DOE25'!L195+'DOE25'!L213+'DOE25'!L231-F7-G7</f>
        <v>501420</v>
      </c>
      <c r="E7" s="244"/>
      <c r="F7" s="256">
        <f>'DOE25'!J195+'DOE25'!J213+'DOE25'!J231</f>
        <v>11293</v>
      </c>
      <c r="G7" s="53">
        <f>'DOE25'!K195+'DOE25'!K213+'DOE25'!K231</f>
        <v>495</v>
      </c>
      <c r="H7" s="260"/>
    </row>
    <row r="8" spans="1:9" x14ac:dyDescent="0.2">
      <c r="A8" s="32">
        <v>2300</v>
      </c>
      <c r="B8" t="s">
        <v>833</v>
      </c>
      <c r="C8" s="246">
        <f t="shared" si="0"/>
        <v>930783</v>
      </c>
      <c r="D8" s="244"/>
      <c r="E8" s="20">
        <f>'DOE25'!L196+'DOE25'!L214+'DOE25'!L232-F8-G8-D9-D11</f>
        <v>930783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167305</v>
      </c>
      <c r="D9" s="245">
        <v>167305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25200</v>
      </c>
      <c r="D10" s="244"/>
      <c r="E10" s="245">
        <v>25200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171441</v>
      </c>
      <c r="D11" s="245">
        <v>171441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1601750</v>
      </c>
      <c r="D12" s="20">
        <f>'DOE25'!L197+'DOE25'!L215+'DOE25'!L233-F12-G12</f>
        <v>1597980</v>
      </c>
      <c r="E12" s="244"/>
      <c r="F12" s="256">
        <f>'DOE25'!J197+'DOE25'!J215+'DOE25'!J233</f>
        <v>299</v>
      </c>
      <c r="G12" s="53">
        <f>'DOE25'!K197+'DOE25'!K215+'DOE25'!K233</f>
        <v>3471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2651881</v>
      </c>
      <c r="D14" s="20">
        <f>'DOE25'!L199+'DOE25'!L217+'DOE25'!L235-F14-G14</f>
        <v>2651881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1109082</v>
      </c>
      <c r="D15" s="20">
        <f>'DOE25'!L200+'DOE25'!L218+'DOE25'!L236-F15-G15</f>
        <v>1058565</v>
      </c>
      <c r="E15" s="244"/>
      <c r="F15" s="256">
        <f>'DOE25'!J200+'DOE25'!J218+'DOE25'!J236</f>
        <v>50517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430650</v>
      </c>
      <c r="D25" s="244"/>
      <c r="E25" s="244"/>
      <c r="F25" s="259"/>
      <c r="G25" s="257"/>
      <c r="H25" s="258">
        <f>'DOE25'!L252+'DOE25'!L253+'DOE25'!L333+'DOE25'!L334</f>
        <v>430650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276020</v>
      </c>
      <c r="D29" s="20">
        <f>'DOE25'!L350+'DOE25'!L351+'DOE25'!L352-'DOE25'!I359-F29-G29</f>
        <v>269242</v>
      </c>
      <c r="E29" s="244"/>
      <c r="F29" s="256">
        <f>'DOE25'!J350+'DOE25'!J351+'DOE25'!J352</f>
        <v>6677</v>
      </c>
      <c r="G29" s="53">
        <f>'DOE25'!K350+'DOE25'!K351+'DOE25'!K352</f>
        <v>101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3283227</v>
      </c>
      <c r="D31" s="20">
        <f>'DOE25'!L282+'DOE25'!L301+'DOE25'!L320+'DOE25'!L325+'DOE25'!L326+'DOE25'!L327-F31-G31</f>
        <v>3072452</v>
      </c>
      <c r="E31" s="244"/>
      <c r="F31" s="256">
        <f>'DOE25'!J282+'DOE25'!J301+'DOE25'!J320+'DOE25'!J325+'DOE25'!J326+'DOE25'!J327</f>
        <v>121562</v>
      </c>
      <c r="G31" s="53">
        <f>'DOE25'!K282+'DOE25'!K301+'DOE25'!K320+'DOE25'!K325+'DOE25'!K326+'DOE25'!K327</f>
        <v>89213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29149994</v>
      </c>
      <c r="E33" s="247">
        <f>SUM(E5:E31)</f>
        <v>955983</v>
      </c>
      <c r="F33" s="247">
        <f>SUM(F5:F31)</f>
        <v>305144</v>
      </c>
      <c r="G33" s="247">
        <f>SUM(G5:G31)</f>
        <v>121658</v>
      </c>
      <c r="H33" s="247">
        <f>SUM(H5:H31)</f>
        <v>430650</v>
      </c>
    </row>
    <row r="35" spans="2:8" ht="12" thickBot="1" x14ac:dyDescent="0.25">
      <c r="B35" s="254" t="s">
        <v>878</v>
      </c>
      <c r="D35" s="255">
        <f>E33</f>
        <v>955983</v>
      </c>
      <c r="E35" s="250"/>
    </row>
    <row r="36" spans="2:8" ht="12" thickTop="1" x14ac:dyDescent="0.2">
      <c r="B36" t="s">
        <v>846</v>
      </c>
      <c r="D36" s="20">
        <f>D33</f>
        <v>29149994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581C-5509-47AB-9B6F-BE15428A809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Claremont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-559523</v>
      </c>
      <c r="D9" s="95">
        <f>'DOE25'!G9</f>
        <v>0</v>
      </c>
      <c r="E9" s="95">
        <f>'DOE25'!H9</f>
        <v>54715</v>
      </c>
      <c r="F9" s="95">
        <f>'DOE25'!I9</f>
        <v>0</v>
      </c>
      <c r="G9" s="95">
        <f>'DOE25'!J9</f>
        <v>186163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771783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138331</v>
      </c>
      <c r="D13" s="95">
        <f>'DOE25'!G13</f>
        <v>97283</v>
      </c>
      <c r="E13" s="95">
        <f>'DOE25'!H13</f>
        <v>479985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1681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173843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524434</v>
      </c>
      <c r="D19" s="41">
        <f>SUM(D9:D18)</f>
        <v>97283</v>
      </c>
      <c r="E19" s="41">
        <f>SUM(E9:E18)</f>
        <v>536381</v>
      </c>
      <c r="F19" s="41">
        <f>SUM(F9:F18)</f>
        <v>0</v>
      </c>
      <c r="G19" s="41">
        <f>SUM(G9:G18)</f>
        <v>186163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257752</v>
      </c>
      <c r="D22" s="95">
        <f>'DOE25'!G23</f>
        <v>20633</v>
      </c>
      <c r="E22" s="95">
        <f>'DOE25'!H23</f>
        <v>493167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8099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150</v>
      </c>
      <c r="D24" s="95">
        <f>'DOE25'!G25</f>
        <v>377</v>
      </c>
      <c r="E24" s="95">
        <f>'DOE25'!H25</f>
        <v>2012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1745</v>
      </c>
      <c r="D29" s="95">
        <f>'DOE25'!G30</f>
        <v>0</v>
      </c>
      <c r="E29" s="95">
        <f>'DOE25'!H30</f>
        <v>765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686</v>
      </c>
      <c r="D31" s="95">
        <f>'DOE25'!G32</f>
        <v>0</v>
      </c>
      <c r="E31" s="95">
        <f>'DOE25'!H32</f>
        <v>424360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260333</v>
      </c>
      <c r="D32" s="41">
        <f>SUM(D22:D31)</f>
        <v>29109</v>
      </c>
      <c r="E32" s="41">
        <f>SUM(E22:E31)</f>
        <v>920304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93080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68174</v>
      </c>
      <c r="E40" s="95">
        <f>'DOE25'!H41</f>
        <v>-383923</v>
      </c>
      <c r="F40" s="95">
        <f>'DOE25'!I41</f>
        <v>0</v>
      </c>
      <c r="G40" s="95">
        <f>'DOE25'!J41</f>
        <v>186163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171021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264101</v>
      </c>
      <c r="D42" s="41">
        <f>SUM(D34:D41)</f>
        <v>68174</v>
      </c>
      <c r="E42" s="41">
        <f>SUM(E34:E41)</f>
        <v>-383923</v>
      </c>
      <c r="F42" s="41">
        <f>SUM(F34:F41)</f>
        <v>0</v>
      </c>
      <c r="G42" s="41">
        <f>SUM(G34:G41)</f>
        <v>186163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524434</v>
      </c>
      <c r="D43" s="41">
        <f>D42+D32</f>
        <v>97283</v>
      </c>
      <c r="E43" s="41">
        <f>E42+E32</f>
        <v>536381</v>
      </c>
      <c r="F43" s="41">
        <f>F42+F32</f>
        <v>0</v>
      </c>
      <c r="G43" s="41">
        <f>G42+G32</f>
        <v>186163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10952934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918967</v>
      </c>
      <c r="D49" s="24" t="s">
        <v>312</v>
      </c>
      <c r="E49" s="95">
        <f>'DOE25'!H71</f>
        <v>9636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8435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225885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179012</v>
      </c>
      <c r="D53" s="95">
        <f>SUM('DOE25'!G90:G102)</f>
        <v>4141</v>
      </c>
      <c r="E53" s="95">
        <f>SUM('DOE25'!H90:H102)</f>
        <v>222249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1106414</v>
      </c>
      <c r="D54" s="130">
        <f>SUM(D49:D53)</f>
        <v>230026</v>
      </c>
      <c r="E54" s="130">
        <f>SUM(E49:E53)</f>
        <v>231885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12059348</v>
      </c>
      <c r="D55" s="22">
        <f>D48+D54</f>
        <v>230026</v>
      </c>
      <c r="E55" s="22">
        <f>E48+E54</f>
        <v>231885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12055899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1846210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437264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14339373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99000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173238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13502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9511</v>
      </c>
      <c r="E69" s="95">
        <f>SUM('DOE25'!H123:H127)</f>
        <v>122163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285740</v>
      </c>
      <c r="D70" s="130">
        <f>SUM(D64:D69)</f>
        <v>9511</v>
      </c>
      <c r="E70" s="130">
        <f>SUM(E64:E69)</f>
        <v>122163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14625113</v>
      </c>
      <c r="D73" s="130">
        <f>SUM(D71:D72)+D70+D62</f>
        <v>9511</v>
      </c>
      <c r="E73" s="130">
        <f>SUM(E71:E72)+E70+E62</f>
        <v>122163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309556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282411</v>
      </c>
      <c r="D80" s="95">
        <f>SUM('DOE25'!G145:G153)</f>
        <v>407201</v>
      </c>
      <c r="E80" s="95">
        <f>SUM('DOE25'!H145:H153)</f>
        <v>2377027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591967</v>
      </c>
      <c r="D83" s="131">
        <f>SUM(D77:D82)</f>
        <v>407201</v>
      </c>
      <c r="E83" s="131">
        <f>SUM(E77:E82)</f>
        <v>2377027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251000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376748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61022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437770</v>
      </c>
      <c r="D95" s="86">
        <f>SUM(D85:D94)</f>
        <v>0</v>
      </c>
      <c r="E95" s="86">
        <f>SUM(E85:E94)</f>
        <v>251000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27714198</v>
      </c>
      <c r="D96" s="86">
        <f>D55+D73+D83+D95</f>
        <v>646738</v>
      </c>
      <c r="E96" s="86">
        <f>E55+E73+E83+E95</f>
        <v>2982075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10573223</v>
      </c>
      <c r="D101" s="24" t="s">
        <v>312</v>
      </c>
      <c r="E101" s="95">
        <f>('DOE25'!L268)+('DOE25'!L287)+('DOE25'!L306)</f>
        <v>244202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5613370</v>
      </c>
      <c r="D102" s="24" t="s">
        <v>312</v>
      </c>
      <c r="E102" s="95">
        <f>('DOE25'!L269)+('DOE25'!L288)+('DOE25'!L307)</f>
        <v>1889427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1549322</v>
      </c>
      <c r="D103" s="24" t="s">
        <v>312</v>
      </c>
      <c r="E103" s="95">
        <f>('DOE25'!L270)+('DOE25'!L289)+('DOE25'!L308)</f>
        <v>82536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439630</v>
      </c>
      <c r="D104" s="24" t="s">
        <v>312</v>
      </c>
      <c r="E104" s="95">
        <f>+('DOE25'!L271)+('DOE25'!L290)+('DOE25'!L309)</f>
        <v>420336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262059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18175545</v>
      </c>
      <c r="D107" s="86">
        <f>SUM(D101:D106)</f>
        <v>0</v>
      </c>
      <c r="E107" s="86">
        <f>SUM(E101:E106)</f>
        <v>2898560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1627337</v>
      </c>
      <c r="D110" s="24" t="s">
        <v>312</v>
      </c>
      <c r="E110" s="95">
        <f>+('DOE25'!L273)+('DOE25'!L292)+('DOE25'!L311)</f>
        <v>999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513208</v>
      </c>
      <c r="D111" s="24" t="s">
        <v>312</v>
      </c>
      <c r="E111" s="95">
        <f>+('DOE25'!L274)+('DOE25'!L293)+('DOE25'!L312)</f>
        <v>381528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1269529</v>
      </c>
      <c r="D112" s="24" t="s">
        <v>312</v>
      </c>
      <c r="E112" s="95">
        <f>+('DOE25'!L275)+('DOE25'!L294)+('DOE25'!L313)</f>
        <v>1840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1601750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2651881</v>
      </c>
      <c r="D115" s="24" t="s">
        <v>312</v>
      </c>
      <c r="E115" s="95">
        <f>+('DOE25'!L278)+('DOE25'!L297)+('DOE25'!L316)</f>
        <v>300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1109082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618806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8772787</v>
      </c>
      <c r="D120" s="86">
        <f>SUM(D110:D119)</f>
        <v>618806</v>
      </c>
      <c r="E120" s="86">
        <f>SUM(E110:E119)</f>
        <v>384667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330000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100650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376748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251000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681650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376748</v>
      </c>
    </row>
    <row r="137" spans="1:9" ht="12.75" thickTop="1" thickBot="1" x14ac:dyDescent="0.25">
      <c r="A137" s="33" t="s">
        <v>267</v>
      </c>
      <c r="C137" s="86">
        <f>(C107+C120+C136)</f>
        <v>27629982</v>
      </c>
      <c r="D137" s="86">
        <f>(D107+D120+D136)</f>
        <v>618806</v>
      </c>
      <c r="E137" s="86">
        <f>(E107+E120+E136)</f>
        <v>3283227</v>
      </c>
      <c r="F137" s="86">
        <f>(F107+F120+F136)</f>
        <v>0</v>
      </c>
      <c r="G137" s="86">
        <f>(G107+G120+G136)</f>
        <v>376748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6600000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1980000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1980000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330000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330000</v>
      </c>
    </row>
    <row r="151" spans="1:7" x14ac:dyDescent="0.2">
      <c r="A151" s="22" t="s">
        <v>35</v>
      </c>
      <c r="B151" s="137">
        <f>'DOE25'!F488</f>
        <v>1650000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1650000</v>
      </c>
    </row>
    <row r="152" spans="1:7" x14ac:dyDescent="0.2">
      <c r="A152" s="22" t="s">
        <v>36</v>
      </c>
      <c r="B152" s="137">
        <f>'DOE25'!F489</f>
        <v>230176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230176</v>
      </c>
    </row>
    <row r="153" spans="1:7" x14ac:dyDescent="0.2">
      <c r="A153" s="22" t="s">
        <v>37</v>
      </c>
      <c r="B153" s="137">
        <f>'DOE25'!F490</f>
        <v>1880176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1880176</v>
      </c>
    </row>
    <row r="154" spans="1:7" x14ac:dyDescent="0.2">
      <c r="A154" s="22" t="s">
        <v>38</v>
      </c>
      <c r="B154" s="137">
        <f>'DOE25'!F491</f>
        <v>330000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330000</v>
      </c>
    </row>
    <row r="155" spans="1:7" x14ac:dyDescent="0.2">
      <c r="A155" s="22" t="s">
        <v>39</v>
      </c>
      <c r="B155" s="137">
        <f>'DOE25'!F492</f>
        <v>82501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82501</v>
      </c>
    </row>
    <row r="156" spans="1:7" x14ac:dyDescent="0.2">
      <c r="A156" s="22" t="s">
        <v>269</v>
      </c>
      <c r="B156" s="137">
        <f>'DOE25'!F493</f>
        <v>412501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412501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F03F-44A9-4002-A488-F8FDF491008B}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Claremont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14478</v>
      </c>
    </row>
    <row r="5" spans="1:4" x14ac:dyDescent="0.2">
      <c r="B5" t="s">
        <v>735</v>
      </c>
      <c r="C5" s="179">
        <f>IF('DOE25'!G655+'DOE25'!G660=0,0,ROUND('DOE25'!G662,0))</f>
        <v>13981</v>
      </c>
    </row>
    <row r="6" spans="1:4" x14ac:dyDescent="0.2">
      <c r="B6" t="s">
        <v>62</v>
      </c>
      <c r="C6" s="179">
        <f>IF('DOE25'!H655+'DOE25'!H660=0,0,ROUND('DOE25'!H662,0))</f>
        <v>15979</v>
      </c>
    </row>
    <row r="7" spans="1:4" x14ac:dyDescent="0.2">
      <c r="B7" t="s">
        <v>736</v>
      </c>
      <c r="C7" s="179">
        <f>IF('DOE25'!I655+'DOE25'!I660=0,0,ROUND('DOE25'!I662,0))</f>
        <v>14829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10817425</v>
      </c>
      <c r="D10" s="182">
        <f>ROUND((C10/$C$28)*100,1)</f>
        <v>35.200000000000003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7502797</v>
      </c>
      <c r="D11" s="182">
        <f>ROUND((C11/$C$28)*100,1)</f>
        <v>24.4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1631858</v>
      </c>
      <c r="D12" s="182">
        <f>ROUND((C12/$C$28)*100,1)</f>
        <v>5.3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859966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1628336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894736</v>
      </c>
      <c r="D16" s="182">
        <f t="shared" si="0"/>
        <v>2.9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1271369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1601750</v>
      </c>
      <c r="D18" s="182">
        <f t="shared" si="0"/>
        <v>5.2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2652181</v>
      </c>
      <c r="D20" s="182">
        <f t="shared" si="0"/>
        <v>8.6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1109082</v>
      </c>
      <c r="D21" s="182">
        <f t="shared" si="0"/>
        <v>3.6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262059</v>
      </c>
      <c r="D24" s="182">
        <f t="shared" si="0"/>
        <v>0.9</v>
      </c>
    </row>
    <row r="25" spans="1:4" x14ac:dyDescent="0.2">
      <c r="A25">
        <v>5120</v>
      </c>
      <c r="B25" t="s">
        <v>751</v>
      </c>
      <c r="C25" s="179">
        <f>ROUND('DOE25'!L253+'DOE25'!L334,0)</f>
        <v>100650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388780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30720989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30720989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330000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10952934</v>
      </c>
      <c r="D35" s="182">
        <f t="shared" ref="D35:D40" si="1">ROUND((C35/$C$41)*100,1)</f>
        <v>36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1338299</v>
      </c>
      <c r="D36" s="182">
        <f t="shared" si="1"/>
        <v>4.4000000000000004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14339373</v>
      </c>
      <c r="D37" s="182">
        <f t="shared" si="1"/>
        <v>47.1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417414</v>
      </c>
      <c r="D38" s="182">
        <f t="shared" si="1"/>
        <v>1.4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3376195</v>
      </c>
      <c r="D39" s="182">
        <f t="shared" si="1"/>
        <v>11.1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30424215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B75D-4CD3-47CC-91C0-488959D2F6C0}">
  <sheetPr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Claremont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</v>
      </c>
      <c r="B4" s="220">
        <v>17</v>
      </c>
      <c r="C4" s="280" t="s">
        <v>897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2</v>
      </c>
      <c r="C5" s="280" t="s">
        <v>898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2011-10-21T14:14:31Z</cp:lastPrinted>
  <dcterms:created xsi:type="dcterms:W3CDTF">1997-12-04T19:04:30Z</dcterms:created>
  <dcterms:modified xsi:type="dcterms:W3CDTF">2025-01-09T20:33:46Z</dcterms:modified>
</cp:coreProperties>
</file>