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0127698-6699-4395-9ADD-F42B53D49258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305AFC6D-8983-4F4C-957A-9B9CFB620FD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" l="1"/>
  <c r="B38" i="12"/>
  <c r="B37" i="12"/>
  <c r="B39" i="12"/>
  <c r="B20" i="12"/>
  <c r="B19" i="12"/>
  <c r="B12" i="12"/>
  <c r="B11" i="12"/>
  <c r="B10" i="12"/>
  <c r="B13" i="12" s="1"/>
  <c r="H594" i="1"/>
  <c r="H595" i="1" s="1"/>
  <c r="I200" i="1"/>
  <c r="J594" i="1"/>
  <c r="J595" i="1" s="1"/>
  <c r="H274" i="1"/>
  <c r="I273" i="1"/>
  <c r="H273" i="1"/>
  <c r="H282" i="1" s="1"/>
  <c r="H330" i="1" s="1"/>
  <c r="H344" i="1" s="1"/>
  <c r="K274" i="1"/>
  <c r="H230" i="1"/>
  <c r="G455" i="1"/>
  <c r="G601" i="1"/>
  <c r="F601" i="1"/>
  <c r="G603" i="1"/>
  <c r="G604" i="1" s="1"/>
  <c r="H581" i="1"/>
  <c r="J581" i="1"/>
  <c r="G513" i="1"/>
  <c r="G514" i="1" s="1"/>
  <c r="I513" i="1"/>
  <c r="F513" i="1"/>
  <c r="J531" i="1"/>
  <c r="J534" i="1" s="1"/>
  <c r="J535" i="1" s="1"/>
  <c r="I531" i="1"/>
  <c r="H531" i="1"/>
  <c r="G531" i="1"/>
  <c r="L531" i="1" s="1"/>
  <c r="H516" i="1"/>
  <c r="G516" i="1"/>
  <c r="F516" i="1"/>
  <c r="I516" i="1"/>
  <c r="I519" i="1" s="1"/>
  <c r="F511" i="1"/>
  <c r="I511" i="1"/>
  <c r="I514" i="1" s="1"/>
  <c r="H511" i="1"/>
  <c r="G511" i="1"/>
  <c r="L511" i="1" s="1"/>
  <c r="H392" i="1"/>
  <c r="L392" i="1" s="1"/>
  <c r="H388" i="1"/>
  <c r="H393" i="1" s="1"/>
  <c r="H400" i="1" s="1"/>
  <c r="H634" i="1" s="1"/>
  <c r="J634" i="1" s="1"/>
  <c r="F360" i="1"/>
  <c r="I360" i="1" s="1"/>
  <c r="I361" i="1" s="1"/>
  <c r="H624" i="1" s="1"/>
  <c r="H360" i="1"/>
  <c r="H361" i="1" s="1"/>
  <c r="I352" i="1"/>
  <c r="H352" i="1"/>
  <c r="G352" i="1"/>
  <c r="K255" i="1"/>
  <c r="H236" i="1"/>
  <c r="L236" i="1" s="1"/>
  <c r="I235" i="1"/>
  <c r="H235" i="1"/>
  <c r="G235" i="1"/>
  <c r="F235" i="1"/>
  <c r="J233" i="1"/>
  <c r="I233" i="1"/>
  <c r="H233" i="1"/>
  <c r="G233" i="1"/>
  <c r="F233" i="1"/>
  <c r="L233" i="1" s="1"/>
  <c r="H232" i="1"/>
  <c r="H239" i="1" s="1"/>
  <c r="I232" i="1"/>
  <c r="G232" i="1"/>
  <c r="I231" i="1"/>
  <c r="H231" i="1"/>
  <c r="G231" i="1"/>
  <c r="F231" i="1"/>
  <c r="L231" i="1" s="1"/>
  <c r="K230" i="1"/>
  <c r="G6" i="13" s="1"/>
  <c r="J230" i="1"/>
  <c r="I230" i="1"/>
  <c r="G230" i="1"/>
  <c r="F230" i="1"/>
  <c r="L230" i="1" s="1"/>
  <c r="G228" i="1"/>
  <c r="F228" i="1"/>
  <c r="K228" i="1"/>
  <c r="K239" i="1" s="1"/>
  <c r="K249" i="1" s="1"/>
  <c r="K263" i="1" s="1"/>
  <c r="I228" i="1"/>
  <c r="H228" i="1"/>
  <c r="I226" i="1"/>
  <c r="G226" i="1"/>
  <c r="F226" i="1"/>
  <c r="B18" i="12" s="1"/>
  <c r="A22" i="12" s="1"/>
  <c r="I225" i="1"/>
  <c r="H225" i="1"/>
  <c r="G225" i="1"/>
  <c r="F225" i="1"/>
  <c r="F239" i="1" s="1"/>
  <c r="G194" i="1"/>
  <c r="L194" i="1" s="1"/>
  <c r="H192" i="1"/>
  <c r="G192" i="1"/>
  <c r="L192" i="1" s="1"/>
  <c r="I350" i="1"/>
  <c r="H350" i="1"/>
  <c r="G350" i="1"/>
  <c r="F350" i="1"/>
  <c r="G273" i="1"/>
  <c r="J268" i="1"/>
  <c r="L268" i="1" s="1"/>
  <c r="I268" i="1"/>
  <c r="G274" i="1"/>
  <c r="F274" i="1"/>
  <c r="F282" i="1" s="1"/>
  <c r="F330" i="1" s="1"/>
  <c r="F344" i="1" s="1"/>
  <c r="K277" i="1"/>
  <c r="I274" i="1"/>
  <c r="G271" i="1"/>
  <c r="L271" i="1" s="1"/>
  <c r="E104" i="2" s="1"/>
  <c r="F271" i="1"/>
  <c r="G275" i="1"/>
  <c r="F275" i="1"/>
  <c r="L275" i="1" s="1"/>
  <c r="E112" i="2" s="1"/>
  <c r="I269" i="1"/>
  <c r="G269" i="1"/>
  <c r="F269" i="1"/>
  <c r="L269" i="1" s="1"/>
  <c r="E102" i="2" s="1"/>
  <c r="H200" i="1"/>
  <c r="L200" i="1"/>
  <c r="I199" i="1"/>
  <c r="H199" i="1"/>
  <c r="L199" i="1" s="1"/>
  <c r="G199" i="1"/>
  <c r="I197" i="1"/>
  <c r="I203" i="1" s="1"/>
  <c r="I249" i="1" s="1"/>
  <c r="I263" i="1" s="1"/>
  <c r="H197" i="1"/>
  <c r="G197" i="1"/>
  <c r="F197" i="1"/>
  <c r="L197" i="1" s="1"/>
  <c r="H196" i="1"/>
  <c r="I196" i="1"/>
  <c r="G196" i="1"/>
  <c r="L196" i="1" s="1"/>
  <c r="I195" i="1"/>
  <c r="H195" i="1"/>
  <c r="G195" i="1"/>
  <c r="F195" i="1"/>
  <c r="F203" i="1" s="1"/>
  <c r="F249" i="1" s="1"/>
  <c r="F263" i="1" s="1"/>
  <c r="K194" i="1"/>
  <c r="J194" i="1"/>
  <c r="I194" i="1"/>
  <c r="H194" i="1"/>
  <c r="F194" i="1"/>
  <c r="F192" i="1"/>
  <c r="B36" i="12" s="1"/>
  <c r="I190" i="1"/>
  <c r="H190" i="1"/>
  <c r="G190" i="1"/>
  <c r="F190" i="1"/>
  <c r="L190" i="1" s="1"/>
  <c r="H189" i="1"/>
  <c r="J189" i="1"/>
  <c r="J203" i="1" s="1"/>
  <c r="J249" i="1" s="1"/>
  <c r="I189" i="1"/>
  <c r="G189" i="1"/>
  <c r="L189" i="1" s="1"/>
  <c r="F189" i="1"/>
  <c r="H147" i="1"/>
  <c r="H146" i="1"/>
  <c r="E80" i="2" s="1"/>
  <c r="H137" i="1"/>
  <c r="H139" i="1" s="1"/>
  <c r="H23" i="1"/>
  <c r="H33" i="1" s="1"/>
  <c r="H44" i="1" s="1"/>
  <c r="H609" i="1" s="1"/>
  <c r="G41" i="1"/>
  <c r="G25" i="1"/>
  <c r="F42" i="1"/>
  <c r="C41" i="2" s="1"/>
  <c r="F30" i="1"/>
  <c r="F33" i="1" s="1"/>
  <c r="H523" i="1"/>
  <c r="H521" i="1"/>
  <c r="L521" i="1" s="1"/>
  <c r="F492" i="1"/>
  <c r="C37" i="10"/>
  <c r="C60" i="2"/>
  <c r="B2" i="13"/>
  <c r="F8" i="13"/>
  <c r="G8" i="13"/>
  <c r="L214" i="1"/>
  <c r="D39" i="13"/>
  <c r="F13" i="13"/>
  <c r="G13" i="13"/>
  <c r="E13" i="13" s="1"/>
  <c r="C13" i="13" s="1"/>
  <c r="L198" i="1"/>
  <c r="L216" i="1"/>
  <c r="L234" i="1"/>
  <c r="C114" i="2" s="1"/>
  <c r="F16" i="13"/>
  <c r="G16" i="13"/>
  <c r="L201" i="1"/>
  <c r="L219" i="1"/>
  <c r="L237" i="1"/>
  <c r="C117" i="2" s="1"/>
  <c r="E16" i="13"/>
  <c r="C16" i="13" s="1"/>
  <c r="G5" i="13"/>
  <c r="L191" i="1"/>
  <c r="C12" i="10" s="1"/>
  <c r="L207" i="1"/>
  <c r="L221" i="1" s="1"/>
  <c r="G650" i="1" s="1"/>
  <c r="L208" i="1"/>
  <c r="L209" i="1"/>
  <c r="L210" i="1"/>
  <c r="L226" i="1"/>
  <c r="L227" i="1"/>
  <c r="F6" i="13"/>
  <c r="L212" i="1"/>
  <c r="F7" i="13"/>
  <c r="G7" i="13"/>
  <c r="L213" i="1"/>
  <c r="F12" i="13"/>
  <c r="G12" i="13"/>
  <c r="L215" i="1"/>
  <c r="F14" i="13"/>
  <c r="G14" i="13"/>
  <c r="L217" i="1"/>
  <c r="L235" i="1"/>
  <c r="F15" i="13"/>
  <c r="G15" i="13"/>
  <c r="L218" i="1"/>
  <c r="G652" i="1" s="1"/>
  <c r="F17" i="13"/>
  <c r="D17" i="13" s="1"/>
  <c r="C17" i="13" s="1"/>
  <c r="G17" i="13"/>
  <c r="L243" i="1"/>
  <c r="F18" i="13"/>
  <c r="G18" i="13"/>
  <c r="L244" i="1"/>
  <c r="F19" i="13"/>
  <c r="G19" i="13"/>
  <c r="L245" i="1"/>
  <c r="C106" i="2" s="1"/>
  <c r="F29" i="13"/>
  <c r="G29" i="13"/>
  <c r="L350" i="1"/>
  <c r="L351" i="1"/>
  <c r="I359" i="1"/>
  <c r="J282" i="1"/>
  <c r="J301" i="1"/>
  <c r="J320" i="1"/>
  <c r="K301" i="1"/>
  <c r="K320" i="1"/>
  <c r="L270" i="1"/>
  <c r="E103" i="2" s="1"/>
  <c r="L273" i="1"/>
  <c r="L276" i="1"/>
  <c r="E113" i="2" s="1"/>
  <c r="L278" i="1"/>
  <c r="L279" i="1"/>
  <c r="E116" i="2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E115" i="2" s="1"/>
  <c r="L317" i="1"/>
  <c r="L318" i="1"/>
  <c r="L325" i="1"/>
  <c r="L326" i="1"/>
  <c r="L327" i="1"/>
  <c r="L252" i="1"/>
  <c r="L253" i="1"/>
  <c r="L333" i="1"/>
  <c r="L334" i="1"/>
  <c r="C25" i="10" s="1"/>
  <c r="L247" i="1"/>
  <c r="F22" i="13" s="1"/>
  <c r="C22" i="13" s="1"/>
  <c r="L328" i="1"/>
  <c r="C11" i="13"/>
  <c r="C10" i="13"/>
  <c r="C9" i="13"/>
  <c r="L353" i="1"/>
  <c r="B4" i="12"/>
  <c r="B40" i="12"/>
  <c r="C40" i="12"/>
  <c r="B27" i="12"/>
  <c r="C27" i="12"/>
  <c r="B31" i="12"/>
  <c r="A31" i="12" s="1"/>
  <c r="C31" i="12"/>
  <c r="C13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2" i="1"/>
  <c r="G653" i="1" s="1"/>
  <c r="L601" i="1"/>
  <c r="C40" i="10"/>
  <c r="F52" i="1"/>
  <c r="G52" i="1"/>
  <c r="C35" i="10" s="1"/>
  <c r="H52" i="1"/>
  <c r="I52" i="1"/>
  <c r="F71" i="1"/>
  <c r="C49" i="2" s="1"/>
  <c r="C54" i="2" s="1"/>
  <c r="F86" i="1"/>
  <c r="F103" i="1"/>
  <c r="G103" i="1"/>
  <c r="H71" i="1"/>
  <c r="E49" i="2" s="1"/>
  <c r="H86" i="1"/>
  <c r="E50" i="2" s="1"/>
  <c r="H103" i="1"/>
  <c r="I103" i="1"/>
  <c r="I104" i="1"/>
  <c r="J103" i="1"/>
  <c r="F113" i="1"/>
  <c r="F132" i="1" s="1"/>
  <c r="C38" i="10" s="1"/>
  <c r="F128" i="1"/>
  <c r="G113" i="1"/>
  <c r="G128" i="1"/>
  <c r="G132" i="1"/>
  <c r="H113" i="1"/>
  <c r="H128" i="1"/>
  <c r="H132" i="1" s="1"/>
  <c r="I113" i="1"/>
  <c r="I128" i="1"/>
  <c r="I132" i="1" s="1"/>
  <c r="J113" i="1"/>
  <c r="J132" i="1" s="1"/>
  <c r="J128" i="1"/>
  <c r="F139" i="1"/>
  <c r="F154" i="1"/>
  <c r="F161" i="1"/>
  <c r="G139" i="1"/>
  <c r="G154" i="1"/>
  <c r="G161" i="1" s="1"/>
  <c r="H154" i="1"/>
  <c r="I139" i="1"/>
  <c r="I161" i="1" s="1"/>
  <c r="I154" i="1"/>
  <c r="L242" i="1"/>
  <c r="L324" i="1"/>
  <c r="C23" i="10"/>
  <c r="L246" i="1"/>
  <c r="L260" i="1"/>
  <c r="L261" i="1"/>
  <c r="L341" i="1"/>
  <c r="E134" i="2" s="1"/>
  <c r="L342" i="1"/>
  <c r="E135" i="2" s="1"/>
  <c r="I655" i="1"/>
  <c r="I660" i="1"/>
  <c r="I659" i="1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2" i="1"/>
  <c r="F540" i="1" s="1"/>
  <c r="L517" i="1"/>
  <c r="G540" i="1"/>
  <c r="L518" i="1"/>
  <c r="G541" i="1"/>
  <c r="L522" i="1"/>
  <c r="H540" i="1" s="1"/>
  <c r="L523" i="1"/>
  <c r="H541" i="1"/>
  <c r="L526" i="1"/>
  <c r="I539" i="1"/>
  <c r="L527" i="1"/>
  <c r="L529" i="1" s="1"/>
  <c r="I540" i="1"/>
  <c r="I542" i="1" s="1"/>
  <c r="L528" i="1"/>
  <c r="I541" i="1"/>
  <c r="L532" i="1"/>
  <c r="J540" i="1" s="1"/>
  <c r="L533" i="1"/>
  <c r="J541" i="1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D19" i="2" s="1"/>
  <c r="E9" i="2"/>
  <c r="F9" i="2"/>
  <c r="F19" i="2" s="1"/>
  <c r="I431" i="1"/>
  <c r="J9" i="1"/>
  <c r="C10" i="2"/>
  <c r="D10" i="2"/>
  <c r="E10" i="2"/>
  <c r="F10" i="2"/>
  <c r="I432" i="1"/>
  <c r="I438" i="1" s="1"/>
  <c r="G632" i="1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/>
  <c r="C23" i="2"/>
  <c r="D23" i="2"/>
  <c r="D32" i="2" s="1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E32" i="2"/>
  <c r="F31" i="2"/>
  <c r="I443" i="1"/>
  <c r="J32" i="1" s="1"/>
  <c r="C34" i="2"/>
  <c r="D34" i="2"/>
  <c r="D42" i="2" s="1"/>
  <c r="E34" i="2"/>
  <c r="F34" i="2"/>
  <c r="F42" i="2" s="1"/>
  <c r="F43" i="2" s="1"/>
  <c r="C35" i="2"/>
  <c r="D35" i="2"/>
  <c r="E35" i="2"/>
  <c r="E42" i="2" s="1"/>
  <c r="E43" i="2" s="1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D41" i="2"/>
  <c r="E41" i="2"/>
  <c r="F41" i="2"/>
  <c r="C48" i="2"/>
  <c r="D48" i="2"/>
  <c r="E48" i="2"/>
  <c r="F48" i="2"/>
  <c r="F55" i="2" s="1"/>
  <c r="C50" i="2"/>
  <c r="C51" i="2"/>
  <c r="D51" i="2"/>
  <c r="D54" i="2" s="1"/>
  <c r="E51" i="2"/>
  <c r="F51" i="2"/>
  <c r="D52" i="2"/>
  <c r="C53" i="2"/>
  <c r="D53" i="2"/>
  <c r="E53" i="2"/>
  <c r="F53" i="2"/>
  <c r="C58" i="2"/>
  <c r="C59" i="2"/>
  <c r="C61" i="2"/>
  <c r="D61" i="2"/>
  <c r="D62" i="2" s="1"/>
  <c r="D73" i="2" s="1"/>
  <c r="E61" i="2"/>
  <c r="E62" i="2"/>
  <c r="F61" i="2"/>
  <c r="F62" i="2" s="1"/>
  <c r="F73" i="2" s="1"/>
  <c r="G61" i="2"/>
  <c r="G62" i="2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/>
  <c r="E69" i="2"/>
  <c r="F69" i="2"/>
  <c r="G69" i="2"/>
  <c r="G70" i="2" s="1"/>
  <c r="G73" i="2" s="1"/>
  <c r="C71" i="2"/>
  <c r="D71" i="2"/>
  <c r="E71" i="2"/>
  <c r="C72" i="2"/>
  <c r="E72" i="2"/>
  <c r="C77" i="2"/>
  <c r="D77" i="2"/>
  <c r="D83" i="2" s="1"/>
  <c r="F77" i="2"/>
  <c r="F83" i="2" s="1"/>
  <c r="C79" i="2"/>
  <c r="C83" i="2" s="1"/>
  <c r="E79" i="2"/>
  <c r="F79" i="2"/>
  <c r="C80" i="2"/>
  <c r="D80" i="2"/>
  <c r="F80" i="2"/>
  <c r="C81" i="2"/>
  <c r="D81" i="2"/>
  <c r="E81" i="2"/>
  <c r="F81" i="2"/>
  <c r="C82" i="2"/>
  <c r="C85" i="2"/>
  <c r="F85" i="2"/>
  <c r="C86" i="2"/>
  <c r="C95" i="2" s="1"/>
  <c r="F86" i="2"/>
  <c r="D88" i="2"/>
  <c r="D95" i="2" s="1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E92" i="2"/>
  <c r="E93" i="2"/>
  <c r="E94" i="2"/>
  <c r="F91" i="2"/>
  <c r="C92" i="2"/>
  <c r="D92" i="2"/>
  <c r="F92" i="2"/>
  <c r="C93" i="2"/>
  <c r="D93" i="2"/>
  <c r="F93" i="2"/>
  <c r="C94" i="2"/>
  <c r="D94" i="2"/>
  <c r="F94" i="2"/>
  <c r="C103" i="2"/>
  <c r="C105" i="2"/>
  <c r="E105" i="2"/>
  <c r="E106" i="2"/>
  <c r="D107" i="2"/>
  <c r="F107" i="2"/>
  <c r="G107" i="2"/>
  <c r="E110" i="2"/>
  <c r="E117" i="2"/>
  <c r="F120" i="2"/>
  <c r="G120" i="2"/>
  <c r="C122" i="2"/>
  <c r="E122" i="2"/>
  <c r="D126" i="2"/>
  <c r="D136" i="2"/>
  <c r="E126" i="2"/>
  <c r="E127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H490" i="1"/>
  <c r="D153" i="2" s="1"/>
  <c r="I490" i="1"/>
  <c r="E153" i="2"/>
  <c r="J490" i="1"/>
  <c r="F153" i="2"/>
  <c r="B154" i="2"/>
  <c r="C154" i="2"/>
  <c r="D154" i="2"/>
  <c r="E154" i="2"/>
  <c r="F154" i="2"/>
  <c r="G154" i="2" s="1"/>
  <c r="B155" i="2"/>
  <c r="C155" i="2"/>
  <c r="G155" i="2" s="1"/>
  <c r="D155" i="2"/>
  <c r="E155" i="2"/>
  <c r="F155" i="2"/>
  <c r="F493" i="1"/>
  <c r="B156" i="2"/>
  <c r="G493" i="1"/>
  <c r="C156" i="2" s="1"/>
  <c r="H493" i="1"/>
  <c r="D156" i="2"/>
  <c r="I493" i="1"/>
  <c r="K493" i="1" s="1"/>
  <c r="J493" i="1"/>
  <c r="F156" i="2" s="1"/>
  <c r="F19" i="1"/>
  <c r="G607" i="1" s="1"/>
  <c r="G19" i="1"/>
  <c r="G608" i="1" s="1"/>
  <c r="J608" i="1" s="1"/>
  <c r="H19" i="1"/>
  <c r="I19" i="1"/>
  <c r="G610" i="1" s="1"/>
  <c r="J610" i="1" s="1"/>
  <c r="G33" i="1"/>
  <c r="I33" i="1"/>
  <c r="F43" i="1"/>
  <c r="G612" i="1" s="1"/>
  <c r="J612" i="1" s="1"/>
  <c r="G43" i="1"/>
  <c r="G44" i="1"/>
  <c r="H608" i="1"/>
  <c r="H43" i="1"/>
  <c r="I43" i="1"/>
  <c r="I44" i="1" s="1"/>
  <c r="H610" i="1" s="1"/>
  <c r="F169" i="1"/>
  <c r="F184" i="1" s="1"/>
  <c r="I169" i="1"/>
  <c r="F175" i="1"/>
  <c r="G175" i="1"/>
  <c r="H175" i="1"/>
  <c r="H184" i="1" s="1"/>
  <c r="I175" i="1"/>
  <c r="J175" i="1"/>
  <c r="G635" i="1" s="1"/>
  <c r="F180" i="1"/>
  <c r="G180" i="1"/>
  <c r="G184" i="1" s="1"/>
  <c r="H180" i="1"/>
  <c r="I180" i="1"/>
  <c r="I184" i="1" s="1"/>
  <c r="K203" i="1"/>
  <c r="F221" i="1"/>
  <c r="G221" i="1"/>
  <c r="H221" i="1"/>
  <c r="I221" i="1"/>
  <c r="J221" i="1"/>
  <c r="K221" i="1"/>
  <c r="I239" i="1"/>
  <c r="J239" i="1"/>
  <c r="F248" i="1"/>
  <c r="G248" i="1"/>
  <c r="L248" i="1" s="1"/>
  <c r="H248" i="1"/>
  <c r="I248" i="1"/>
  <c r="J248" i="1"/>
  <c r="K248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L329" i="1"/>
  <c r="J329" i="1"/>
  <c r="J330" i="1"/>
  <c r="J344" i="1" s="1"/>
  <c r="K329" i="1"/>
  <c r="F354" i="1"/>
  <c r="H354" i="1"/>
  <c r="I354" i="1"/>
  <c r="J354" i="1"/>
  <c r="K354" i="1"/>
  <c r="F361" i="1"/>
  <c r="G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I393" i="1"/>
  <c r="I400" i="1" s="1"/>
  <c r="F399" i="1"/>
  <c r="G399" i="1"/>
  <c r="H399" i="1"/>
  <c r="I399" i="1"/>
  <c r="G400" i="1"/>
  <c r="H635" i="1" s="1"/>
  <c r="L405" i="1"/>
  <c r="L406" i="1"/>
  <c r="L407" i="1"/>
  <c r="L408" i="1"/>
  <c r="L411" i="1" s="1"/>
  <c r="L409" i="1"/>
  <c r="L410" i="1"/>
  <c r="F411" i="1"/>
  <c r="F426" i="1" s="1"/>
  <c r="G411" i="1"/>
  <c r="H411" i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G426" i="1"/>
  <c r="F438" i="1"/>
  <c r="G438" i="1"/>
  <c r="H438" i="1"/>
  <c r="G631" i="1" s="1"/>
  <c r="J631" i="1" s="1"/>
  <c r="F444" i="1"/>
  <c r="G444" i="1"/>
  <c r="G451" i="1" s="1"/>
  <c r="H630" i="1" s="1"/>
  <c r="J630" i="1" s="1"/>
  <c r="H444" i="1"/>
  <c r="F450" i="1"/>
  <c r="G450" i="1"/>
  <c r="H450" i="1"/>
  <c r="F451" i="1"/>
  <c r="H629" i="1" s="1"/>
  <c r="H451" i="1"/>
  <c r="H631" i="1" s="1"/>
  <c r="F460" i="1"/>
  <c r="G460" i="1"/>
  <c r="H460" i="1"/>
  <c r="I460" i="1"/>
  <c r="J460" i="1"/>
  <c r="F464" i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H514" i="1"/>
  <c r="J514" i="1"/>
  <c r="K514" i="1"/>
  <c r="F519" i="1"/>
  <c r="G519" i="1"/>
  <c r="H519" i="1"/>
  <c r="J519" i="1"/>
  <c r="K519" i="1"/>
  <c r="F524" i="1"/>
  <c r="G524" i="1"/>
  <c r="I524" i="1"/>
  <c r="J524" i="1"/>
  <c r="K524" i="1"/>
  <c r="K535" i="1" s="1"/>
  <c r="F529" i="1"/>
  <c r="G529" i="1"/>
  <c r="H529" i="1"/>
  <c r="I529" i="1"/>
  <c r="J529" i="1"/>
  <c r="K529" i="1"/>
  <c r="F534" i="1"/>
  <c r="H534" i="1"/>
  <c r="I534" i="1"/>
  <c r="K534" i="1"/>
  <c r="L547" i="1"/>
  <c r="L548" i="1"/>
  <c r="L550" i="1" s="1"/>
  <c r="L549" i="1"/>
  <c r="F550" i="1"/>
  <c r="F561" i="1" s="1"/>
  <c r="G550" i="1"/>
  <c r="G561" i="1" s="1"/>
  <c r="H550" i="1"/>
  <c r="H561" i="1" s="1"/>
  <c r="I550" i="1"/>
  <c r="I561" i="1" s="1"/>
  <c r="J550" i="1"/>
  <c r="J561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J588" i="1"/>
  <c r="H641" i="1"/>
  <c r="K592" i="1"/>
  <c r="K593" i="1"/>
  <c r="I595" i="1"/>
  <c r="F604" i="1"/>
  <c r="H604" i="1"/>
  <c r="I604" i="1"/>
  <c r="J604" i="1"/>
  <c r="K604" i="1"/>
  <c r="G609" i="1"/>
  <c r="J609" i="1" s="1"/>
  <c r="G613" i="1"/>
  <c r="G614" i="1"/>
  <c r="J614" i="1" s="1"/>
  <c r="G615" i="1"/>
  <c r="J615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G630" i="1"/>
  <c r="G633" i="1"/>
  <c r="G634" i="1"/>
  <c r="H640" i="1"/>
  <c r="G642" i="1"/>
  <c r="J642" i="1" s="1"/>
  <c r="H642" i="1"/>
  <c r="G643" i="1"/>
  <c r="J643" i="1"/>
  <c r="H643" i="1"/>
  <c r="G644" i="1"/>
  <c r="H644" i="1"/>
  <c r="J644" i="1" s="1"/>
  <c r="G645" i="1"/>
  <c r="J645" i="1" s="1"/>
  <c r="H645" i="1"/>
  <c r="G466" i="1"/>
  <c r="H613" i="1" s="1"/>
  <c r="H466" i="1"/>
  <c r="H614" i="1"/>
  <c r="J466" i="1"/>
  <c r="H616" i="1" s="1"/>
  <c r="F31" i="13"/>
  <c r="L320" i="1"/>
  <c r="H25" i="13"/>
  <c r="C25" i="13" s="1"/>
  <c r="G639" i="1"/>
  <c r="F652" i="1"/>
  <c r="F104" i="1"/>
  <c r="F466" i="1"/>
  <c r="H612" i="1" s="1"/>
  <c r="F70" i="2"/>
  <c r="F32" i="2"/>
  <c r="F95" i="2"/>
  <c r="C62" i="2"/>
  <c r="F54" i="2"/>
  <c r="E19" i="2"/>
  <c r="C19" i="2"/>
  <c r="D18" i="13"/>
  <c r="C18" i="13" s="1"/>
  <c r="G22" i="2"/>
  <c r="K282" i="1" l="1"/>
  <c r="L277" i="1"/>
  <c r="I535" i="1"/>
  <c r="L352" i="1"/>
  <c r="G354" i="1"/>
  <c r="J185" i="1"/>
  <c r="L203" i="1"/>
  <c r="C104" i="2"/>
  <c r="L232" i="1"/>
  <c r="C17" i="10" s="1"/>
  <c r="H652" i="1"/>
  <c r="G641" i="1"/>
  <c r="J641" i="1" s="1"/>
  <c r="L516" i="1"/>
  <c r="H203" i="1"/>
  <c r="H249" i="1" s="1"/>
  <c r="H263" i="1" s="1"/>
  <c r="C15" i="10"/>
  <c r="C110" i="2"/>
  <c r="D6" i="13"/>
  <c r="C6" i="13" s="1"/>
  <c r="D14" i="13"/>
  <c r="C14" i="13" s="1"/>
  <c r="C20" i="10"/>
  <c r="C115" i="2"/>
  <c r="G137" i="2"/>
  <c r="G42" i="2"/>
  <c r="D43" i="2"/>
  <c r="K540" i="1"/>
  <c r="L534" i="1"/>
  <c r="J539" i="1"/>
  <c r="J542" i="1" s="1"/>
  <c r="H588" i="1"/>
  <c r="H639" i="1" s="1"/>
  <c r="J639" i="1" s="1"/>
  <c r="K581" i="1"/>
  <c r="K588" i="1" s="1"/>
  <c r="G637" i="1" s="1"/>
  <c r="L400" i="1"/>
  <c r="C130" i="2"/>
  <c r="C136" i="2" s="1"/>
  <c r="J629" i="1"/>
  <c r="F96" i="2"/>
  <c r="C42" i="2"/>
  <c r="E8" i="13"/>
  <c r="E101" i="2"/>
  <c r="E107" i="2" s="1"/>
  <c r="C133" i="2"/>
  <c r="H539" i="1"/>
  <c r="H542" i="1" s="1"/>
  <c r="L524" i="1"/>
  <c r="J263" i="1"/>
  <c r="H638" i="1"/>
  <c r="J635" i="1"/>
  <c r="C102" i="2"/>
  <c r="C11" i="10"/>
  <c r="F185" i="1"/>
  <c r="G617" i="1" s="1"/>
  <c r="J617" i="1" s="1"/>
  <c r="L561" i="1"/>
  <c r="G31" i="2"/>
  <c r="J33" i="1"/>
  <c r="I185" i="1"/>
  <c r="G620" i="1" s="1"/>
  <c r="J620" i="1" s="1"/>
  <c r="F651" i="1"/>
  <c r="I652" i="1"/>
  <c r="D55" i="2"/>
  <c r="D96" i="2" s="1"/>
  <c r="J19" i="1"/>
  <c r="G611" i="1" s="1"/>
  <c r="E77" i="2"/>
  <c r="E83" i="2" s="1"/>
  <c r="H161" i="1"/>
  <c r="C39" i="10" s="1"/>
  <c r="A40" i="12"/>
  <c r="G32" i="2"/>
  <c r="J613" i="1"/>
  <c r="L426" i="1"/>
  <c r="G628" i="1" s="1"/>
  <c r="J628" i="1" s="1"/>
  <c r="J607" i="1"/>
  <c r="C55" i="2"/>
  <c r="C96" i="2" s="1"/>
  <c r="E54" i="2"/>
  <c r="E55" i="2" s="1"/>
  <c r="E96" i="2" s="1"/>
  <c r="D12" i="13"/>
  <c r="C12" i="13" s="1"/>
  <c r="C18" i="10"/>
  <c r="C113" i="2"/>
  <c r="F539" i="1"/>
  <c r="L514" i="1"/>
  <c r="G239" i="1"/>
  <c r="L228" i="1"/>
  <c r="C13" i="10" s="1"/>
  <c r="H637" i="1"/>
  <c r="F122" i="2"/>
  <c r="F136" i="2" s="1"/>
  <c r="F137" i="2" s="1"/>
  <c r="H104" i="1"/>
  <c r="H185" i="1" s="1"/>
  <c r="G619" i="1" s="1"/>
  <c r="J619" i="1" s="1"/>
  <c r="C26" i="10"/>
  <c r="E156" i="2"/>
  <c r="G156" i="2" s="1"/>
  <c r="C153" i="2"/>
  <c r="G153" i="2" s="1"/>
  <c r="C29" i="2"/>
  <c r="C32" i="2" s="1"/>
  <c r="G48" i="2"/>
  <c r="G55" i="2" s="1"/>
  <c r="G96" i="2" s="1"/>
  <c r="D19" i="13"/>
  <c r="C19" i="13" s="1"/>
  <c r="F5" i="13"/>
  <c r="J43" i="1"/>
  <c r="L354" i="1"/>
  <c r="K594" i="1"/>
  <c r="K595" i="1" s="1"/>
  <c r="G638" i="1" s="1"/>
  <c r="J638" i="1" s="1"/>
  <c r="G534" i="1"/>
  <c r="G535" i="1" s="1"/>
  <c r="G104" i="1"/>
  <c r="G185" i="1" s="1"/>
  <c r="G618" i="1" s="1"/>
  <c r="J618" i="1" s="1"/>
  <c r="C36" i="12"/>
  <c r="L225" i="1"/>
  <c r="L343" i="1"/>
  <c r="F653" i="1"/>
  <c r="I653" i="1" s="1"/>
  <c r="C116" i="2"/>
  <c r="L604" i="1"/>
  <c r="J184" i="1"/>
  <c r="E124" i="2"/>
  <c r="E136" i="2" s="1"/>
  <c r="G9" i="2"/>
  <c r="G19" i="2" s="1"/>
  <c r="C21" i="10"/>
  <c r="H524" i="1"/>
  <c r="H535" i="1" s="1"/>
  <c r="J10" i="1"/>
  <c r="G10" i="2" s="1"/>
  <c r="C9" i="12"/>
  <c r="L274" i="1"/>
  <c r="E111" i="2" s="1"/>
  <c r="L195" i="1"/>
  <c r="H33" i="13"/>
  <c r="G640" i="1"/>
  <c r="J640" i="1" s="1"/>
  <c r="I444" i="1"/>
  <c r="G282" i="1"/>
  <c r="G330" i="1" s="1"/>
  <c r="G344" i="1" s="1"/>
  <c r="L513" i="1"/>
  <c r="F541" i="1" s="1"/>
  <c r="K541" i="1" s="1"/>
  <c r="C29" i="10"/>
  <c r="C24" i="10"/>
  <c r="G203" i="1"/>
  <c r="G249" i="1" s="1"/>
  <c r="G263" i="1" s="1"/>
  <c r="D15" i="13"/>
  <c r="C15" i="13" s="1"/>
  <c r="L603" i="1"/>
  <c r="H653" i="1" s="1"/>
  <c r="B9" i="12"/>
  <c r="F44" i="1"/>
  <c r="H607" i="1" s="1"/>
  <c r="I450" i="1"/>
  <c r="C8" i="13" l="1"/>
  <c r="E33" i="13"/>
  <c r="D35" i="13" s="1"/>
  <c r="G636" i="1"/>
  <c r="J636" i="1" s="1"/>
  <c r="G621" i="1"/>
  <c r="J621" i="1" s="1"/>
  <c r="H651" i="1"/>
  <c r="I651" i="1" s="1"/>
  <c r="G651" i="1"/>
  <c r="G654" i="1" s="1"/>
  <c r="D119" i="2"/>
  <c r="D120" i="2" s="1"/>
  <c r="D137" i="2" s="1"/>
  <c r="G616" i="1"/>
  <c r="J616" i="1" s="1"/>
  <c r="J44" i="1"/>
  <c r="H611" i="1" s="1"/>
  <c r="J611" i="1" s="1"/>
  <c r="C43" i="2"/>
  <c r="L519" i="1"/>
  <c r="L535" i="1" s="1"/>
  <c r="G539" i="1"/>
  <c r="G542" i="1" s="1"/>
  <c r="G625" i="1"/>
  <c r="J625" i="1" s="1"/>
  <c r="C27" i="10"/>
  <c r="F33" i="13"/>
  <c r="D5" i="13"/>
  <c r="G43" i="2"/>
  <c r="I451" i="1"/>
  <c r="H632" i="1" s="1"/>
  <c r="J632" i="1" s="1"/>
  <c r="F542" i="1"/>
  <c r="G627" i="1"/>
  <c r="J627" i="1" s="1"/>
  <c r="H636" i="1"/>
  <c r="C111" i="2"/>
  <c r="D7" i="13"/>
  <c r="C7" i="13" s="1"/>
  <c r="C16" i="10"/>
  <c r="L282" i="1"/>
  <c r="E114" i="2"/>
  <c r="C19" i="10"/>
  <c r="A13" i="12"/>
  <c r="E120" i="2"/>
  <c r="L239" i="1"/>
  <c r="H650" i="1" s="1"/>
  <c r="H654" i="1" s="1"/>
  <c r="E137" i="2"/>
  <c r="C36" i="10"/>
  <c r="C10" i="10"/>
  <c r="K330" i="1"/>
  <c r="K344" i="1" s="1"/>
  <c r="G31" i="13"/>
  <c r="G33" i="13" s="1"/>
  <c r="D29" i="13"/>
  <c r="C29" i="13" s="1"/>
  <c r="C112" i="2"/>
  <c r="C120" i="2" s="1"/>
  <c r="J637" i="1"/>
  <c r="F650" i="1"/>
  <c r="C101" i="2"/>
  <c r="C107" i="2" s="1"/>
  <c r="C5" i="13" l="1"/>
  <c r="L249" i="1"/>
  <c r="L263" i="1" s="1"/>
  <c r="G622" i="1" s="1"/>
  <c r="J622" i="1" s="1"/>
  <c r="C137" i="2"/>
  <c r="C28" i="10"/>
  <c r="D16" i="10" s="1"/>
  <c r="H657" i="1"/>
  <c r="H662" i="1"/>
  <c r="C6" i="10" s="1"/>
  <c r="C41" i="10"/>
  <c r="F654" i="1"/>
  <c r="I650" i="1"/>
  <c r="I654" i="1" s="1"/>
  <c r="K539" i="1"/>
  <c r="K542" i="1" s="1"/>
  <c r="D31" i="13"/>
  <c r="C31" i="13" s="1"/>
  <c r="L330" i="1"/>
  <c r="L344" i="1" s="1"/>
  <c r="G623" i="1" s="1"/>
  <c r="J623" i="1" s="1"/>
  <c r="G657" i="1"/>
  <c r="G662" i="1"/>
  <c r="D37" i="10" l="1"/>
  <c r="D38" i="10"/>
  <c r="D35" i="10"/>
  <c r="D40" i="10"/>
  <c r="D39" i="10"/>
  <c r="F662" i="1"/>
  <c r="C4" i="10" s="1"/>
  <c r="F657" i="1"/>
  <c r="D36" i="10"/>
  <c r="D27" i="10"/>
  <c r="H646" i="1"/>
  <c r="C30" i="10"/>
  <c r="D22" i="10"/>
  <c r="D12" i="10"/>
  <c r="D25" i="10"/>
  <c r="D23" i="10"/>
  <c r="D17" i="10"/>
  <c r="D13" i="10"/>
  <c r="D26" i="10"/>
  <c r="D15" i="10"/>
  <c r="D24" i="10"/>
  <c r="D21" i="10"/>
  <c r="D20" i="10"/>
  <c r="D18" i="10"/>
  <c r="D11" i="10"/>
  <c r="D19" i="10"/>
  <c r="D10" i="10"/>
  <c r="I657" i="1"/>
  <c r="I662" i="1"/>
  <c r="C7" i="10" s="1"/>
  <c r="D33" i="13"/>
  <c r="D36" i="13" s="1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4EDF99A-8F10-41B9-AE05-94C3353405F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41898F2-150C-4297-88E7-600CE6EFEBE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10565D7-274D-478E-BEA4-33DDAB544B8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3A1E8F7-84FB-47D7-B3DE-D6C806BA98E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D0CC2F1-30B4-48B9-84B8-CE21E13687E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8DA0EA3-2577-4DFA-B123-C1B20156080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05BE806-A28F-4F0B-809F-4DE2D19EDA8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D729834-466B-4FF8-820B-2176D7EE0E6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B7E2D55-53FB-485B-8D00-8A1FF39EBD7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04C9AA1-B63B-4EA2-8371-B8C74513193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4FACAEF-040D-4560-93B5-8B69EFEACFF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44A9D74-636D-4585-BD5A-E9FF8B7EE7A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<sst xmlns="http://schemas.openxmlformats.org/spreadsheetml/2006/main" count="3862" uniqueCount="897">
  <si>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</si>
  <si>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</si>
  <si>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</si>
  <si>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</si>
  <si>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</si>
  <si>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</si>
  <si>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</si>
  <si>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</si>
  <si>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</si>
  <si>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</si>
  <si>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</si>
  <si>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</si>
  <si>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</si>
  <si>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</si>
  <si>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</si>
  <si>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</si>
  <si>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</si>
  <si>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</si>
  <si>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</si>
  <si>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</si>
  <si>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</si>
  <si>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</si>
  <si>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</si>
  <si>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</si>
  <si>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</si>
  <si>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</si>
  <si>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</si>
  <si>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</si>
  <si>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</si>
  <si>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</si>
  <si>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</si>
  <si>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</si>
  <si>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</si>
  <si>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</si>
  <si>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</si>
  <si>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</si>
  <si>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</si>
  <si>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</si>
  <si>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</si>
  <si>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</si>
  <si>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</si>
  <si>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</si>
  <si>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</si>
  <si>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</si>
  <si>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</si>
  <si>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</si>
  <si>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</si>
  <si>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</si>
  <si>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</si>
  <si>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</si>
  <si>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</si>
  <si>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</si>
  <si>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</si>
  <si>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</si>
  <si>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</si>
  <si>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</si>
  <si>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</si>
  <si>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</si>
  <si>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</si>
  <si>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</si>
  <si>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</si>
  <si>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</si>
  <si>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</si>
  <si>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</si>
  <si>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</si>
  <si>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</si>
  <si>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</si>
  <si>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</si>
  <si>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</si>
  <si>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</si>
  <si>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</si>
  <si>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</si>
  <si>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</si>
  <si>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</si>
  <si>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</si>
  <si>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</si>
  <si>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</si>
  <si>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</si>
  <si>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</si>
  <si>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</si>
  <si>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</si>
  <si>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</si>
  <si>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</si>
  <si>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</si>
  <si>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</si>
  <si>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</si>
  <si>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</si>
  <si>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</si>
  <si>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</si>
  <si>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</si>
  <si>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</si>
  <si>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</si>
  <si>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</si>
  <si>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</si>
  <si>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</si>
  <si>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</si>
  <si>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</si>
  <si>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</si>
  <si>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</si>
  <si>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</si>
  <si>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</si>
  <si>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</si>
  <si>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</si>
  <si>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</si>
  <si>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</si>
  <si>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</si>
  <si>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</si>
  <si>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</si>
  <si>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</si>
  <si>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</si>
  <si>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</si>
  <si>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</si>
  <si>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</si>
  <si>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</si>
  <si>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</si>
  <si>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</si>
  <si>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</si>
  <si>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</si>
  <si>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</si>
  <si>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</si>
  <si>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</si>
  <si>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</si>
  <si>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</si>
  <si>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</si>
  <si>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</si>
  <si>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</si>
  <si>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</si>
  <si>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</si>
  <si>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</si>
  <si>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</si>
  <si>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</si>
  <si>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</si>
  <si>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</si>
  <si>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</si>
  <si>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</si>
  <si>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</si>
  <si>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</si>
  <si>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</si>
  <si>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</si>
  <si>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</si>
  <si>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</si>
  <si>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</si>
  <si>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</si>
  <si>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</si>
  <si>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</si>
  <si>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</si>
  <si>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</si>
  <si>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</si>
  <si>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</si>
  <si>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</si>
  <si>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</si>
  <si>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</si>
  <si>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</si>
  <si>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</si>
  <si>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</si>
  <si>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</si>
  <si>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</si>
  <si>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</si>
  <si>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</si>
  <si>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</si>
  <si>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</si>
  <si>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</si>
  <si>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</si>
  <si>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</si>
  <si>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</si>
  <si>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</si>
  <si>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</si>
  <si>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</si>
  <si>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</si>
  <si>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</si>
  <si>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</si>
  <si>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</si>
  <si>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</si>
  <si>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</si>
  <si>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</si>
  <si>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</si>
  <si>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</si>
  <si>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</si>
  <si>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</si>
  <si>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</si>
  <si>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</si>
  <si>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</si>
  <si>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</si>
  <si>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</si>
  <si>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</si>
  <si>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</si>
  <si>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</si>
  <si>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</si>
  <si>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</si>
  <si>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</si>
  <si>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</si>
  <si>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</si>
  <si>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</si>
  <si>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</si>
  <si>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</si>
  <si>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</si>
  <si>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</si>
  <si>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</si>
  <si>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</si>
  <si>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</si>
  <si>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</si>
  <si>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</si>
  <si>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</si>
  <si>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</si>
  <si>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</si>
  <si>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</si>
  <si>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</si>
  <si>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</si>
  <si>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</si>
  <si>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</si>
  <si>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</si>
  <si>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</si>
  <si>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</si>
  <si>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</si>
  <si>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</si>
  <si>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</si>
  <si>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</si>
  <si>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</si>
  <si>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</si>
  <si>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</si>
  <si>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</si>
  <si>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</si>
  <si>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</si>
  <si>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</si>
  <si>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</si>
  <si>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</si>
  <si>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</si>
  <si>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</si>
  <si>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</si>
  <si>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</si>
  <si>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</si>
  <si>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</si>
  <si>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</si>
  <si>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</si>
  <si>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</si>
  <si>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</si>
  <si>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</si>
  <si>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</si>
  <si>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</si>
  <si>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</si>
  <si>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</si>
  <si>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</si>
  <si>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</si>
  <si>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</si>
  <si>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</si>
  <si>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</si>
  <si>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</si>
  <si>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</si>
  <si>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</si>
  <si>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</si>
  <si>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</si>
  <si>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</si>
  <si>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</si>
  <si>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</si>
  <si>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</si>
  <si>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</si>
  <si>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</si>
  <si>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</si>
  <si>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</si>
  <si>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</si>
  <si>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</si>
  <si>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</si>
  <si>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</si>
  <si>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</si>
  <si>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</si>
  <si>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</si>
  <si>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</si>
  <si>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</si>
  <si>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</si>
  <si>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</si>
  <si>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</si>
  <si>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</si>
  <si>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</si>
  <si>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</si>
  <si>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</si>
  <si>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</si>
  <si>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</si>
  <si>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</si>
  <si>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</si>
  <si>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</si>
  <si>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</si>
  <si>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</si>
  <si>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</si>
  <si>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</si>
  <si>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</si>
  <si>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</si>
  <si>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</si>
  <si>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</si>
  <si>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</si>
  <si>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</si>
  <si>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</si>
  <si>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</si>
  <si>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</si>
  <si>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</si>
  <si>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</si>
  <si>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</si>
  <si>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</si>
  <si>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</si>
  <si>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</si>
  <si>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</si>
  <si>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</si>
  <si>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</si>
  <si>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</si>
  <si>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</si>
  <si>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</si>
  <si>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</si>
  <si>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</si>
  <si>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</si>
  <si>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</si>
  <si>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</si>
  <si>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</si>
  <si>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</si>
  <si>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</si>
  <si>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</si>
  <si>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</si>
  <si>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</si>
  <si>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</si>
  <si>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</si>
  <si>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</si>
  <si>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</si>
  <si>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</si>
  <si>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</si>
  <si>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</si>
  <si>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</si>
  <si>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</si>
  <si>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</si>
  <si>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</si>
  <si>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</si>
  <si>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</si>
  <si>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</si>
  <si>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</si>
  <si>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</si>
  <si>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</si>
  <si>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</si>
  <si>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</si>
  <si>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</si>
  <si>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</si>
  <si>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</si>
  <si>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</si>
  <si>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</si>
  <si>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</si>
  <si>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</si>
  <si>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</si>
  <si>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</si>
  <si>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</si>
  <si>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</si>
  <si>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</si>
  <si>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</si>
  <si>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</si>
  <si>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</si>
  <si>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</si>
  <si>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</si>
  <si>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</si>
  <si>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</si>
  <si>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</si>
  <si>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</si>
  <si>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</si>
  <si>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</si>
  <si>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</si>
  <si>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</si>
  <si>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</si>
  <si>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</si>
  <si>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</si>
  <si>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</si>
  <si>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</si>
  <si>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</si>
  <si>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</si>
  <si>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</si>
  <si>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</si>
  <si>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</si>
  <si>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</si>
  <si>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</si>
  <si>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</si>
  <si>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</si>
  <si>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</si>
  <si>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</si>
  <si>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</si>
  <si>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</si>
  <si>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</si>
  <si>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</si>
  <si>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</si>
  <si>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</si>
  <si>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</si>
  <si>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</si>
  <si>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</si>
  <si>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</si>
  <si>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</si>
  <si>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</si>
  <si>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</si>
  <si>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</si>
  <si>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</si>
  <si>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</si>
  <si>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</si>
  <si>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</si>
  <si>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</si>
  <si>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</si>
  <si>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</si>
  <si>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</si>
  <si>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</si>
  <si>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</si>
  <si>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</si>
  <si>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</si>
  <si>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</si>
  <si>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</si>
  <si>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</si>
  <si>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</si>
  <si>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</si>
  <si>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</si>
  <si>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</si>
  <si>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</si>
  <si>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</si>
  <si>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</si>
  <si>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</si>
  <si>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</si>
  <si>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</si>
  <si>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</si>
  <si>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</si>
  <si>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</si>
  <si>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</si>
  <si>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</si>
  <si>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</si>
  <si>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</si>
  <si>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</si>
  <si>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</si>
  <si>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</si>
  <si>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</si>
  <si>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</si>
  <si>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</si>
  <si>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</si>
  <si>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</si>
  <si>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</si>
  <si>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</si>
  <si>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</si>
  <si>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</si>
  <si>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</si>
  <si>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</si>
  <si>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</si>
  <si>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</si>
  <si>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</si>
  <si>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</si>
  <si>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</si>
  <si>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</si>
  <si>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</si>
  <si>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</si>
  <si>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</si>
  <si>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</si>
  <si>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</si>
  <si>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</si>
  <si>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</si>
  <si>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</si>
  <si>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</si>
  <si>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</si>
  <si>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</si>
  <si>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</si>
  <si>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</si>
  <si>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</si>
  <si>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</si>
  <si>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</si>
  <si>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</si>
  <si>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</si>
  <si>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</si>
  <si>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</si>
  <si>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</si>
  <si>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</si>
  <si>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</si>
  <si>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</si>
  <si>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</si>
  <si>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</si>
  <si>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</si>
  <si>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</si>
  <si>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</si>
  <si>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</si>
  <si>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</si>
  <si>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</si>
  <si>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</si>
  <si>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</si>
  <si>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</si>
  <si>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</si>
  <si>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</si>
  <si>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</si>
  <si>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</si>
  <si>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</si>
  <si>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</si>
  <si>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</si>
  <si>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</si>
  <si>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</si>
  <si>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</si>
  <si>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</si>
  <si>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</si>
  <si>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</si>
  <si>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</si>
  <si>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</si>
  <si>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</si>
  <si>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</si>
  <si>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</si>
  <si>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</si>
  <si>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</si>
  <si>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</si>
  <si>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</si>
  <si>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</si>
  <si>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</si>
  <si>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</si>
  <si>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</si>
  <si>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</si>
  <si>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</si>
  <si>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</si>
  <si>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</si>
  <si>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</si>
  <si>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</si>
  <si>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</si>
  <si>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</si>
  <si>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</si>
  <si>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</si>
  <si>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</si>
  <si>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</si>
  <si>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</si>
  <si>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</si>
  <si>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</si>
  <si>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</si>
  <si>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</si>
  <si>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</si>
  <si>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</si>
  <si>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</si>
  <si>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</si>
  <si>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</si>
  <si>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</si>
  <si>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</si>
  <si>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</si>
  <si>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</si>
  <si>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</si>
  <si>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</si>
  <si>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</si>
  <si>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</si>
  <si>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</si>
  <si>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</si>
  <si>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</si>
  <si>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</si>
  <si>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</si>
  <si>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</si>
  <si>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</si>
  <si>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</si>
  <si>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</si>
  <si>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</si>
  <si>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</si>
  <si>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</si>
  <si>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</si>
  <si>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</si>
  <si>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</si>
  <si>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</si>
  <si>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</si>
  <si>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</si>
  <si>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</si>
  <si>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</si>
  <si>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</si>
  <si>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</si>
  <si>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</si>
  <si>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</si>
  <si>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</si>
  <si>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</si>
  <si>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</si>
  <si>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</si>
  <si>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</si>
  <si>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</si>
  <si>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</si>
  <si>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</si>
  <si>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</si>
  <si>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</si>
  <si>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</si>
  <si>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</si>
  <si>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</si>
  <si>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</si>
  <si>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</si>
  <si>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</si>
  <si>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</si>
  <si>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</si>
  <si>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</si>
  <si>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</si>
  <si>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</si>
  <si>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</si>
  <si>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</si>
  <si>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</si>
  <si>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</si>
  <si>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</si>
  <si>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</si>
  <si>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</si>
  <si>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</si>
  <si>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</si>
  <si>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</si>
  <si>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</si>
  <si>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</si>
  <si>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</si>
  <si>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</si>
  <si>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</si>
  <si>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</si>
  <si>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</si>
  <si>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</si>
  <si>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</si>
  <si>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</si>
  <si>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</si>
  <si>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</si>
  <si>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</si>
  <si>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</si>
  <si>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</si>
  <si>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</si>
  <si>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</si>
  <si>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</si>
  <si>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</si>
  <si>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</si>
  <si>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</si>
  <si>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</si>
  <si>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</si>
  <si>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</si>
  <si>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</si>
  <si>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</si>
  <si>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</si>
  <si>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</si>
  <si>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</si>
  <si>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</si>
  <si>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</si>
  <si>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</si>
  <si>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</si>
  <si>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</si>
  <si>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</si>
  <si>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</si>
  <si>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</si>
  <si>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</si>
  <si>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</si>
  <si>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</si>
  <si>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</si>
  <si>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</si>
  <si>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</si>
  <si>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</si>
  <si>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</si>
  <si>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</si>
  <si>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</si>
  <si>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</si>
  <si>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</si>
  <si>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</si>
  <si>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</si>
  <si>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</si>
  <si>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</si>
  <si>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</si>
  <si>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</si>
  <si>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</si>
  <si>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</si>
  <si>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</si>
  <si>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</si>
  <si>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</si>
  <si>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</si>
  <si>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</si>
  <si>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</si>
  <si>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</si>
  <si>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</si>
  <si>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</si>
  <si>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</si>
  <si>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</si>
  <si>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</si>
  <si>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</si>
  <si>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</si>
  <si>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</si>
  <si>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</si>
  <si>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</si>
  <si>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</si>
  <si>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</si>
  <si>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</si>
  <si>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</si>
  <si>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</si>
  <si>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</si>
  <si>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</si>
  <si>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</si>
  <si>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</si>
  <si>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</si>
  <si>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</si>
  <si>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</si>
  <si>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</si>
  <si>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</si>
  <si>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</si>
  <si>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</si>
  <si>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</si>
  <si>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</si>
  <si>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</si>
  <si>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</si>
  <si>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</si>
  <si>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</si>
  <si>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</si>
  <si>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</si>
  <si>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</si>
  <si>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</si>
  <si>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</si>
  <si>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</si>
  <si>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</si>
  <si>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</si>
  <si>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</si>
  <si>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</si>
  <si>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</si>
  <si>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</si>
  <si>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</si>
  <si>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</si>
  <si>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</si>
  <si>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</si>
  <si>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</si>
  <si>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</si>
  <si>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</si>
  <si>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</si>
  <si>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</si>
  <si>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</si>
  <si>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</si>
  <si>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</si>
  <si>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</si>
  <si>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</si>
  <si>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</si>
  <si>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</si>
  <si>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</si>
  <si>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</si>
  <si>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</si>
  <si>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</si>
  <si>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</si>
  <si>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</si>
  <si>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</si>
  <si>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</si>
  <si>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</si>
  <si>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</si>
  <si>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</si>
  <si>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</si>
  <si>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</si>
  <si>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</si>
  <si>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</si>
  <si>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</si>
  <si>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</si>
  <si>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</si>
  <si>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</si>
  <si>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</si>
  <si>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</si>
  <si>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</si>
  <si>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</si>
  <si>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</si>
  <si>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</si>
  <si>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</si>
  <si>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</si>
  <si>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</si>
  <si>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</si>
  <si>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</si>
  <si>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</si>
  <si>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</si>
  <si>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</si>
  <si>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</si>
  <si>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</si>
  <si>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</si>
  <si>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</si>
  <si>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</si>
  <si>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</si>
  <si>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</si>
  <si>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</si>
  <si>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</si>
  <si>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</si>
  <si>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</si>
  <si>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</si>
  <si>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</si>
  <si>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</si>
  <si>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</si>
  <si>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</si>
  <si>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</si>
  <si>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</si>
  <si>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</si>
  <si>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</si>
  <si>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</si>
  <si>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</si>
  <si>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</si>
  <si>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</si>
  <si>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</si>
  <si>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</si>
  <si>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</si>
  <si>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</si>
  <si>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</si>
  <si>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</si>
  <si>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</si>
  <si>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</si>
  <si>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</si>
  <si>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</si>
  <si>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</si>
  <si>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</si>
  <si>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</si>
  <si>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</si>
  <si>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</si>
  <si>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</si>
  <si>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</si>
  <si>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</si>
  <si>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</si>
  <si>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</si>
  <si>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</si>
  <si>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</si>
  <si>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</si>
  <si>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</si>
  <si>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</si>
  <si>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</si>
  <si>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</si>
  <si>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</si>
  <si>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</si>
  <si>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</si>
  <si>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</si>
  <si>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</si>
  <si>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</si>
  <si>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</si>
  <si>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</si>
  <si>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</si>
  <si>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</si>
  <si>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</si>
  <si>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</si>
  <si>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</si>
  <si>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</si>
  <si>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</si>
  <si>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</si>
  <si>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</si>
  <si>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</si>
  <si>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</si>
  <si>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</si>
  <si>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</si>
  <si>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</si>
  <si>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</si>
  <si>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</si>
  <si>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</si>
  <si>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</si>
  <si>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</si>
  <si>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</si>
  <si>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</si>
  <si>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</si>
  <si>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</si>
  <si>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</si>
  <si>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</si>
  <si>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</si>
  <si>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</si>
  <si>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</si>
  <si>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</si>
  <si>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</si>
  <si>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</si>
  <si>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</si>
  <si>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</si>
  <si>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</si>
  <si>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</si>
  <si>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</si>
  <si>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</si>
  <si>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</si>
  <si>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</si>
  <si>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</si>
  <si>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</si>
  <si>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</si>
  <si>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</si>
  <si>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</si>
  <si>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</si>
  <si>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</si>
  <si>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</si>
  <si>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</si>
  <si>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</si>
  <si>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</si>
  <si>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</si>
  <si>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</si>
  <si>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</si>
  <si>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</si>
  <si>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</si>
  <si>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</si>
  <si>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</si>
  <si>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</si>
  <si>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</si>
  <si>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</si>
  <si>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</si>
  <si>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</si>
  <si>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</si>
  <si>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</si>
  <si>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</si>
  <si>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</si>
  <si>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</si>
  <si>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</si>
  <si>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</si>
  <si>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</si>
  <si>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</si>
  <si>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</si>
  <si>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</si>
  <si>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</si>
  <si>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</si>
  <si>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</si>
  <si>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</si>
  <si>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</si>
  <si>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</si>
  <si>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</si>
  <si>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</si>
  <si>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</si>
  <si>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</si>
  <si>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</si>
  <si>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</si>
  <si>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</si>
  <si>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</si>
  <si>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</si>
  <si>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</si>
  <si>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</si>
  <si>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7/2001</t>
  </si>
  <si>
    <t>7/2016</t>
  </si>
  <si>
    <t>COLEBROOK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</si>
</sst>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A0A9-72A4-4E75-B3F8-5752B7BAA7DD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105</v>
      </c>
      <c r="C2" s="21">
        <v>105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474848.81</v>
      </c>
      <c r="G9" s="18">
        <v>11621.48</v>
      </c>
      <c r="H9" s="18"/>
      <c r="I9" s="18"/>
      <c r="J9" s="67">
        <f>SUM(I431)</f>
        <v>516663.1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70761.759999999995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11142.98</v>
      </c>
      <c r="G13" s="18">
        <v>17829.060000000001</v>
      </c>
      <c r="H13" s="18">
        <v>77689.789999999994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994.32</v>
      </c>
      <c r="G14" s="18">
        <v>50.08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7712.28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557747.86999999988</v>
      </c>
      <c r="G19" s="41">
        <f>SUM(G9:G18)</f>
        <v>37212.9</v>
      </c>
      <c r="H19" s="41">
        <f>SUM(H9:H18)</f>
        <v>77689.789999999994</v>
      </c>
      <c r="I19" s="41">
        <f>SUM(I9:I18)</f>
        <v>0</v>
      </c>
      <c r="J19" s="41">
        <f>SUM(J9:J18)</f>
        <v>516663.1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80.36</v>
      </c>
      <c r="H23" s="18">
        <f>77689.79-7008.39</f>
        <v>70681.399999999994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78629.990000000005</v>
      </c>
      <c r="G25" s="18">
        <f>2132.34</f>
        <v>2132.34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22893.94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1850.14+3584.26+1786.72+32.62</f>
        <v>7253.7400000000007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24276.14</v>
      </c>
      <c r="G31" s="18"/>
      <c r="H31" s="18">
        <v>7008.39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133053.81</v>
      </c>
      <c r="G33" s="41">
        <f>SUM(G23:G32)</f>
        <v>2212.7000000000003</v>
      </c>
      <c r="H33" s="41">
        <f>SUM(H23:H32)</f>
        <v>77689.789999999994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7712.28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900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31890.6+239106.4-243709.08</f>
        <v>27287.920000000013</v>
      </c>
      <c r="H41" s="18"/>
      <c r="I41" s="18"/>
      <c r="J41" s="13">
        <f>SUM(I449)</f>
        <v>516663.1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739615.49+5766503.05-6081424.48-900</f>
        <v>423794.05999999959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424694.05999999959</v>
      </c>
      <c r="G43" s="41">
        <f>SUM(G35:G42)</f>
        <v>35000.200000000012</v>
      </c>
      <c r="H43" s="41">
        <f>SUM(H35:H42)</f>
        <v>0</v>
      </c>
      <c r="I43" s="41">
        <f>SUM(I35:I42)</f>
        <v>0</v>
      </c>
      <c r="J43" s="41">
        <f>SUM(J35:J42)</f>
        <v>516663.1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557747.86999999965</v>
      </c>
      <c r="G44" s="41">
        <f>G43+G33</f>
        <v>37212.900000000009</v>
      </c>
      <c r="H44" s="41">
        <f>H43+H33</f>
        <v>77689.789999999994</v>
      </c>
      <c r="I44" s="41">
        <f>I43+I33</f>
        <v>0</v>
      </c>
      <c r="J44" s="41">
        <f>J43+J33</f>
        <v>516663.1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1392409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1392409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2454.13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23875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1254682.3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195902.4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1476913.8299999998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1167.33</v>
      </c>
      <c r="G88" s="18"/>
      <c r="H88" s="18"/>
      <c r="I88" s="18"/>
      <c r="J88" s="18">
        <v>9077.6299999999992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86587.95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18439.8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5140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92654.16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5471.41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15253.76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138126.46000000002</v>
      </c>
      <c r="G103" s="41">
        <f>SUM(G88:G102)</f>
        <v>86587.95</v>
      </c>
      <c r="H103" s="41">
        <f>SUM(H88:H102)</f>
        <v>0</v>
      </c>
      <c r="I103" s="41">
        <f>SUM(I88:I102)</f>
        <v>0</v>
      </c>
      <c r="J103" s="41">
        <f>SUM(J88:J102)</f>
        <v>9077.6299999999992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3007449.29</v>
      </c>
      <c r="G104" s="41">
        <f>G52+G103</f>
        <v>86587.95</v>
      </c>
      <c r="H104" s="41">
        <f>H52+H71+H86+H103</f>
        <v>0</v>
      </c>
      <c r="I104" s="41">
        <f>I52+I103</f>
        <v>0</v>
      </c>
      <c r="J104" s="41">
        <f>J52+J103</f>
        <v>9077.6299999999992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1994850.34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382890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72352.66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2450093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206722.78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2973.79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6600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213322.78</v>
      </c>
      <c r="G128" s="41">
        <f>SUM(G115:G127)</f>
        <v>2973.79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2663415.7799999998</v>
      </c>
      <c r="G132" s="41">
        <f>G113+SUM(G128:G129)</f>
        <v>2973.79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f>4124.48+6853.58</f>
        <v>10978.06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10978.06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6846.14+201650.71</f>
        <v>208496.85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374216.25-208496.85-10978.06</f>
        <v>154741.34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100544.66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5800.98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5800.98</v>
      </c>
      <c r="G154" s="41">
        <f>SUM(G142:G153)</f>
        <v>100544.66</v>
      </c>
      <c r="H154" s="41">
        <f>SUM(H142:H153)</f>
        <v>363238.19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5800.98</v>
      </c>
      <c r="G161" s="41">
        <f>G139+G154+SUM(G155:G160)</f>
        <v>100544.66</v>
      </c>
      <c r="H161" s="41">
        <f>H139+H154+SUM(H155:H160)</f>
        <v>374216.25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49000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49000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89837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89837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89837</v>
      </c>
      <c r="G184" s="41">
        <f>G175+SUM(G180:G183)</f>
        <v>49000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5766503.0500000007</v>
      </c>
      <c r="G185" s="47">
        <f>G104+G132+G161+G184</f>
        <v>239106.4</v>
      </c>
      <c r="H185" s="47">
        <f>H104+H132+H161+H184</f>
        <v>374216.25</v>
      </c>
      <c r="I185" s="47">
        <f>I104+I132+I161+I184</f>
        <v>0</v>
      </c>
      <c r="J185" s="47">
        <f>J104+J132+J184</f>
        <v>29077.629999999997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859369.59+24307+19625.92</f>
        <v>903302.51</v>
      </c>
      <c r="G189" s="18">
        <f>301785.64+2670.33+66466.68+69030.96+7634.07+3668.19+3958</f>
        <v>455213.87000000005</v>
      </c>
      <c r="H189" s="18">
        <f>1206.11+95.2+12543.04</f>
        <v>13844.35</v>
      </c>
      <c r="I189" s="18">
        <f>18730.75+14710.75+36.9</f>
        <v>33478.400000000001</v>
      </c>
      <c r="J189" s="18">
        <f>327.09+715.62</f>
        <v>1042.71</v>
      </c>
      <c r="K189" s="18">
        <v>417</v>
      </c>
      <c r="L189" s="19">
        <f>SUM(F189:K189)</f>
        <v>1407298.84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63728.72+212449.71+3410.92+8775</f>
        <v>288364.34999999998</v>
      </c>
      <c r="G190" s="18">
        <f>32702.72+21750.85+5639.4+791.61</f>
        <v>60884.58</v>
      </c>
      <c r="H190" s="18">
        <f>20326.21+30965.07+11120</f>
        <v>62411.28</v>
      </c>
      <c r="I190" s="18">
        <f>647.39+479.62</f>
        <v>1127.01</v>
      </c>
      <c r="J190" s="18">
        <v>967.06</v>
      </c>
      <c r="K190" s="18"/>
      <c r="L190" s="19">
        <f>SUM(F190:K190)</f>
        <v>413754.27999999997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2910+17130+2325+1044.2</f>
        <v>23409.200000000001</v>
      </c>
      <c r="G192" s="18">
        <f>198.49+8.73+1465.75+453.54+56.34+79.88+83.74+222.63</f>
        <v>2569.1000000000004</v>
      </c>
      <c r="H192" s="18">
        <f>305</f>
        <v>305</v>
      </c>
      <c r="I192" s="18"/>
      <c r="J192" s="18"/>
      <c r="K192" s="18"/>
      <c r="L192" s="19">
        <f>SUM(F192:K192)</f>
        <v>26283.300000000003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32173+28533.74+40837.2+23679.79+2554.08+24925</f>
        <v>152702.81</v>
      </c>
      <c r="G194" s="18">
        <f>18700.2+2283.72+2580.25+96.51+5306.84+85.62+1811.5+195.38+2.49+9565.42+1818.27+2044.93+100.19</f>
        <v>44591.32</v>
      </c>
      <c r="H194" s="18">
        <f>4000+48342.57+73.7+2253.7+18979.03+973.24+29754.07+5465+452.5+11387.45+150.51+83.29</f>
        <v>121915.05999999998</v>
      </c>
      <c r="I194" s="18">
        <f>330.93+216.36+151+224+779.76+2012.98+82.85+424.71+2583.16</f>
        <v>6805.7499999999991</v>
      </c>
      <c r="J194" s="18">
        <f>222.19+375+14445.49</f>
        <v>15042.68</v>
      </c>
      <c r="K194" s="18">
        <f>169+4731.26+60.45</f>
        <v>4960.71</v>
      </c>
      <c r="L194" s="19">
        <f t="shared" ref="L194:L200" si="0">SUM(F194:K194)</f>
        <v>346018.33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1105+24927+8180.42</f>
        <v>34212.42</v>
      </c>
      <c r="G195" s="18">
        <f>84.53+154.15+4060+6348.87+2466.91+1999.13+129.93+126</f>
        <v>15369.52</v>
      </c>
      <c r="H195" s="18">
        <f>6922+358.06+1752</f>
        <v>9032.0600000000013</v>
      </c>
      <c r="I195" s="18">
        <f>74.78+245.1+1059.94+21.9+419</f>
        <v>1820.7200000000003</v>
      </c>
      <c r="J195" s="18"/>
      <c r="K195" s="18">
        <v>2850</v>
      </c>
      <c r="L195" s="19">
        <f t="shared" si="0"/>
        <v>63284.72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5508.26</v>
      </c>
      <c r="G196" s="18">
        <f>421.4+19.2</f>
        <v>440.59999999999997</v>
      </c>
      <c r="H196" s="18">
        <f>8178.43+5695.04+1555.75+1047.54+171093.16+311.56</f>
        <v>187881.48</v>
      </c>
      <c r="I196" s="18">
        <f>983.3+80.4</f>
        <v>1063.7</v>
      </c>
      <c r="J196" s="18"/>
      <c r="K196" s="18">
        <v>3060.67</v>
      </c>
      <c r="L196" s="19">
        <f t="shared" si="0"/>
        <v>197954.71000000005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68185.96+42439.46+11726.15</f>
        <v>122351.57</v>
      </c>
      <c r="G197" s="18">
        <f>27704.16+9120.8+5811.99+477.11+426</f>
        <v>43540.06</v>
      </c>
      <c r="H197" s="18">
        <f>4993.82+100+6408.93+2006.34+238.13</f>
        <v>13747.22</v>
      </c>
      <c r="I197" s="18">
        <f>2077.35+179+1567.46</f>
        <v>3823.81</v>
      </c>
      <c r="J197" s="18"/>
      <c r="K197" s="18">
        <v>489.99</v>
      </c>
      <c r="L197" s="19">
        <f t="shared" si="0"/>
        <v>183952.65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81971.13</v>
      </c>
      <c r="G199" s="18">
        <f>40063.51+5884.41+2762.7+252</f>
        <v>48962.619999999995</v>
      </c>
      <c r="H199" s="18">
        <f>32255.08+3866.51+3023.26+11332.1+60228.94+9538.98</f>
        <v>120244.87000000001</v>
      </c>
      <c r="I199" s="18">
        <f>25285.73+65012.19+77613.05+356.02+75.61</f>
        <v>168342.59999999998</v>
      </c>
      <c r="J199" s="18">
        <v>16178.4</v>
      </c>
      <c r="K199" s="18">
        <v>512.49</v>
      </c>
      <c r="L199" s="19">
        <f t="shared" si="0"/>
        <v>436212.11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3685.64</v>
      </c>
      <c r="G200" s="18">
        <v>281.98</v>
      </c>
      <c r="H200" s="18">
        <f>124474.77+51.5+25653.83+199+250+4276.25+6980</f>
        <v>161885.35</v>
      </c>
      <c r="I200" s="18">
        <f>7.99+1793.64+2089</f>
        <v>3890.63</v>
      </c>
      <c r="J200" s="18">
        <v>250</v>
      </c>
      <c r="K200" s="18">
        <v>252.47</v>
      </c>
      <c r="L200" s="19">
        <f t="shared" si="0"/>
        <v>170246.07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1615507.89</v>
      </c>
      <c r="G203" s="41">
        <f t="shared" si="1"/>
        <v>671853.65</v>
      </c>
      <c r="H203" s="41">
        <f t="shared" si="1"/>
        <v>691266.66999999993</v>
      </c>
      <c r="I203" s="41">
        <f t="shared" si="1"/>
        <v>220352.62</v>
      </c>
      <c r="J203" s="41">
        <f t="shared" si="1"/>
        <v>33480.85</v>
      </c>
      <c r="K203" s="41">
        <f t="shared" si="1"/>
        <v>12543.329999999998</v>
      </c>
      <c r="L203" s="41">
        <f t="shared" si="1"/>
        <v>3245005.01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624021.92+4806.67+16541.06+8019.6</f>
        <v>653389.25000000012</v>
      </c>
      <c r="G225" s="18">
        <f>186903.78+1207.5+48951.36+50342.78+301.2+1593.1+7197.06</f>
        <v>296496.78000000003</v>
      </c>
      <c r="H225" s="18">
        <f>30475+2026.6+675.05+175+4078.8+16</f>
        <v>37446.450000000004</v>
      </c>
      <c r="I225" s="18">
        <f>17175.9+10763.32</f>
        <v>27939.22</v>
      </c>
      <c r="J225" s="18">
        <v>3231.9</v>
      </c>
      <c r="K225" s="18"/>
      <c r="L225" s="19">
        <f>SUM(F225:K225)</f>
        <v>1018503.6000000001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75414+26796.78</f>
        <v>102210.78</v>
      </c>
      <c r="G226" s="18">
        <f>32552.28+7819.08+6048.12+389.91</f>
        <v>46809.390000000007</v>
      </c>
      <c r="H226" s="18">
        <v>74755.62</v>
      </c>
      <c r="I226" s="18">
        <f>298.62+133</f>
        <v>431.62</v>
      </c>
      <c r="J226" s="18"/>
      <c r="K226" s="18"/>
      <c r="L226" s="19">
        <f>SUM(F226:K226)</f>
        <v>224207.41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6250</v>
      </c>
      <c r="I227" s="18"/>
      <c r="J227" s="18"/>
      <c r="K227" s="18"/>
      <c r="L227" s="19">
        <f>SUM(F227:K227)</f>
        <v>6250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19980+34880+1225+1077.42</f>
        <v>57162.42</v>
      </c>
      <c r="G228" s="18">
        <f>1528.5+1301.62+59.94+2762.08+1129.41+106.89+82.42+86.41</f>
        <v>7057.2699999999995</v>
      </c>
      <c r="H228" s="18">
        <f>251.72+9326</f>
        <v>9577.7199999999993</v>
      </c>
      <c r="I228" s="18">
        <f>122.25+2680.85</f>
        <v>2803.1</v>
      </c>
      <c r="J228" s="18">
        <v>867.05</v>
      </c>
      <c r="K228" s="18">
        <f>5031.62+1957.5</f>
        <v>6989.12</v>
      </c>
      <c r="L228" s="19">
        <f>SUM(F228:K228)</f>
        <v>84456.68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51333.45+20098.93+21596.21+24925</f>
        <v>117953.59</v>
      </c>
      <c r="G230" s="18">
        <f>20538.12+5333.42+4116.88+212.52+1652.07+63.4+9134.78+1818.29+2044.93+49.35</f>
        <v>44963.76</v>
      </c>
      <c r="H230" s="18">
        <f>1520+300+357.74+24192.49+36.3+2939.12+4661.55+41.36+54.44</f>
        <v>34103.000000000007</v>
      </c>
      <c r="I230" s="18">
        <f>109.9+399.2+687.33+2960.91</f>
        <v>4157.34</v>
      </c>
      <c r="J230" s="18">
        <f>40.74+924.82</f>
        <v>965.56000000000006</v>
      </c>
      <c r="K230" s="18">
        <f>390+2086.5+30</f>
        <v>2506.5</v>
      </c>
      <c r="L230" s="19">
        <f t="shared" ref="L230:L236" si="4">SUM(F230:K230)</f>
        <v>204649.75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918+24927+6606.17</f>
        <v>32451.17</v>
      </c>
      <c r="G231" s="18">
        <f>198.3+6348.87+2368.67+1999.13+64.01</f>
        <v>10978.980000000001</v>
      </c>
      <c r="H231" s="18">
        <f>1391.97+918+119</f>
        <v>2428.9700000000003</v>
      </c>
      <c r="I231" s="18">
        <f>501.01+1076.11+421</f>
        <v>1998.12</v>
      </c>
      <c r="J231" s="18"/>
      <c r="K231" s="18">
        <v>2850</v>
      </c>
      <c r="L231" s="19">
        <f t="shared" si="4"/>
        <v>50707.240000000005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4072.02</v>
      </c>
      <c r="G232" s="18">
        <f>311.5+9.47</f>
        <v>320.97000000000003</v>
      </c>
      <c r="H232" s="18">
        <f>4028.2+2934.96+734.71+515.96+83301.78</f>
        <v>91515.61</v>
      </c>
      <c r="I232" s="18">
        <f>421.79+39.6</f>
        <v>461.39000000000004</v>
      </c>
      <c r="J232" s="18"/>
      <c r="K232" s="18">
        <v>1602.86</v>
      </c>
      <c r="L232" s="19">
        <f t="shared" si="4"/>
        <v>97972.85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65920+42702.14+5500</f>
        <v>114122.14</v>
      </c>
      <c r="G233" s="18">
        <f>13852.08+8645.3+5850.78+234.99+600</f>
        <v>29183.149999999998</v>
      </c>
      <c r="H233" s="18">
        <f>2600+100+3674.55+1750+151.28+1312.04</f>
        <v>9587.869999999999</v>
      </c>
      <c r="I233" s="18">
        <f>3599.69+148.08+1194.6+19.99+1253.54</f>
        <v>6215.9</v>
      </c>
      <c r="J233" s="18">
        <f>110.99+575.14</f>
        <v>686.13</v>
      </c>
      <c r="K233" s="18">
        <v>2292.6</v>
      </c>
      <c r="L233" s="19">
        <f t="shared" si="4"/>
        <v>162087.79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62564.95+13852.08</f>
        <v>76417.03</v>
      </c>
      <c r="G235" s="18">
        <f>4801.48+1360.74+326</f>
        <v>6488.2199999999993</v>
      </c>
      <c r="H235" s="18">
        <f>17821.75+1867.09+1231.74+5599.4+25378.68+4914.02</f>
        <v>56812.680000000008</v>
      </c>
      <c r="I235" s="18">
        <f>6383.69+29065.44+42368.87+272.26+4.24</f>
        <v>78094.5</v>
      </c>
      <c r="J235" s="18">
        <v>2329</v>
      </c>
      <c r="K235" s="18">
        <v>229.01</v>
      </c>
      <c r="L235" s="19">
        <f t="shared" si="4"/>
        <v>220370.44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1469.16</v>
      </c>
      <c r="G236" s="18">
        <v>112.39</v>
      </c>
      <c r="H236" s="18">
        <f>56747.59+322+7600+22273.75+4782.5</f>
        <v>91725.84</v>
      </c>
      <c r="I236" s="18"/>
      <c r="J236" s="18"/>
      <c r="K236" s="18"/>
      <c r="L236" s="19">
        <f t="shared" si="4"/>
        <v>93307.39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1159247.56</v>
      </c>
      <c r="G239" s="41">
        <f t="shared" si="5"/>
        <v>442410.91000000003</v>
      </c>
      <c r="H239" s="41">
        <f t="shared" si="5"/>
        <v>414203.76</v>
      </c>
      <c r="I239" s="41">
        <f t="shared" si="5"/>
        <v>122101.19</v>
      </c>
      <c r="J239" s="41">
        <f t="shared" si="5"/>
        <v>8079.64</v>
      </c>
      <c r="K239" s="41">
        <f t="shared" si="5"/>
        <v>16470.09</v>
      </c>
      <c r="L239" s="41">
        <f t="shared" si="5"/>
        <v>2162513.15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89837</v>
      </c>
      <c r="I247" s="18"/>
      <c r="J247" s="18"/>
      <c r="K247" s="18"/>
      <c r="L247" s="19">
        <f t="shared" si="6"/>
        <v>89837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89837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89837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2774755.45</v>
      </c>
      <c r="G249" s="41">
        <f t="shared" si="8"/>
        <v>1114264.56</v>
      </c>
      <c r="H249" s="41">
        <f t="shared" si="8"/>
        <v>1195307.43</v>
      </c>
      <c r="I249" s="41">
        <f t="shared" si="8"/>
        <v>342453.81</v>
      </c>
      <c r="J249" s="41">
        <f t="shared" si="8"/>
        <v>41560.49</v>
      </c>
      <c r="K249" s="41">
        <f t="shared" si="8"/>
        <v>29013.42</v>
      </c>
      <c r="L249" s="41">
        <f t="shared" si="8"/>
        <v>5497355.1600000001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390000</v>
      </c>
      <c r="L252" s="19">
        <f>SUM(F252:K252)</f>
        <v>390000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114367.5</v>
      </c>
      <c r="L253" s="19">
        <f>SUM(F253:K253)</f>
        <v>114367.5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34300+14700</f>
        <v>49000</v>
      </c>
      <c r="L255" s="19">
        <f>SUM(F255:K255)</f>
        <v>49000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10701.82</v>
      </c>
      <c r="L260" s="19">
        <f t="shared" si="9"/>
        <v>10701.82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584069.31999999995</v>
      </c>
      <c r="L262" s="41">
        <f t="shared" si="9"/>
        <v>584069.31999999995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2774755.45</v>
      </c>
      <c r="G263" s="42">
        <f t="shared" si="11"/>
        <v>1114264.56</v>
      </c>
      <c r="H263" s="42">
        <f t="shared" si="11"/>
        <v>1195307.43</v>
      </c>
      <c r="I263" s="42">
        <f t="shared" si="11"/>
        <v>342453.81</v>
      </c>
      <c r="J263" s="42">
        <f t="shared" si="11"/>
        <v>41560.49</v>
      </c>
      <c r="K263" s="42">
        <f t="shared" si="11"/>
        <v>613082.74</v>
      </c>
      <c r="L263" s="42">
        <f t="shared" si="11"/>
        <v>6081424.4800000004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775</v>
      </c>
      <c r="G268" s="18">
        <v>59.3</v>
      </c>
      <c r="H268" s="18"/>
      <c r="I268" s="18">
        <f>6189.08+664.5+36.7+1610.25</f>
        <v>8500.5299999999988</v>
      </c>
      <c r="J268" s="18">
        <f>8171.15+355.66+7320.61+378.86</f>
        <v>16226.279999999999</v>
      </c>
      <c r="K268" s="18"/>
      <c r="L268" s="19">
        <f>SUM(F268:K268)</f>
        <v>25561.109999999997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107572+19914.53</f>
        <v>127486.53</v>
      </c>
      <c r="G269" s="18">
        <f>39478.52+9443.48+8627.08+374</f>
        <v>57923.08</v>
      </c>
      <c r="H269" s="18"/>
      <c r="I269" s="18">
        <f>182.78+1762.62</f>
        <v>1945.3999999999999</v>
      </c>
      <c r="J269" s="18">
        <v>141.13</v>
      </c>
      <c r="K269" s="18"/>
      <c r="L269" s="19">
        <f>SUM(F269:K269)</f>
        <v>187496.13999999998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>
        <v>1800</v>
      </c>
      <c r="I270" s="18"/>
      <c r="J270" s="18"/>
      <c r="K270" s="18"/>
      <c r="L270" s="19">
        <f>SUM(F270:K270)</f>
        <v>1800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1237.6+2000+555+338.48</f>
        <v>4131.08</v>
      </c>
      <c r="G271" s="18">
        <f>247.68+160.41+68.39+77.49</f>
        <v>553.97</v>
      </c>
      <c r="H271" s="18"/>
      <c r="I271" s="18">
        <v>43.75</v>
      </c>
      <c r="J271" s="18"/>
      <c r="K271" s="18"/>
      <c r="L271" s="19">
        <f>SUM(F271:K271)</f>
        <v>4728.8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2553.3000000000002</v>
      </c>
      <c r="G273" s="18">
        <f>81.58+195.54</f>
        <v>277.12</v>
      </c>
      <c r="H273" s="18">
        <f>5460</f>
        <v>5460</v>
      </c>
      <c r="I273" s="18">
        <f>1000+953.15+10401.39</f>
        <v>12354.539999999999</v>
      </c>
      <c r="J273" s="18"/>
      <c r="K273" s="18">
        <v>35</v>
      </c>
      <c r="L273" s="19">
        <f t="shared" ref="L273:L279" si="12">SUM(F273:K273)</f>
        <v>20679.96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4573+13349.25+1224+371.28+2448+1122</f>
        <v>23087.53</v>
      </c>
      <c r="G274" s="18">
        <f>349.81+366.74+1021.26+1407.06+122.06+98.16+187.32+196.32+85.85+89.98</f>
        <v>3924.56</v>
      </c>
      <c r="H274" s="18">
        <f>7500+780.48+2400+230.56+900+13180+1276+1912.98+2000+8000+524.04+1026.65+0.5</f>
        <v>39731.210000000006</v>
      </c>
      <c r="I274" s="18">
        <f>502.11+1078.8+56.81</f>
        <v>1637.7199999999998</v>
      </c>
      <c r="J274" s="18"/>
      <c r="K274" s="18">
        <f>100+1800</f>
        <v>1900</v>
      </c>
      <c r="L274" s="19">
        <f t="shared" si="12"/>
        <v>70281.02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1000+2500</f>
        <v>3500</v>
      </c>
      <c r="G275" s="18">
        <f>76.5+80.2+191.12+200.47+7.5</f>
        <v>555.79</v>
      </c>
      <c r="H275" s="18">
        <v>375</v>
      </c>
      <c r="I275" s="18"/>
      <c r="J275" s="18"/>
      <c r="K275" s="18"/>
      <c r="L275" s="19">
        <f t="shared" si="12"/>
        <v>4430.79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2000+2500+800+300+600+300+300</f>
        <v>6800</v>
      </c>
      <c r="L277" s="19">
        <f t="shared" si="12"/>
        <v>6800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1500</v>
      </c>
      <c r="K278" s="18"/>
      <c r="L278" s="19">
        <f t="shared" si="12"/>
        <v>1500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350</v>
      </c>
      <c r="I279" s="18"/>
      <c r="J279" s="18">
        <v>48000</v>
      </c>
      <c r="K279" s="18"/>
      <c r="L279" s="19">
        <f t="shared" si="12"/>
        <v>48350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161533.43999999997</v>
      </c>
      <c r="G282" s="42">
        <f t="shared" si="13"/>
        <v>63293.820000000007</v>
      </c>
      <c r="H282" s="42">
        <f t="shared" si="13"/>
        <v>47716.210000000006</v>
      </c>
      <c r="I282" s="42">
        <f t="shared" si="13"/>
        <v>24481.94</v>
      </c>
      <c r="J282" s="42">
        <f t="shared" si="13"/>
        <v>65867.41</v>
      </c>
      <c r="K282" s="42">
        <f t="shared" si="13"/>
        <v>8735</v>
      </c>
      <c r="L282" s="41">
        <f t="shared" si="13"/>
        <v>371627.81999999995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1066.56</v>
      </c>
      <c r="G311" s="18"/>
      <c r="H311" s="18"/>
      <c r="I311" s="18">
        <v>856.48</v>
      </c>
      <c r="J311" s="18">
        <v>143.52000000000001</v>
      </c>
      <c r="K311" s="18"/>
      <c r="L311" s="19">
        <f t="shared" ref="L311:L317" si="16">SUM(F311:K311)</f>
        <v>2066.56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1066.56</v>
      </c>
      <c r="G320" s="42">
        <f t="shared" si="17"/>
        <v>0</v>
      </c>
      <c r="H320" s="42">
        <f t="shared" si="17"/>
        <v>0</v>
      </c>
      <c r="I320" s="42">
        <f t="shared" si="17"/>
        <v>856.48</v>
      </c>
      <c r="J320" s="42">
        <f t="shared" si="17"/>
        <v>143.52000000000001</v>
      </c>
      <c r="K320" s="42">
        <f t="shared" si="17"/>
        <v>0</v>
      </c>
      <c r="L320" s="41">
        <f t="shared" si="17"/>
        <v>2066.56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89</v>
      </c>
      <c r="G327" s="18">
        <v>6.81</v>
      </c>
      <c r="H327" s="18">
        <v>278.04000000000002</v>
      </c>
      <c r="I327" s="18">
        <v>148.02000000000001</v>
      </c>
      <c r="J327" s="18"/>
      <c r="K327" s="18"/>
      <c r="L327" s="19">
        <f t="shared" si="18"/>
        <v>521.87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89</v>
      </c>
      <c r="G329" s="41">
        <f t="shared" si="19"/>
        <v>6.81</v>
      </c>
      <c r="H329" s="41">
        <f t="shared" si="19"/>
        <v>278.04000000000002</v>
      </c>
      <c r="I329" s="41">
        <f t="shared" si="19"/>
        <v>148.02000000000001</v>
      </c>
      <c r="J329" s="41">
        <f t="shared" si="19"/>
        <v>0</v>
      </c>
      <c r="K329" s="41">
        <f t="shared" si="19"/>
        <v>0</v>
      </c>
      <c r="L329" s="41">
        <f t="shared" si="18"/>
        <v>521.87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162688.99999999997</v>
      </c>
      <c r="G330" s="41">
        <f t="shared" si="20"/>
        <v>63300.630000000005</v>
      </c>
      <c r="H330" s="41">
        <f t="shared" si="20"/>
        <v>47994.250000000007</v>
      </c>
      <c r="I330" s="41">
        <f t="shared" si="20"/>
        <v>25486.44</v>
      </c>
      <c r="J330" s="41">
        <f t="shared" si="20"/>
        <v>66010.930000000008</v>
      </c>
      <c r="K330" s="41">
        <f t="shared" si="20"/>
        <v>8735</v>
      </c>
      <c r="L330" s="41">
        <f t="shared" si="20"/>
        <v>374216.24999999994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162688.99999999997</v>
      </c>
      <c r="G344" s="41">
        <f>G330</f>
        <v>63300.630000000005</v>
      </c>
      <c r="H344" s="41">
        <f>H330</f>
        <v>47994.250000000007</v>
      </c>
      <c r="I344" s="41">
        <f>I330</f>
        <v>25486.44</v>
      </c>
      <c r="J344" s="41">
        <f>J330</f>
        <v>66010.930000000008</v>
      </c>
      <c r="K344" s="47">
        <f>K330+K343</f>
        <v>8735</v>
      </c>
      <c r="L344" s="41">
        <f>L330+L343</f>
        <v>374216.24999999994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60928.34+3536.65</f>
        <v>64464.99</v>
      </c>
      <c r="G350" s="18">
        <f>4490.51+5008.62+1653.12+890</f>
        <v>12042.25</v>
      </c>
      <c r="H350" s="18">
        <f>5343.76+53.18</f>
        <v>5396.9400000000005</v>
      </c>
      <c r="I350" s="18">
        <f>9121.39+65133.21+2270.84</f>
        <v>76525.440000000002</v>
      </c>
      <c r="J350" s="18">
        <v>485.54</v>
      </c>
      <c r="K350" s="18">
        <v>561.91999999999996</v>
      </c>
      <c r="L350" s="13">
        <f>SUM(F350:K350)</f>
        <v>159477.08000000002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37811.69</v>
      </c>
      <c r="G352" s="18">
        <f>2506.95+2780.19+1015.44+392</f>
        <v>6694.58</v>
      </c>
      <c r="H352" s="18">
        <f>3422.9+26.2</f>
        <v>3449.1</v>
      </c>
      <c r="I352" s="18">
        <f>3277.9+27960.99+672.68</f>
        <v>31911.570000000003</v>
      </c>
      <c r="J352" s="18">
        <v>4268</v>
      </c>
      <c r="K352" s="18">
        <v>97.06</v>
      </c>
      <c r="L352" s="19">
        <f>SUM(F352:K352)</f>
        <v>84232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102276.68</v>
      </c>
      <c r="G354" s="47">
        <f t="shared" si="22"/>
        <v>18736.830000000002</v>
      </c>
      <c r="H354" s="47">
        <f t="shared" si="22"/>
        <v>8846.0400000000009</v>
      </c>
      <c r="I354" s="47">
        <f t="shared" si="22"/>
        <v>108437.01000000001</v>
      </c>
      <c r="J354" s="47">
        <f t="shared" si="22"/>
        <v>4753.54</v>
      </c>
      <c r="K354" s="47">
        <f t="shared" si="22"/>
        <v>658.98</v>
      </c>
      <c r="L354" s="47">
        <f t="shared" si="22"/>
        <v>243709.08000000002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65133.21</v>
      </c>
      <c r="G359" s="18"/>
      <c r="H359" s="18">
        <v>27960.99</v>
      </c>
      <c r="I359" s="56">
        <f>SUM(F359:H359)</f>
        <v>93094.2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9121.39+2270.84</f>
        <v>11392.23</v>
      </c>
      <c r="G360" s="63"/>
      <c r="H360" s="63">
        <f>3277.9+672.68</f>
        <v>3950.58</v>
      </c>
      <c r="I360" s="56">
        <f>SUM(F360:H360)</f>
        <v>15342.81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76525.440000000002</v>
      </c>
      <c r="G361" s="47">
        <f>SUM(G359:G360)</f>
        <v>0</v>
      </c>
      <c r="H361" s="47">
        <f>SUM(H359:H360)</f>
        <v>31911.57</v>
      </c>
      <c r="I361" s="47">
        <f>SUM(I359:I360)</f>
        <v>108437.01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f>2765.46+124.76</f>
        <v>2890.2200000000003</v>
      </c>
      <c r="I388" s="18"/>
      <c r="J388" s="24" t="s">
        <v>312</v>
      </c>
      <c r="K388" s="24" t="s">
        <v>312</v>
      </c>
      <c r="L388" s="56">
        <f t="shared" si="26"/>
        <v>12890.220000000001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1023.19</v>
      </c>
      <c r="I389" s="18"/>
      <c r="J389" s="24" t="s">
        <v>312</v>
      </c>
      <c r="K389" s="24" t="s">
        <v>312</v>
      </c>
      <c r="L389" s="56">
        <f t="shared" si="26"/>
        <v>11023.19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 t="s">
        <v>310</v>
      </c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504.84</v>
      </c>
      <c r="I391" s="18"/>
      <c r="J391" s="24" t="s">
        <v>312</v>
      </c>
      <c r="K391" s="24" t="s">
        <v>312</v>
      </c>
      <c r="L391" s="56">
        <f t="shared" si="26"/>
        <v>504.84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3515.07+777.81+278.21+88.29</f>
        <v>4659.38</v>
      </c>
      <c r="I392" s="18"/>
      <c r="J392" s="24" t="s">
        <v>312</v>
      </c>
      <c r="K392" s="24" t="s">
        <v>312</v>
      </c>
      <c r="L392" s="56">
        <f t="shared" si="26"/>
        <v>4659.38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9077.630000000001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29077.630000000005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9077.630000000001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29077.630000000005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89837</v>
      </c>
      <c r="L414" s="56">
        <f t="shared" si="29"/>
        <v>89837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89837</v>
      </c>
      <c r="L419" s="47">
        <f t="shared" si="30"/>
        <v>89837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89837</v>
      </c>
      <c r="L426" s="47">
        <f t="shared" si="32"/>
        <v>89837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516663.1</v>
      </c>
      <c r="H431" s="18"/>
      <c r="I431" s="56">
        <f t="shared" ref="I431:I437" si="33">SUM(F431:H431)</f>
        <v>516663.1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516663.1</v>
      </c>
      <c r="H438" s="13">
        <f>SUM(H431:H437)</f>
        <v>0</v>
      </c>
      <c r="I438" s="13">
        <f>SUM(I431:I437)</f>
        <v>516663.1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516663.1</v>
      </c>
      <c r="H449" s="18"/>
      <c r="I449" s="56">
        <f>SUM(F449:H449)</f>
        <v>516663.1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516663.1</v>
      </c>
      <c r="H450" s="83">
        <f>SUM(H446:H449)</f>
        <v>0</v>
      </c>
      <c r="I450" s="83">
        <f>SUM(I446:I449)</f>
        <v>516663.1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516663.1</v>
      </c>
      <c r="H451" s="42">
        <f>H444+H450</f>
        <v>0</v>
      </c>
      <c r="I451" s="42">
        <f>I444+I450</f>
        <v>516663.1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739615.49</v>
      </c>
      <c r="G455" s="18">
        <f>31890.6+7712.28+1893.11</f>
        <v>41495.99</v>
      </c>
      <c r="H455" s="18">
        <v>0</v>
      </c>
      <c r="I455" s="18"/>
      <c r="J455" s="18">
        <v>577422.47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5766503.0499999998</v>
      </c>
      <c r="G458" s="18">
        <v>239106.4</v>
      </c>
      <c r="H458" s="18">
        <v>374216.25</v>
      </c>
      <c r="I458" s="18"/>
      <c r="J458" s="18">
        <v>29077.63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5766503.0499999998</v>
      </c>
      <c r="G460" s="53">
        <f>SUM(G458:G459)</f>
        <v>239106.4</v>
      </c>
      <c r="H460" s="53">
        <f>SUM(H458:H459)</f>
        <v>374216.25</v>
      </c>
      <c r="I460" s="53">
        <f>SUM(I458:I459)</f>
        <v>0</v>
      </c>
      <c r="J460" s="53">
        <f>SUM(J458:J459)</f>
        <v>29077.63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6081424.4800000004</v>
      </c>
      <c r="G462" s="18">
        <v>243709.08</v>
      </c>
      <c r="H462" s="18">
        <v>374216.25</v>
      </c>
      <c r="I462" s="18"/>
      <c r="J462" s="18">
        <v>89837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 t="s">
        <v>310</v>
      </c>
      <c r="G463" s="18">
        <v>1893.11</v>
      </c>
      <c r="H463" s="18"/>
      <c r="I463" s="18"/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6081424.4800000004</v>
      </c>
      <c r="G464" s="53">
        <f>SUM(G462:G463)</f>
        <v>245602.18999999997</v>
      </c>
      <c r="H464" s="53">
        <f>SUM(H462:H463)</f>
        <v>374216.25</v>
      </c>
      <c r="I464" s="53">
        <f>SUM(I462:I463)</f>
        <v>0</v>
      </c>
      <c r="J464" s="53">
        <f>SUM(J462:J463)</f>
        <v>89837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424694.05999999959</v>
      </c>
      <c r="G466" s="53">
        <f>(G455+G460)- G464</f>
        <v>35000.200000000041</v>
      </c>
      <c r="H466" s="53">
        <f>(H455+H460)- H464</f>
        <v>0</v>
      </c>
      <c r="I466" s="53">
        <f>(I455+I460)- I464</f>
        <v>0</v>
      </c>
      <c r="J466" s="53">
        <f>(J455+J460)- J464</f>
        <v>516663.1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5840000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2730000</v>
      </c>
      <c r="G485" s="18"/>
      <c r="H485" s="18"/>
      <c r="I485" s="18"/>
      <c r="J485" s="18"/>
      <c r="K485" s="53">
        <f>SUM(F485:J485)</f>
        <v>2730000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390000</v>
      </c>
      <c r="G487" s="18"/>
      <c r="H487" s="18"/>
      <c r="I487" s="18"/>
      <c r="J487" s="18"/>
      <c r="K487" s="53">
        <f t="shared" si="34"/>
        <v>390000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2340000</v>
      </c>
      <c r="G488" s="205"/>
      <c r="H488" s="205"/>
      <c r="I488" s="205"/>
      <c r="J488" s="205"/>
      <c r="K488" s="206">
        <f t="shared" si="34"/>
        <v>2340000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321750</v>
      </c>
      <c r="G489" s="18"/>
      <c r="H489" s="18"/>
      <c r="I489" s="18"/>
      <c r="J489" s="18"/>
      <c r="K489" s="53">
        <f t="shared" si="34"/>
        <v>321750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2661750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2661750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390000</v>
      </c>
      <c r="G491" s="205"/>
      <c r="H491" s="205"/>
      <c r="I491" s="205"/>
      <c r="J491" s="205"/>
      <c r="K491" s="206">
        <f t="shared" si="34"/>
        <v>390000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53040+44460</f>
        <v>97500</v>
      </c>
      <c r="G492" s="18"/>
      <c r="H492" s="18"/>
      <c r="I492" s="18"/>
      <c r="J492" s="18"/>
      <c r="K492" s="53">
        <f t="shared" si="34"/>
        <v>97500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487500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487500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63728.72+212449.71+3410.92+8775</f>
        <v>288364.34999999998</v>
      </c>
      <c r="G511" s="18">
        <f>32702.72+21750.85+5639.4+791.61</f>
        <v>60884.58</v>
      </c>
      <c r="H511" s="18">
        <f>20326.21+30965.07+11120</f>
        <v>62411.28</v>
      </c>
      <c r="I511" s="18">
        <f>647.39+479.62</f>
        <v>1127.01</v>
      </c>
      <c r="J511" s="18">
        <v>967.06</v>
      </c>
      <c r="K511" s="18"/>
      <c r="L511" s="88">
        <f>SUM(F511:K511)</f>
        <v>413754.27999999997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75414+26796.78</f>
        <v>102210.78</v>
      </c>
      <c r="G513" s="18">
        <f>32552.28+7819.08+6048.12+389.91</f>
        <v>46809.390000000007</v>
      </c>
      <c r="H513" s="18">
        <v>74755.62</v>
      </c>
      <c r="I513" s="18">
        <f>298.62+133</f>
        <v>431.62</v>
      </c>
      <c r="J513" s="18"/>
      <c r="K513" s="18"/>
      <c r="L513" s="88">
        <f>SUM(F513:K513)</f>
        <v>224207.41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390575.13</v>
      </c>
      <c r="G514" s="108">
        <f t="shared" ref="G514:L514" si="35">SUM(G511:G513)</f>
        <v>107693.97</v>
      </c>
      <c r="H514" s="108">
        <f t="shared" si="35"/>
        <v>137166.9</v>
      </c>
      <c r="I514" s="108">
        <f t="shared" si="35"/>
        <v>1558.63</v>
      </c>
      <c r="J514" s="108">
        <f t="shared" si="35"/>
        <v>967.06</v>
      </c>
      <c r="K514" s="108">
        <f t="shared" si="35"/>
        <v>0</v>
      </c>
      <c r="L514" s="89">
        <f t="shared" si="35"/>
        <v>637961.68999999994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16854.36+40837.2+23679.79</f>
        <v>81371.350000000006</v>
      </c>
      <c r="G516" s="18">
        <f>4413.39+50.25+1811.5</f>
        <v>6275.14</v>
      </c>
      <c r="H516" s="18">
        <f>37273+9787.27+832.02+23994.98</f>
        <v>71887.27</v>
      </c>
      <c r="I516" s="18">
        <f>1715.66+82.85</f>
        <v>1798.51</v>
      </c>
      <c r="J516" s="18">
        <v>375</v>
      </c>
      <c r="K516" s="18">
        <v>169</v>
      </c>
      <c r="L516" s="88">
        <f>SUM(F516:K516)</f>
        <v>161876.27000000002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81371.350000000006</v>
      </c>
      <c r="G519" s="89">
        <f t="shared" ref="G519:L519" si="36">SUM(G516:G518)</f>
        <v>6275.14</v>
      </c>
      <c r="H519" s="89">
        <f t="shared" si="36"/>
        <v>71887.27</v>
      </c>
      <c r="I519" s="89">
        <f t="shared" si="36"/>
        <v>1798.51</v>
      </c>
      <c r="J519" s="89">
        <f t="shared" si="36"/>
        <v>375</v>
      </c>
      <c r="K519" s="89">
        <f t="shared" si="36"/>
        <v>169</v>
      </c>
      <c r="L519" s="89">
        <f t="shared" si="36"/>
        <v>161876.27000000002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64202*0.7</f>
        <v>44941.399999999994</v>
      </c>
      <c r="I521" s="18"/>
      <c r="J521" s="18"/>
      <c r="K521" s="18"/>
      <c r="L521" s="88">
        <f>SUM(F521:K521)</f>
        <v>44941.399999999994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64202.78-44941.4</f>
        <v>19261.379999999997</v>
      </c>
      <c r="I523" s="18"/>
      <c r="J523" s="18"/>
      <c r="K523" s="18"/>
      <c r="L523" s="88">
        <f>SUM(F523:K523)</f>
        <v>19261.379999999997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64202.779999999992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64202.779999999992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3685.64</v>
      </c>
      <c r="G531" s="18">
        <f>281.98+51.5</f>
        <v>333.48</v>
      </c>
      <c r="H531" s="18">
        <f>25653.83+199+250</f>
        <v>26102.83</v>
      </c>
      <c r="I531" s="18">
        <f>7.99+1793.64</f>
        <v>1801.63</v>
      </c>
      <c r="J531" s="18">
        <f>2089+250+48000</f>
        <v>50339</v>
      </c>
      <c r="K531" s="18">
        <v>252.47</v>
      </c>
      <c r="L531" s="88">
        <f>SUM(F531:K531)</f>
        <v>82515.05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1469.16</v>
      </c>
      <c r="G533" s="18">
        <v>112.39</v>
      </c>
      <c r="H533" s="18">
        <v>7600</v>
      </c>
      <c r="I533" s="18"/>
      <c r="J533" s="18"/>
      <c r="K533" s="18"/>
      <c r="L533" s="88">
        <f>SUM(F533:K533)</f>
        <v>9181.5499999999993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5154.8</v>
      </c>
      <c r="G534" s="194">
        <f t="shared" ref="G534:L534" si="39">SUM(G531:G533)</f>
        <v>445.87</v>
      </c>
      <c r="H534" s="194">
        <f t="shared" si="39"/>
        <v>33702.83</v>
      </c>
      <c r="I534" s="194">
        <f t="shared" si="39"/>
        <v>1801.63</v>
      </c>
      <c r="J534" s="194">
        <f t="shared" si="39"/>
        <v>50339</v>
      </c>
      <c r="K534" s="194">
        <f t="shared" si="39"/>
        <v>252.47</v>
      </c>
      <c r="L534" s="194">
        <f t="shared" si="39"/>
        <v>91696.6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477101.27999999997</v>
      </c>
      <c r="G535" s="89">
        <f t="shared" ref="G535:L535" si="40">G514+G519+G524+G529+G534</f>
        <v>114414.98</v>
      </c>
      <c r="H535" s="89">
        <f t="shared" si="40"/>
        <v>306959.77999999997</v>
      </c>
      <c r="I535" s="89">
        <f t="shared" si="40"/>
        <v>5158.7700000000004</v>
      </c>
      <c r="J535" s="89">
        <f t="shared" si="40"/>
        <v>51681.06</v>
      </c>
      <c r="K535" s="89">
        <f t="shared" si="40"/>
        <v>421.47</v>
      </c>
      <c r="L535" s="89">
        <f t="shared" si="40"/>
        <v>955737.34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413754.27999999997</v>
      </c>
      <c r="G539" s="87">
        <f>L516</f>
        <v>161876.27000000002</v>
      </c>
      <c r="H539" s="87">
        <f>L521</f>
        <v>44941.399999999994</v>
      </c>
      <c r="I539" s="87">
        <f>L526</f>
        <v>0</v>
      </c>
      <c r="J539" s="87">
        <f>L531</f>
        <v>82515.05</v>
      </c>
      <c r="K539" s="87">
        <f>SUM(F539:J539)</f>
        <v>703087.00000000012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224207.41</v>
      </c>
      <c r="G541" s="87">
        <f>L518</f>
        <v>0</v>
      </c>
      <c r="H541" s="87">
        <f>L523</f>
        <v>19261.379999999997</v>
      </c>
      <c r="I541" s="87">
        <f>L528</f>
        <v>0</v>
      </c>
      <c r="J541" s="87">
        <f>L533</f>
        <v>9181.5499999999993</v>
      </c>
      <c r="K541" s="87">
        <f>SUM(F541:J541)</f>
        <v>252650.34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637961.68999999994</v>
      </c>
      <c r="G542" s="89">
        <f t="shared" si="41"/>
        <v>161876.27000000002</v>
      </c>
      <c r="H542" s="89">
        <f t="shared" si="41"/>
        <v>64202.779999999992</v>
      </c>
      <c r="I542" s="89">
        <f t="shared" si="41"/>
        <v>0</v>
      </c>
      <c r="J542" s="89">
        <f t="shared" si="41"/>
        <v>91696.6</v>
      </c>
      <c r="K542" s="89">
        <f t="shared" si="41"/>
        <v>955737.34000000008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30965.07</v>
      </c>
      <c r="G572" s="18"/>
      <c r="H572" s="18">
        <v>74755.62</v>
      </c>
      <c r="I572" s="87">
        <f t="shared" si="46"/>
        <v>105720.69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11120</v>
      </c>
      <c r="G573" s="18"/>
      <c r="H573" s="18"/>
      <c r="I573" s="87">
        <f t="shared" si="46"/>
        <v>11120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6250</v>
      </c>
      <c r="I575" s="87">
        <f t="shared" si="46"/>
        <v>6250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-10000+124474.77</f>
        <v>114474.77</v>
      </c>
      <c r="I581" s="18"/>
      <c r="J581" s="18">
        <f>57069.59-17000</f>
        <v>40069.589999999997</v>
      </c>
      <c r="K581" s="104">
        <f t="shared" ref="K581:K587" si="47">SUM(H581:J581)</f>
        <v>154544.35999999999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34515.050000000003</v>
      </c>
      <c r="I582" s="18"/>
      <c r="J582" s="18">
        <v>9181.5499999999993</v>
      </c>
      <c r="K582" s="104">
        <f t="shared" si="47"/>
        <v>43696.600000000006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4276.25</v>
      </c>
      <c r="I584" s="18"/>
      <c r="J584" s="18">
        <v>22273.75</v>
      </c>
      <c r="K584" s="104">
        <f t="shared" si="47"/>
        <v>26550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6980</v>
      </c>
      <c r="I585" s="18"/>
      <c r="J585" s="18">
        <v>4782.5</v>
      </c>
      <c r="K585" s="104">
        <f t="shared" si="47"/>
        <v>11762.5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10000</v>
      </c>
      <c r="I586" s="18"/>
      <c r="J586" s="18">
        <v>17000</v>
      </c>
      <c r="K586" s="104">
        <f t="shared" si="47"/>
        <v>27000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170246.07</v>
      </c>
      <c r="I588" s="108">
        <f>SUM(I581:I587)</f>
        <v>0</v>
      </c>
      <c r="J588" s="108">
        <f>SUM(J581:J587)</f>
        <v>93307.39</v>
      </c>
      <c r="K588" s="108">
        <f>SUM(K581:K587)</f>
        <v>263553.45999999996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51833.8-485.54+48000</f>
        <v>99348.260000000009</v>
      </c>
      <c r="I594" s="18"/>
      <c r="J594" s="18">
        <f>12491.16-4268</f>
        <v>8223.16</v>
      </c>
      <c r="K594" s="104">
        <f>SUM(H594:J594)</f>
        <v>107571.42000000001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99348.260000000009</v>
      </c>
      <c r="I595" s="108">
        <f>SUM(I592:I594)</f>
        <v>0</v>
      </c>
      <c r="J595" s="108">
        <f>SUM(J592:J594)</f>
        <v>8223.16</v>
      </c>
      <c r="K595" s="108">
        <f>SUM(K592:K594)</f>
        <v>107571.42000000001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1044.2+1237.6+2000</f>
        <v>4281.8</v>
      </c>
      <c r="G601" s="18">
        <f>79.88+83.74+247.68+160.41</f>
        <v>571.71</v>
      </c>
      <c r="H601" s="18"/>
      <c r="I601" s="18">
        <v>43.75</v>
      </c>
      <c r="J601" s="18"/>
      <c r="K601" s="18"/>
      <c r="L601" s="88">
        <f>SUM(F601:K601)</f>
        <v>4897.26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1077.42</v>
      </c>
      <c r="G603" s="18">
        <f>82.42+86.41</f>
        <v>168.82999999999998</v>
      </c>
      <c r="H603" s="18"/>
      <c r="I603" s="18"/>
      <c r="J603" s="18"/>
      <c r="K603" s="18"/>
      <c r="L603" s="88">
        <f>SUM(F603:K603)</f>
        <v>1246.25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5359.22</v>
      </c>
      <c r="G604" s="108">
        <f t="shared" si="48"/>
        <v>740.54</v>
      </c>
      <c r="H604" s="108">
        <f t="shared" si="48"/>
        <v>0</v>
      </c>
      <c r="I604" s="108">
        <f t="shared" si="48"/>
        <v>43.75</v>
      </c>
      <c r="J604" s="108">
        <f t="shared" si="48"/>
        <v>0</v>
      </c>
      <c r="K604" s="108">
        <f t="shared" si="48"/>
        <v>0</v>
      </c>
      <c r="L604" s="89">
        <f t="shared" si="48"/>
        <v>6143.51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557747.86999999988</v>
      </c>
      <c r="H607" s="109">
        <f>SUM(F44)</f>
        <v>557747.86999999965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37212.9</v>
      </c>
      <c r="H608" s="109">
        <f>SUM(G44)</f>
        <v>37212.900000000009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77689.789999999994</v>
      </c>
      <c r="H609" s="109">
        <f>SUM(H44)</f>
        <v>77689.789999999994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516663.1</v>
      </c>
      <c r="H611" s="109">
        <f>SUM(J44)</f>
        <v>516663.1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424694.05999999959</v>
      </c>
      <c r="H612" s="109">
        <f>F466</f>
        <v>424694.05999999959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35000.200000000012</v>
      </c>
      <c r="H613" s="109">
        <f>G466</f>
        <v>35000.200000000041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516663.1</v>
      </c>
      <c r="H616" s="109">
        <f>J466</f>
        <v>516663.1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5766503.0500000007</v>
      </c>
      <c r="H617" s="104">
        <f>SUM(F458)</f>
        <v>5766503.0499999998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239106.4</v>
      </c>
      <c r="H618" s="104">
        <f>SUM(G458)</f>
        <v>239106.4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374216.25</v>
      </c>
      <c r="H619" s="104">
        <f>SUM(H458)</f>
        <v>374216.25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29077.629999999997</v>
      </c>
      <c r="H621" s="104">
        <f>SUM(J458)</f>
        <v>29077.63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6081424.4800000004</v>
      </c>
      <c r="H622" s="104">
        <f>SUM(F462)</f>
        <v>6081424.4800000004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374216.24999999994</v>
      </c>
      <c r="H623" s="104">
        <f>SUM(H462)</f>
        <v>374216.25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108437.01000000001</v>
      </c>
      <c r="H624" s="104">
        <f>I361</f>
        <v>108437.01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243709.08000000002</v>
      </c>
      <c r="H625" s="104">
        <f>SUM(G462)</f>
        <v>243709.08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29077.630000000005</v>
      </c>
      <c r="H627" s="164">
        <f>SUM(J458)</f>
        <v>29077.63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89837</v>
      </c>
      <c r="H628" s="164">
        <f>SUM(J462)</f>
        <v>89837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516663.1</v>
      </c>
      <c r="H630" s="104">
        <f>SUM(G451)</f>
        <v>516663.1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516663.1</v>
      </c>
      <c r="H632" s="104">
        <f>SUM(I451)</f>
        <v>516663.1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9077.6299999999992</v>
      </c>
      <c r="H634" s="104">
        <f>H400</f>
        <v>9077.630000000001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29077.629999999997</v>
      </c>
      <c r="H636" s="104">
        <f>L400</f>
        <v>29077.630000000005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263553.45999999996</v>
      </c>
      <c r="H637" s="104">
        <f>L200+L218+L236</f>
        <v>263553.46000000002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107571.42000000001</v>
      </c>
      <c r="H638" s="104">
        <f>(J249+J330)-(J247+J328)</f>
        <v>107571.42000000001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170246.07</v>
      </c>
      <c r="H639" s="104">
        <f>H588</f>
        <v>170246.07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93307.39</v>
      </c>
      <c r="H641" s="104">
        <f>J588</f>
        <v>93307.39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49000</v>
      </c>
      <c r="H642" s="104">
        <f>K255+K337</f>
        <v>49000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3776109.9099999997</v>
      </c>
      <c r="G650" s="19">
        <f>(L221+L301+L351)</f>
        <v>0</v>
      </c>
      <c r="H650" s="19">
        <f>(L239+L320+L352)</f>
        <v>2248811.71</v>
      </c>
      <c r="I650" s="19">
        <f>SUM(F650:H650)</f>
        <v>6024921.6199999992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56660.972291988466</v>
      </c>
      <c r="G651" s="19">
        <f>(L351/IF(SUM(L350:L352)=0,1,SUM(L350:L352))*(SUM(G89:G102)))</f>
        <v>0</v>
      </c>
      <c r="H651" s="19">
        <f>(L352/IF(SUM(L350:L352)=0,1,SUM(L350:L352))*(SUM(G89:G102)))</f>
        <v>29926.977708011531</v>
      </c>
      <c r="I651" s="19">
        <f>SUM(F651:H651)</f>
        <v>86587.95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170346.07</v>
      </c>
      <c r="G652" s="19">
        <f>(L218+L298)-(J218+J298)</f>
        <v>0</v>
      </c>
      <c r="H652" s="19">
        <f>(L236+L317)-(J236+J317)</f>
        <v>93307.39</v>
      </c>
      <c r="I652" s="19">
        <f>SUM(F652:H652)</f>
        <v>263653.46000000002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146330.59000000003</v>
      </c>
      <c r="G653" s="200">
        <f>SUM(G565:G577)+SUM(I592:I594)+L602</f>
        <v>0</v>
      </c>
      <c r="H653" s="200">
        <f>SUM(H565:H577)+SUM(J592:J594)+L603</f>
        <v>90475.03</v>
      </c>
      <c r="I653" s="19">
        <f>SUM(F653:H653)</f>
        <v>236805.62000000002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3402772.2777080112</v>
      </c>
      <c r="G654" s="19">
        <f>G650-SUM(G651:G653)</f>
        <v>0</v>
      </c>
      <c r="H654" s="19">
        <f>H650-SUM(H651:H653)</f>
        <v>2035102.3122919884</v>
      </c>
      <c r="I654" s="19">
        <f>I650-SUM(I651:I653)</f>
        <v>5437874.5899999989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268.94</v>
      </c>
      <c r="G655" s="249"/>
      <c r="H655" s="249">
        <v>127.4</v>
      </c>
      <c r="I655" s="19">
        <f>SUM(F655:H655)</f>
        <v>396.34000000000003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12652.53</v>
      </c>
      <c r="G657" s="19" t="e">
        <f>ROUND(G654/G655,2)</f>
        <v>#DIV/0!</v>
      </c>
      <c r="H657" s="19">
        <f>ROUND(H654/H655,2)</f>
        <v>15974.12</v>
      </c>
      <c r="I657" s="19">
        <f>ROUND(I654/I655,2)</f>
        <v>13720.23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-2.48</v>
      </c>
      <c r="I660" s="19">
        <f>SUM(F660:H660)</f>
        <v>-2.48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12652.53</v>
      </c>
      <c r="G662" s="19" t="e">
        <f>ROUND((G654+G659)/(G655+G660),2)</f>
        <v>#DIV/0!</v>
      </c>
      <c r="H662" s="19">
        <f>ROUND((H654+H659)/(H655+H660),2)</f>
        <v>16291.24</v>
      </c>
      <c r="I662" s="19">
        <f>ROUND((I654+I659)/(I655+I660),2)</f>
        <v>13806.62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995E-B97E-4EC5-AF3E-78EDDD74124D}">
  <sheetPr>
    <tabColor indexed="20"/>
  </sheetPr>
  <dimension ref="A1:C52"/>
  <sheetViews>
    <sheetView topLeftCell="A6" workbookViewId="0">
      <selection activeCell="C27" sqref="C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COLEBROOK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1557466.7600000002</v>
      </c>
      <c r="C9" s="230">
        <f>'DOE25'!G189+'DOE25'!G207+'DOE25'!G225+'DOE25'!G268+'DOE25'!G287+'DOE25'!G306</f>
        <v>751769.95000000019</v>
      </c>
    </row>
    <row r="10" spans="1:3" x14ac:dyDescent="0.2">
      <c r="A10" t="s">
        <v>810</v>
      </c>
      <c r="B10" s="241">
        <f>859369.59+624021.92</f>
        <v>1483391.51</v>
      </c>
      <c r="C10" s="241">
        <v>745880.97</v>
      </c>
    </row>
    <row r="11" spans="1:3" x14ac:dyDescent="0.2">
      <c r="A11" t="s">
        <v>811</v>
      </c>
      <c r="B11" s="241">
        <f>24307+4806.67+16541.06</f>
        <v>45654.729999999996</v>
      </c>
      <c r="C11" s="241">
        <v>3629.55</v>
      </c>
    </row>
    <row r="12" spans="1:3" x14ac:dyDescent="0.2">
      <c r="A12" t="s">
        <v>812</v>
      </c>
      <c r="B12" s="241">
        <f>8019.6+19625.92+775</f>
        <v>28420.519999999997</v>
      </c>
      <c r="C12" s="241">
        <v>2259.4299999999998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1557466.76</v>
      </c>
      <c r="C13" s="232">
        <f>SUM(C10:C12)</f>
        <v>751769.95000000007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518061.66000000003</v>
      </c>
      <c r="C18" s="230">
        <f>'DOE25'!G190+'DOE25'!G208+'DOE25'!G226+'DOE25'!G269+'DOE25'!G288+'DOE25'!G307</f>
        <v>165617.04999999999</v>
      </c>
    </row>
    <row r="19" spans="1:3" x14ac:dyDescent="0.2">
      <c r="A19" t="s">
        <v>810</v>
      </c>
      <c r="B19" s="241">
        <f>63728.72+75414+107572</f>
        <v>246714.72</v>
      </c>
      <c r="C19" s="241">
        <v>144044.97</v>
      </c>
    </row>
    <row r="20" spans="1:3" x14ac:dyDescent="0.2">
      <c r="A20" t="s">
        <v>811</v>
      </c>
      <c r="B20" s="241">
        <f>212449.71+3410.92+26796.78+19914.53</f>
        <v>262571.94</v>
      </c>
      <c r="C20" s="241">
        <v>20874.47</v>
      </c>
    </row>
    <row r="21" spans="1:3" x14ac:dyDescent="0.2">
      <c r="A21" t="s">
        <v>812</v>
      </c>
      <c r="B21" s="241">
        <v>8775</v>
      </c>
      <c r="C21" s="241">
        <v>697.61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518061.66000000003</v>
      </c>
      <c r="C22" s="232">
        <f>SUM(C19:C21)</f>
        <v>165617.04999999999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84702.7</v>
      </c>
      <c r="C36" s="236">
        <f>'DOE25'!G192+'DOE25'!G210+'DOE25'!G228+'DOE25'!G271+'DOE25'!G290+'DOE25'!G309</f>
        <v>10180.339999999998</v>
      </c>
    </row>
    <row r="37" spans="1:3" x14ac:dyDescent="0.2">
      <c r="A37" t="s">
        <v>810</v>
      </c>
      <c r="B37" s="241">
        <f>2000+555.5+2910+1044.2+19980+1077.42</f>
        <v>27567.120000000003</v>
      </c>
      <c r="C37" s="241">
        <v>5638.06</v>
      </c>
    </row>
    <row r="38" spans="1:3" x14ac:dyDescent="0.2">
      <c r="A38" t="s">
        <v>811</v>
      </c>
      <c r="B38" s="241">
        <f>1237.6+338.48+3550-0.5</f>
        <v>5125.58</v>
      </c>
      <c r="C38" s="241">
        <v>407.48</v>
      </c>
    </row>
    <row r="39" spans="1:3" x14ac:dyDescent="0.2">
      <c r="A39" t="s">
        <v>812</v>
      </c>
      <c r="B39" s="241">
        <f>17130+34880</f>
        <v>52010</v>
      </c>
      <c r="C39" s="241">
        <v>4134.8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84702.700000000012</v>
      </c>
      <c r="C40" s="232">
        <f>SUM(C37:C39)</f>
        <v>10180.34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A451-0813-4681-9154-4C9FB7CD1911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COLEBROOK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3180754.1100000003</v>
      </c>
      <c r="D5" s="20">
        <f>SUM('DOE25'!L189:L192)+SUM('DOE25'!L207:L210)+SUM('DOE25'!L225:L228)-F5-G5</f>
        <v>3167239.27</v>
      </c>
      <c r="E5" s="244"/>
      <c r="F5" s="256">
        <f>SUM('DOE25'!J189:J192)+SUM('DOE25'!J207:J210)+SUM('DOE25'!J225:J228)</f>
        <v>6108.7199999999993</v>
      </c>
      <c r="G5" s="53">
        <f>SUM('DOE25'!K189:K192)+SUM('DOE25'!K207:K210)+SUM('DOE25'!K225:K228)</f>
        <v>7406.12</v>
      </c>
      <c r="H5" s="260"/>
    </row>
    <row r="6" spans="1:9" x14ac:dyDescent="0.2">
      <c r="A6" s="32">
        <v>2100</v>
      </c>
      <c r="B6" t="s">
        <v>832</v>
      </c>
      <c r="C6" s="246">
        <f t="shared" si="0"/>
        <v>550668.08000000007</v>
      </c>
      <c r="D6" s="20">
        <f>'DOE25'!L194+'DOE25'!L212+'DOE25'!L230-F6-G6</f>
        <v>527192.63000000012</v>
      </c>
      <c r="E6" s="244"/>
      <c r="F6" s="256">
        <f>'DOE25'!J194+'DOE25'!J212+'DOE25'!J230</f>
        <v>16008.24</v>
      </c>
      <c r="G6" s="53">
        <f>'DOE25'!K194+'DOE25'!K212+'DOE25'!K230</f>
        <v>7467.21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113991.96</v>
      </c>
      <c r="D7" s="20">
        <f>'DOE25'!L195+'DOE25'!L213+'DOE25'!L231-F7-G7</f>
        <v>108291.96</v>
      </c>
      <c r="E7" s="244"/>
      <c r="F7" s="256">
        <f>'DOE25'!J195+'DOE25'!J213+'DOE25'!J231</f>
        <v>0</v>
      </c>
      <c r="G7" s="53">
        <f>'DOE25'!K195+'DOE25'!K213+'DOE25'!K231</f>
        <v>5700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172776.02000000005</v>
      </c>
      <c r="D8" s="244"/>
      <c r="E8" s="20">
        <f>'DOE25'!L196+'DOE25'!L214+'DOE25'!L232-F8-G8-D9-D11</f>
        <v>168112.49000000005</v>
      </c>
      <c r="F8" s="256">
        <f>'DOE25'!J196+'DOE25'!J214+'DOE25'!J232</f>
        <v>0</v>
      </c>
      <c r="G8" s="53">
        <f>'DOE25'!K196+'DOE25'!K214+'DOE25'!K232</f>
        <v>4663.53</v>
      </c>
      <c r="H8" s="260"/>
    </row>
    <row r="9" spans="1:9" x14ac:dyDescent="0.2">
      <c r="A9" s="32">
        <v>2310</v>
      </c>
      <c r="B9" t="s">
        <v>849</v>
      </c>
      <c r="C9" s="246">
        <f t="shared" si="0"/>
        <v>41221.06</v>
      </c>
      <c r="D9" s="245">
        <f>14671.07+26549.99</f>
        <v>41221.06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10800</v>
      </c>
      <c r="D10" s="244"/>
      <c r="E10" s="245">
        <v>10800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81930.48</v>
      </c>
      <c r="D11" s="245">
        <v>81930.48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346040.44</v>
      </c>
      <c r="D12" s="20">
        <f>'DOE25'!L197+'DOE25'!L215+'DOE25'!L233-F12-G12</f>
        <v>342571.72</v>
      </c>
      <c r="E12" s="244"/>
      <c r="F12" s="256">
        <f>'DOE25'!J197+'DOE25'!J215+'DOE25'!J233</f>
        <v>686.13</v>
      </c>
      <c r="G12" s="53">
        <f>'DOE25'!K197+'DOE25'!K215+'DOE25'!K233</f>
        <v>2782.59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656582.55000000005</v>
      </c>
      <c r="D14" s="20">
        <f>'DOE25'!L199+'DOE25'!L217+'DOE25'!L235-F14-G14</f>
        <v>637333.65</v>
      </c>
      <c r="E14" s="244"/>
      <c r="F14" s="256">
        <f>'DOE25'!J199+'DOE25'!J217+'DOE25'!J235</f>
        <v>18507.400000000001</v>
      </c>
      <c r="G14" s="53">
        <f>'DOE25'!K199+'DOE25'!K217+'DOE25'!K235</f>
        <v>741.5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263553.46000000002</v>
      </c>
      <c r="D15" s="20">
        <f>'DOE25'!L200+'DOE25'!L218+'DOE25'!L236-F15-G15</f>
        <v>263050.99000000005</v>
      </c>
      <c r="E15" s="244"/>
      <c r="F15" s="256">
        <f>'DOE25'!J200+'DOE25'!J218+'DOE25'!J236</f>
        <v>250</v>
      </c>
      <c r="G15" s="53">
        <f>'DOE25'!K200+'DOE25'!K218+'DOE25'!K236</f>
        <v>252.47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89837</v>
      </c>
      <c r="D22" s="244"/>
      <c r="E22" s="244"/>
      <c r="F22" s="256">
        <f>'DOE25'!L247+'DOE25'!L328</f>
        <v>89837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504367.5</v>
      </c>
      <c r="D25" s="244"/>
      <c r="E25" s="244"/>
      <c r="F25" s="259"/>
      <c r="G25" s="257"/>
      <c r="H25" s="258">
        <f>'DOE25'!L252+'DOE25'!L253+'DOE25'!L333+'DOE25'!L334</f>
        <v>504367.5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150614.88</v>
      </c>
      <c r="D29" s="20">
        <f>'DOE25'!L350+'DOE25'!L351+'DOE25'!L352-'DOE25'!I359-F29-G29</f>
        <v>145202.35999999999</v>
      </c>
      <c r="E29" s="244"/>
      <c r="F29" s="256">
        <f>'DOE25'!J350+'DOE25'!J351+'DOE25'!J352</f>
        <v>4753.54</v>
      </c>
      <c r="G29" s="53">
        <f>'DOE25'!K350+'DOE25'!K351+'DOE25'!K352</f>
        <v>658.98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374216.24999999994</v>
      </c>
      <c r="D31" s="20">
        <f>'DOE25'!L282+'DOE25'!L301+'DOE25'!L320+'DOE25'!L325+'DOE25'!L326+'DOE25'!L327-F31-G31</f>
        <v>299470.31999999995</v>
      </c>
      <c r="E31" s="244"/>
      <c r="F31" s="256">
        <f>'DOE25'!J282+'DOE25'!J301+'DOE25'!J320+'DOE25'!J325+'DOE25'!J326+'DOE25'!J327</f>
        <v>66010.930000000008</v>
      </c>
      <c r="G31" s="53">
        <f>'DOE25'!K282+'DOE25'!K301+'DOE25'!K320+'DOE25'!K325+'DOE25'!K326+'DOE25'!K327</f>
        <v>8735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5613504.4400000013</v>
      </c>
      <c r="E33" s="247">
        <f>SUM(E5:E31)</f>
        <v>178912.49000000005</v>
      </c>
      <c r="F33" s="247">
        <f>SUM(F5:F31)</f>
        <v>202161.96000000002</v>
      </c>
      <c r="G33" s="247">
        <f>SUM(G5:G31)</f>
        <v>38407.4</v>
      </c>
      <c r="H33" s="247">
        <f>SUM(H5:H31)</f>
        <v>504367.5</v>
      </c>
    </row>
    <row r="35" spans="2:8" ht="12" thickBot="1" x14ac:dyDescent="0.25">
      <c r="B35" s="254" t="s">
        <v>878</v>
      </c>
      <c r="D35" s="255">
        <f>E33</f>
        <v>178912.49000000005</v>
      </c>
      <c r="E35" s="250"/>
    </row>
    <row r="36" spans="2:8" ht="12" thickTop="1" x14ac:dyDescent="0.2">
      <c r="B36" t="s">
        <v>846</v>
      </c>
      <c r="D36" s="20">
        <f>D33</f>
        <v>5613504.4400000013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42B8-CEC1-41EA-8CE6-E42FF65D485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474848.81</v>
      </c>
      <c r="D9" s="95">
        <f>'DOE25'!G9</f>
        <v>11621.48</v>
      </c>
      <c r="E9" s="95">
        <f>'DOE25'!H9</f>
        <v>0</v>
      </c>
      <c r="F9" s="95">
        <f>'DOE25'!I9</f>
        <v>0</v>
      </c>
      <c r="G9" s="95">
        <f>'DOE25'!J9</f>
        <v>516663.1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70761.759999999995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11142.98</v>
      </c>
      <c r="D13" s="95">
        <f>'DOE25'!G13</f>
        <v>17829.060000000001</v>
      </c>
      <c r="E13" s="95">
        <f>'DOE25'!H13</f>
        <v>77689.789999999994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994.32</v>
      </c>
      <c r="D14" s="95">
        <f>'DOE25'!G14</f>
        <v>50.08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7712.28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557747.86999999988</v>
      </c>
      <c r="D19" s="41">
        <f>SUM(D9:D18)</f>
        <v>37212.9</v>
      </c>
      <c r="E19" s="41">
        <f>SUM(E9:E18)</f>
        <v>77689.789999999994</v>
      </c>
      <c r="F19" s="41">
        <f>SUM(F9:F18)</f>
        <v>0</v>
      </c>
      <c r="G19" s="41">
        <f>SUM(G9:G18)</f>
        <v>516663.1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80.36</v>
      </c>
      <c r="E22" s="95">
        <f>'DOE25'!H23</f>
        <v>70681.399999999994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78629.990000000005</v>
      </c>
      <c r="D24" s="95">
        <f>'DOE25'!G25</f>
        <v>2132.34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22893.94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7253.7400000000007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24276.14</v>
      </c>
      <c r="D30" s="95">
        <f>'DOE25'!G31</f>
        <v>0</v>
      </c>
      <c r="E30" s="95">
        <f>'DOE25'!H31</f>
        <v>7008.39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133053.81</v>
      </c>
      <c r="D32" s="41">
        <f>SUM(D22:D31)</f>
        <v>2212.7000000000003</v>
      </c>
      <c r="E32" s="41">
        <f>SUM(E22:E31)</f>
        <v>77689.789999999994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7712.28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27287.920000000013</v>
      </c>
      <c r="E40" s="95">
        <f>'DOE25'!H41</f>
        <v>0</v>
      </c>
      <c r="F40" s="95">
        <f>'DOE25'!I41</f>
        <v>0</v>
      </c>
      <c r="G40" s="95">
        <f>'DOE25'!J41</f>
        <v>516663.1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423794.05999999959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424694.05999999959</v>
      </c>
      <c r="D42" s="41">
        <f>SUM(D34:D41)</f>
        <v>35000.200000000012</v>
      </c>
      <c r="E42" s="41">
        <f>SUM(E34:E41)</f>
        <v>0</v>
      </c>
      <c r="F42" s="41">
        <f>SUM(F34:F41)</f>
        <v>0</v>
      </c>
      <c r="G42" s="41">
        <f>SUM(G34:G41)</f>
        <v>516663.1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557747.86999999965</v>
      </c>
      <c r="D43" s="41">
        <f>D42+D32</f>
        <v>37212.900000000009</v>
      </c>
      <c r="E43" s="41">
        <f>E42+E32</f>
        <v>77689.789999999994</v>
      </c>
      <c r="F43" s="41">
        <f>F42+F32</f>
        <v>0</v>
      </c>
      <c r="G43" s="41">
        <f>G42+G32</f>
        <v>516663.1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1392409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1476913.8299999998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1167.33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9077.6299999999992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86587.95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136959.13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1615040.29</v>
      </c>
      <c r="D54" s="130">
        <f>SUM(D49:D53)</f>
        <v>86587.95</v>
      </c>
      <c r="E54" s="130">
        <f>SUM(E49:E53)</f>
        <v>0</v>
      </c>
      <c r="F54" s="130">
        <f>SUM(F49:F53)</f>
        <v>0</v>
      </c>
      <c r="G54" s="130">
        <f>SUM(G49:G53)</f>
        <v>9077.6299999999992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3007449.29</v>
      </c>
      <c r="D55" s="22">
        <f>D48+D54</f>
        <v>86587.95</v>
      </c>
      <c r="E55" s="22">
        <f>E48+E54</f>
        <v>0</v>
      </c>
      <c r="F55" s="22">
        <f>F48+F54</f>
        <v>0</v>
      </c>
      <c r="G55" s="22">
        <f>G48+G54</f>
        <v>9077.6299999999992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1994850.34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382890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72352.66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2450093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206722.78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6600</v>
      </c>
      <c r="D69" s="95">
        <f>SUM('DOE25'!G123:G127)</f>
        <v>2973.79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213322.78</v>
      </c>
      <c r="D70" s="130">
        <f>SUM(D64:D69)</f>
        <v>2973.79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2663415.7799999998</v>
      </c>
      <c r="D73" s="130">
        <f>SUM(D71:D72)+D70+D62</f>
        <v>2973.79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10978.06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5800.98</v>
      </c>
      <c r="D80" s="95">
        <f>SUM('DOE25'!G145:G153)</f>
        <v>100544.66</v>
      </c>
      <c r="E80" s="95">
        <f>SUM('DOE25'!H145:H153)</f>
        <v>363238.19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5800.98</v>
      </c>
      <c r="D83" s="131">
        <f>SUM(D77:D82)</f>
        <v>100544.66</v>
      </c>
      <c r="E83" s="131">
        <f>SUM(E77:E82)</f>
        <v>374216.25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49000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89837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89837</v>
      </c>
      <c r="D95" s="86">
        <f>SUM(D85:D94)</f>
        <v>49000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5766503.0500000007</v>
      </c>
      <c r="D96" s="86">
        <f>D55+D73+D83+D95</f>
        <v>239106.4</v>
      </c>
      <c r="E96" s="86">
        <f>E55+E73+E83+E95</f>
        <v>374216.25</v>
      </c>
      <c r="F96" s="86">
        <f>F55+F73+F83+F95</f>
        <v>0</v>
      </c>
      <c r="G96" s="86">
        <f>G55+G73+G95</f>
        <v>29077.629999999997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2425802.4400000004</v>
      </c>
      <c r="D101" s="24" t="s">
        <v>312</v>
      </c>
      <c r="E101" s="95">
        <f>('DOE25'!L268)+('DOE25'!L287)+('DOE25'!L306)</f>
        <v>25561.109999999997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637961.68999999994</v>
      </c>
      <c r="D102" s="24" t="s">
        <v>312</v>
      </c>
      <c r="E102" s="95">
        <f>('DOE25'!L269)+('DOE25'!L288)+('DOE25'!L307)</f>
        <v>187496.13999999998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6250</v>
      </c>
      <c r="D103" s="24" t="s">
        <v>312</v>
      </c>
      <c r="E103" s="95">
        <f>('DOE25'!L270)+('DOE25'!L289)+('DOE25'!L308)</f>
        <v>1800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110739.98</v>
      </c>
      <c r="D104" s="24" t="s">
        <v>312</v>
      </c>
      <c r="E104" s="95">
        <f>+('DOE25'!L271)+('DOE25'!L290)+('DOE25'!L309)</f>
        <v>4728.8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521.87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3180754.1100000003</v>
      </c>
      <c r="D107" s="86">
        <f>SUM(D101:D106)</f>
        <v>0</v>
      </c>
      <c r="E107" s="86">
        <f>SUM(E101:E106)</f>
        <v>220107.91999999995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550668.08000000007</v>
      </c>
      <c r="D110" s="24" t="s">
        <v>312</v>
      </c>
      <c r="E110" s="95">
        <f>+('DOE25'!L273)+('DOE25'!L292)+('DOE25'!L311)</f>
        <v>22746.52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113991.96</v>
      </c>
      <c r="D111" s="24" t="s">
        <v>312</v>
      </c>
      <c r="E111" s="95">
        <f>+('DOE25'!L274)+('DOE25'!L293)+('DOE25'!L312)</f>
        <v>70281.02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295927.56000000006</v>
      </c>
      <c r="D112" s="24" t="s">
        <v>312</v>
      </c>
      <c r="E112" s="95">
        <f>+('DOE25'!L275)+('DOE25'!L294)+('DOE25'!L313)</f>
        <v>4430.79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346040.44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6800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656582.55000000005</v>
      </c>
      <c r="D115" s="24" t="s">
        <v>312</v>
      </c>
      <c r="E115" s="95">
        <f>+('DOE25'!L278)+('DOE25'!L297)+('DOE25'!L316)</f>
        <v>1500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263553.46000000002</v>
      </c>
      <c r="D116" s="24" t="s">
        <v>312</v>
      </c>
      <c r="E116" s="95">
        <f>+('DOE25'!L279)+('DOE25'!L298)+('DOE25'!L317)</f>
        <v>48350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243709.08000000002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2226764.0500000003</v>
      </c>
      <c r="D120" s="86">
        <f>SUM(D110:D119)</f>
        <v>243709.08000000002</v>
      </c>
      <c r="E120" s="86">
        <f>SUM(E110:E119)</f>
        <v>154108.33000000002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89837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114367.5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89837</v>
      </c>
    </row>
    <row r="127" spans="1:7" x14ac:dyDescent="0.2">
      <c r="A127" t="s">
        <v>256</v>
      </c>
      <c r="B127" s="32" t="s">
        <v>257</v>
      </c>
      <c r="C127" s="95">
        <f>'DOE25'!L255</f>
        <v>49000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29077.630000000005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-9077.6300000000047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10701.82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673906.32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89837</v>
      </c>
    </row>
    <row r="137" spans="1:9" ht="12.75" thickTop="1" thickBot="1" x14ac:dyDescent="0.25">
      <c r="A137" s="33" t="s">
        <v>267</v>
      </c>
      <c r="C137" s="86">
        <f>(C107+C120+C136)</f>
        <v>6081424.4800000004</v>
      </c>
      <c r="D137" s="86">
        <f>(D107+D120+D136)</f>
        <v>243709.08000000002</v>
      </c>
      <c r="E137" s="86">
        <f>(E107+E120+E136)</f>
        <v>374216.25</v>
      </c>
      <c r="F137" s="86">
        <f>(F107+F120+F136)</f>
        <v>0</v>
      </c>
      <c r="G137" s="86">
        <f>(G107+G120+G136)</f>
        <v>89837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7/2001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7/2016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5840000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2730000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2730000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390000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390000</v>
      </c>
    </row>
    <row r="151" spans="1:7" x14ac:dyDescent="0.2">
      <c r="A151" s="22" t="s">
        <v>35</v>
      </c>
      <c r="B151" s="137">
        <f>'DOE25'!F488</f>
        <v>2340000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2340000</v>
      </c>
    </row>
    <row r="152" spans="1:7" x14ac:dyDescent="0.2">
      <c r="A152" s="22" t="s">
        <v>36</v>
      </c>
      <c r="B152" s="137">
        <f>'DOE25'!F489</f>
        <v>321750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321750</v>
      </c>
    </row>
    <row r="153" spans="1:7" x14ac:dyDescent="0.2">
      <c r="A153" s="22" t="s">
        <v>37</v>
      </c>
      <c r="B153" s="137">
        <f>'DOE25'!F490</f>
        <v>2661750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2661750</v>
      </c>
    </row>
    <row r="154" spans="1:7" x14ac:dyDescent="0.2">
      <c r="A154" s="22" t="s">
        <v>38</v>
      </c>
      <c r="B154" s="137">
        <f>'DOE25'!F491</f>
        <v>390000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390000</v>
      </c>
    </row>
    <row r="155" spans="1:7" x14ac:dyDescent="0.2">
      <c r="A155" s="22" t="s">
        <v>39</v>
      </c>
      <c r="B155" s="137">
        <f>'DOE25'!F492</f>
        <v>97500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97500</v>
      </c>
    </row>
    <row r="156" spans="1:7" x14ac:dyDescent="0.2">
      <c r="A156" s="22" t="s">
        <v>269</v>
      </c>
      <c r="B156" s="137">
        <f>'DOE25'!F493</f>
        <v>487500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487500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531F-E1A3-4939-A9BF-190FD6FAC5C8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COLEBROOK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12653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16291</v>
      </c>
    </row>
    <row r="7" spans="1:4" x14ac:dyDescent="0.2">
      <c r="B7" t="s">
        <v>736</v>
      </c>
      <c r="C7" s="179">
        <f>IF('DOE25'!I655+'DOE25'!I660=0,0,ROUND('DOE25'!I662,0))</f>
        <v>13807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2451364</v>
      </c>
      <c r="D10" s="182">
        <f>ROUND((C10/$C$28)*100,1)</f>
        <v>40.4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825458</v>
      </c>
      <c r="D11" s="182">
        <f>ROUND((C11/$C$28)*100,1)</f>
        <v>13.6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8050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115469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573415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184273</v>
      </c>
      <c r="D16" s="182">
        <f t="shared" si="0"/>
        <v>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300358</v>
      </c>
      <c r="D17" s="182">
        <f t="shared" si="0"/>
        <v>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346040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6800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658083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311903</v>
      </c>
      <c r="D21" s="182">
        <f t="shared" si="0"/>
        <v>5.0999999999999996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522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114368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10701.82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157121.04999999999</v>
      </c>
      <c r="D27" s="182">
        <f t="shared" si="0"/>
        <v>2.6</v>
      </c>
    </row>
    <row r="28" spans="1:4" x14ac:dyDescent="0.2">
      <c r="B28" s="187" t="s">
        <v>754</v>
      </c>
      <c r="C28" s="180">
        <f>SUM(C10:C27)</f>
        <v>6063925.8700000001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89837</v>
      </c>
    </row>
    <row r="30" spans="1:4" x14ac:dyDescent="0.2">
      <c r="B30" s="187" t="s">
        <v>760</v>
      </c>
      <c r="C30" s="180">
        <f>SUM(C28:C29)</f>
        <v>6153762.8700000001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390000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1392409</v>
      </c>
      <c r="D35" s="182">
        <f t="shared" ref="D35:D40" si="1">ROUND((C35/$C$41)*100,1)</f>
        <v>22.6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1624117.92</v>
      </c>
      <c r="D36" s="182">
        <f t="shared" si="1"/>
        <v>26.4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2450093</v>
      </c>
      <c r="D37" s="182">
        <f t="shared" si="1"/>
        <v>39.799999999999997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216297</v>
      </c>
      <c r="D38" s="182">
        <f t="shared" si="1"/>
        <v>3.5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480562</v>
      </c>
      <c r="D39" s="182">
        <f t="shared" si="1"/>
        <v>7.8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6163478.9199999999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295-8F48-481A-949B-B65D3D9715F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COLEBROOK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BC40:BM40"/>
    <mergeCell ref="BP40:BZ40"/>
    <mergeCell ref="DC39:DM39"/>
    <mergeCell ref="DP39:DZ39"/>
    <mergeCell ref="P40:Z40"/>
    <mergeCell ref="AC40:AM40"/>
    <mergeCell ref="IP38:IV38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HP31:HZ31"/>
    <mergeCell ref="CP32:CZ32"/>
    <mergeCell ref="HP32:HZ32"/>
    <mergeCell ref="DC32:DM32"/>
    <mergeCell ref="DP32:DZ32"/>
    <mergeCell ref="EC32:EM32"/>
    <mergeCell ref="DP31:DZ31"/>
    <mergeCell ref="EP31:EZ31"/>
    <mergeCell ref="FC31:FM31"/>
    <mergeCell ref="FC32:FM32"/>
    <mergeCell ref="CC32:CM32"/>
    <mergeCell ref="GP31:GZ31"/>
    <mergeCell ref="HC31:HM31"/>
    <mergeCell ref="IP32:IV32"/>
    <mergeCell ref="IC30:IM30"/>
    <mergeCell ref="IP30:IV30"/>
    <mergeCell ref="FP30:FZ30"/>
    <mergeCell ref="GC30:GM30"/>
    <mergeCell ref="GP30:GZ30"/>
    <mergeCell ref="HC30:HM30"/>
    <mergeCell ref="HP30:HZ30"/>
    <mergeCell ref="GP32:GZ32"/>
    <mergeCell ref="HC32:HM32"/>
    <mergeCell ref="BC39:BM39"/>
    <mergeCell ref="BP31:BZ31"/>
    <mergeCell ref="CC31:CM31"/>
    <mergeCell ref="CP31:CZ31"/>
    <mergeCell ref="DC31:DM31"/>
    <mergeCell ref="IC32:IM32"/>
    <mergeCell ref="IC31:IM31"/>
    <mergeCell ref="FP31:FZ31"/>
    <mergeCell ref="GC31:GM31"/>
    <mergeCell ref="EC31:EM31"/>
    <mergeCell ref="C37:M37"/>
    <mergeCell ref="C38:M38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EP30:EZ30"/>
    <mergeCell ref="IP31:IV31"/>
    <mergeCell ref="BC31:BM31"/>
    <mergeCell ref="BC32:B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2011-11-04T17:49:37Z</cp:lastPrinted>
  <dcterms:created xsi:type="dcterms:W3CDTF">1997-12-04T19:04:30Z</dcterms:created>
  <dcterms:modified xsi:type="dcterms:W3CDTF">2025-01-09T20:33:22Z</dcterms:modified>
</cp:coreProperties>
</file>