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F59D8BBD-D14C-4731-BB0F-29D40CD96514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60DBCF69-9BF7-4F8B-ADE4-CA96AF49F48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8" i="1" l="1"/>
  <c r="F42" i="1"/>
  <c r="F37" i="1"/>
  <c r="F43" i="1" s="1"/>
  <c r="C13" i="2"/>
  <c r="C19" i="2" s="1"/>
  <c r="C14" i="2"/>
  <c r="F655" i="1"/>
  <c r="D11" i="13"/>
  <c r="C9" i="12"/>
  <c r="F487" i="1"/>
  <c r="F486" i="1"/>
  <c r="F488" i="1" s="1"/>
  <c r="I273" i="1"/>
  <c r="H273" i="1"/>
  <c r="H581" i="1"/>
  <c r="G243" i="1"/>
  <c r="I370" i="1"/>
  <c r="I374" i="1" s="1"/>
  <c r="I372" i="1"/>
  <c r="H372" i="1"/>
  <c r="L372" i="1" s="1"/>
  <c r="G372" i="1"/>
  <c r="F372" i="1"/>
  <c r="J371" i="1"/>
  <c r="H371" i="1"/>
  <c r="K370" i="1"/>
  <c r="J370" i="1"/>
  <c r="H370" i="1"/>
  <c r="H368" i="1"/>
  <c r="G200" i="1"/>
  <c r="G235" i="1"/>
  <c r="G217" i="1"/>
  <c r="L217" i="1" s="1"/>
  <c r="G199" i="1"/>
  <c r="L199" i="1" s="1"/>
  <c r="G233" i="1"/>
  <c r="G215" i="1"/>
  <c r="G197" i="1"/>
  <c r="G231" i="1"/>
  <c r="G213" i="1"/>
  <c r="G195" i="1"/>
  <c r="G230" i="1"/>
  <c r="G212" i="1"/>
  <c r="G194" i="1"/>
  <c r="G228" i="1"/>
  <c r="G239" i="1" s="1"/>
  <c r="G210" i="1"/>
  <c r="G221" i="1" s="1"/>
  <c r="G192" i="1"/>
  <c r="C36" i="12" s="1"/>
  <c r="G227" i="1"/>
  <c r="C27" i="12" s="1"/>
  <c r="G226" i="1"/>
  <c r="G208" i="1"/>
  <c r="G190" i="1"/>
  <c r="C18" i="12" s="1"/>
  <c r="G225" i="1"/>
  <c r="G207" i="1"/>
  <c r="G189" i="1"/>
  <c r="F225" i="1"/>
  <c r="F207" i="1"/>
  <c r="F189" i="1"/>
  <c r="B9" i="12" s="1"/>
  <c r="K253" i="1"/>
  <c r="L253" i="1" s="1"/>
  <c r="K258" i="1"/>
  <c r="L258" i="1" s="1"/>
  <c r="C133" i="2" s="1"/>
  <c r="I227" i="1"/>
  <c r="H227" i="1"/>
  <c r="F200" i="1"/>
  <c r="H200" i="1"/>
  <c r="H462" i="1"/>
  <c r="G273" i="1"/>
  <c r="F23" i="1"/>
  <c r="F12" i="1"/>
  <c r="J311" i="1"/>
  <c r="J273" i="1"/>
  <c r="J282" i="1" s="1"/>
  <c r="I318" i="1"/>
  <c r="L318" i="1" s="1"/>
  <c r="I299" i="1"/>
  <c r="L299" i="1" s="1"/>
  <c r="I280" i="1"/>
  <c r="J312" i="1"/>
  <c r="J293" i="1"/>
  <c r="J274" i="1"/>
  <c r="H311" i="1"/>
  <c r="H292" i="1"/>
  <c r="K336" i="1"/>
  <c r="F109" i="1"/>
  <c r="F218" i="1"/>
  <c r="H236" i="1"/>
  <c r="L236" i="1" s="1"/>
  <c r="H218" i="1"/>
  <c r="L218" i="1" s="1"/>
  <c r="F554" i="1"/>
  <c r="L554" i="1" s="1"/>
  <c r="L555" i="1" s="1"/>
  <c r="G268" i="1"/>
  <c r="H247" i="1"/>
  <c r="F275" i="1"/>
  <c r="G275" i="1"/>
  <c r="F294" i="1"/>
  <c r="G294" i="1"/>
  <c r="F313" i="1"/>
  <c r="G313" i="1"/>
  <c r="F274" i="1"/>
  <c r="G274" i="1"/>
  <c r="L274" i="1" s="1"/>
  <c r="E111" i="2" s="1"/>
  <c r="H274" i="1"/>
  <c r="H282" i="1" s="1"/>
  <c r="I274" i="1"/>
  <c r="I282" i="1" s="1"/>
  <c r="I330" i="1" s="1"/>
  <c r="I344" i="1" s="1"/>
  <c r="F293" i="1"/>
  <c r="G293" i="1"/>
  <c r="H293" i="1"/>
  <c r="I293" i="1"/>
  <c r="F312" i="1"/>
  <c r="G312" i="1"/>
  <c r="H312" i="1"/>
  <c r="I312" i="1"/>
  <c r="F273" i="1"/>
  <c r="F292" i="1"/>
  <c r="F301" i="1" s="1"/>
  <c r="G292" i="1"/>
  <c r="G301" i="1" s="1"/>
  <c r="F311" i="1"/>
  <c r="L311" i="1" s="1"/>
  <c r="G311" i="1"/>
  <c r="F269" i="1"/>
  <c r="G269" i="1"/>
  <c r="H269" i="1"/>
  <c r="I269" i="1"/>
  <c r="J269" i="1"/>
  <c r="F288" i="1"/>
  <c r="G288" i="1"/>
  <c r="H288" i="1"/>
  <c r="I288" i="1"/>
  <c r="J288" i="1"/>
  <c r="J301" i="1" s="1"/>
  <c r="F307" i="1"/>
  <c r="G307" i="1"/>
  <c r="H307" i="1"/>
  <c r="I307" i="1"/>
  <c r="J307" i="1"/>
  <c r="F268" i="1"/>
  <c r="H268" i="1"/>
  <c r="I268" i="1"/>
  <c r="F287" i="1"/>
  <c r="G287" i="1"/>
  <c r="H287" i="1"/>
  <c r="I287" i="1"/>
  <c r="L287" i="1" s="1"/>
  <c r="F306" i="1"/>
  <c r="L306" i="1" s="1"/>
  <c r="G306" i="1"/>
  <c r="H306" i="1"/>
  <c r="I306" i="1"/>
  <c r="J308" i="1"/>
  <c r="J462" i="1"/>
  <c r="I392" i="1"/>
  <c r="J458" i="1"/>
  <c r="H392" i="1"/>
  <c r="H367" i="1"/>
  <c r="J372" i="1"/>
  <c r="J374" i="1" s="1"/>
  <c r="F359" i="1"/>
  <c r="F361" i="1" s="1"/>
  <c r="H359" i="1"/>
  <c r="I359" i="1" s="1"/>
  <c r="I361" i="1" s="1"/>
  <c r="H624" i="1" s="1"/>
  <c r="J624" i="1" s="1"/>
  <c r="G359" i="1"/>
  <c r="H360" i="1"/>
  <c r="G360" i="1"/>
  <c r="F360" i="1"/>
  <c r="I352" i="1"/>
  <c r="H352" i="1"/>
  <c r="G352" i="1"/>
  <c r="F352" i="1"/>
  <c r="I351" i="1"/>
  <c r="H351" i="1"/>
  <c r="H354" i="1" s="1"/>
  <c r="G351" i="1"/>
  <c r="G354" i="1" s="1"/>
  <c r="F351" i="1"/>
  <c r="L351" i="1" s="1"/>
  <c r="I350" i="1"/>
  <c r="H350" i="1"/>
  <c r="G350" i="1"/>
  <c r="F350" i="1"/>
  <c r="H279" i="1"/>
  <c r="H317" i="1"/>
  <c r="K312" i="1"/>
  <c r="J325" i="1"/>
  <c r="I325" i="1"/>
  <c r="H325" i="1"/>
  <c r="H329" i="1" s="1"/>
  <c r="G325" i="1"/>
  <c r="G329" i="1" s="1"/>
  <c r="F325" i="1"/>
  <c r="F329" i="1" s="1"/>
  <c r="L329" i="1" s="1"/>
  <c r="I309" i="1"/>
  <c r="G309" i="1"/>
  <c r="F309" i="1"/>
  <c r="I290" i="1"/>
  <c r="G290" i="1"/>
  <c r="F290" i="1"/>
  <c r="I271" i="1"/>
  <c r="H271" i="1"/>
  <c r="G271" i="1"/>
  <c r="F271" i="1"/>
  <c r="F282" i="1" s="1"/>
  <c r="I308" i="1"/>
  <c r="I320" i="1" s="1"/>
  <c r="H308" i="1"/>
  <c r="L308" i="1" s="1"/>
  <c r="G308" i="1"/>
  <c r="F308" i="1"/>
  <c r="J306" i="1"/>
  <c r="J287" i="1"/>
  <c r="J268" i="1"/>
  <c r="F201" i="1"/>
  <c r="J235" i="1"/>
  <c r="I235" i="1"/>
  <c r="H235" i="1"/>
  <c r="F235" i="1"/>
  <c r="J217" i="1"/>
  <c r="F14" i="13" s="1"/>
  <c r="I217" i="1"/>
  <c r="H217" i="1"/>
  <c r="F217" i="1"/>
  <c r="K199" i="1"/>
  <c r="J199" i="1"/>
  <c r="I199" i="1"/>
  <c r="H199" i="1"/>
  <c r="F199" i="1"/>
  <c r="K234" i="1"/>
  <c r="I234" i="1"/>
  <c r="H234" i="1"/>
  <c r="G234" i="1"/>
  <c r="F234" i="1"/>
  <c r="L234" i="1" s="1"/>
  <c r="K216" i="1"/>
  <c r="I216" i="1"/>
  <c r="H216" i="1"/>
  <c r="G216" i="1"/>
  <c r="F216" i="1"/>
  <c r="K198" i="1"/>
  <c r="I198" i="1"/>
  <c r="H198" i="1"/>
  <c r="G198" i="1"/>
  <c r="F198" i="1"/>
  <c r="L198" i="1" s="1"/>
  <c r="I233" i="1"/>
  <c r="H233" i="1"/>
  <c r="L233" i="1" s="1"/>
  <c r="K233" i="1"/>
  <c r="J233" i="1"/>
  <c r="F233" i="1"/>
  <c r="I215" i="1"/>
  <c r="H215" i="1"/>
  <c r="F215" i="1"/>
  <c r="F197" i="1"/>
  <c r="K231" i="1"/>
  <c r="J231" i="1"/>
  <c r="I231" i="1"/>
  <c r="H231" i="1"/>
  <c r="F231" i="1"/>
  <c r="L231" i="1" s="1"/>
  <c r="J213" i="1"/>
  <c r="I213" i="1"/>
  <c r="H213" i="1"/>
  <c r="F213" i="1"/>
  <c r="J195" i="1"/>
  <c r="I195" i="1"/>
  <c r="H195" i="1"/>
  <c r="F195" i="1"/>
  <c r="K230" i="1"/>
  <c r="I230" i="1"/>
  <c r="H230" i="1"/>
  <c r="F230" i="1"/>
  <c r="L230" i="1" s="1"/>
  <c r="I212" i="1"/>
  <c r="H212" i="1"/>
  <c r="F212" i="1"/>
  <c r="I194" i="1"/>
  <c r="H194" i="1"/>
  <c r="F194" i="1"/>
  <c r="K228" i="1"/>
  <c r="J228" i="1"/>
  <c r="I228" i="1"/>
  <c r="H228" i="1"/>
  <c r="F228" i="1"/>
  <c r="L228" i="1" s="1"/>
  <c r="K210" i="1"/>
  <c r="G5" i="13" s="1"/>
  <c r="J210" i="1"/>
  <c r="I210" i="1"/>
  <c r="H210" i="1"/>
  <c r="F210" i="1"/>
  <c r="H192" i="1"/>
  <c r="F192" i="1"/>
  <c r="B36" i="12" s="1"/>
  <c r="F227" i="1"/>
  <c r="B27" i="12" s="1"/>
  <c r="K227" i="1"/>
  <c r="J227" i="1"/>
  <c r="F226" i="1"/>
  <c r="L226" i="1" s="1"/>
  <c r="C11" i="10" s="1"/>
  <c r="J226" i="1"/>
  <c r="F5" i="13" s="1"/>
  <c r="I226" i="1"/>
  <c r="I239" i="1" s="1"/>
  <c r="H226" i="1"/>
  <c r="I208" i="1"/>
  <c r="H208" i="1"/>
  <c r="F208" i="1"/>
  <c r="J190" i="1"/>
  <c r="I190" i="1"/>
  <c r="H190" i="1"/>
  <c r="F190" i="1"/>
  <c r="B18" i="12" s="1"/>
  <c r="I225" i="1"/>
  <c r="H225" i="1"/>
  <c r="H239" i="1" s="1"/>
  <c r="I207" i="1"/>
  <c r="I221" i="1" s="1"/>
  <c r="H207" i="1"/>
  <c r="H221" i="1" s="1"/>
  <c r="H249" i="1" s="1"/>
  <c r="H263" i="1" s="1"/>
  <c r="I189" i="1"/>
  <c r="H189" i="1"/>
  <c r="J88" i="1"/>
  <c r="G89" i="1"/>
  <c r="F152" i="1"/>
  <c r="F78" i="1"/>
  <c r="F112" i="1"/>
  <c r="F90" i="1"/>
  <c r="F61" i="1"/>
  <c r="F55" i="1"/>
  <c r="G449" i="1"/>
  <c r="I449" i="1" s="1"/>
  <c r="J41" i="1" s="1"/>
  <c r="G40" i="2" s="1"/>
  <c r="H41" i="1"/>
  <c r="H43" i="1" s="1"/>
  <c r="H12" i="1"/>
  <c r="G12" i="1"/>
  <c r="G433" i="1"/>
  <c r="G432" i="1"/>
  <c r="F113" i="1"/>
  <c r="F132" i="1" s="1"/>
  <c r="C38" i="10" s="1"/>
  <c r="F128" i="1"/>
  <c r="G128" i="1"/>
  <c r="G113" i="1"/>
  <c r="G132" i="1"/>
  <c r="H128" i="1"/>
  <c r="H113" i="1"/>
  <c r="H132" i="1" s="1"/>
  <c r="I113" i="1"/>
  <c r="I132" i="1" s="1"/>
  <c r="I185" i="1" s="1"/>
  <c r="G620" i="1" s="1"/>
  <c r="J620" i="1" s="1"/>
  <c r="I128" i="1"/>
  <c r="J113" i="1"/>
  <c r="J132" i="1" s="1"/>
  <c r="J128" i="1"/>
  <c r="C37" i="10"/>
  <c r="C60" i="2"/>
  <c r="B2" i="13"/>
  <c r="F8" i="13"/>
  <c r="E8" i="13" s="1"/>
  <c r="G8" i="13"/>
  <c r="L196" i="1"/>
  <c r="L214" i="1"/>
  <c r="L232" i="1"/>
  <c r="D39" i="13"/>
  <c r="F13" i="13"/>
  <c r="G13" i="13"/>
  <c r="L216" i="1"/>
  <c r="F16" i="13"/>
  <c r="G16" i="13"/>
  <c r="L201" i="1"/>
  <c r="L219" i="1"/>
  <c r="L237" i="1"/>
  <c r="E16" i="13"/>
  <c r="L189" i="1"/>
  <c r="L190" i="1"/>
  <c r="C102" i="2" s="1"/>
  <c r="L191" i="1"/>
  <c r="L208" i="1"/>
  <c r="L209" i="1"/>
  <c r="L227" i="1"/>
  <c r="F6" i="13"/>
  <c r="G6" i="13"/>
  <c r="L194" i="1"/>
  <c r="L212" i="1"/>
  <c r="F7" i="13"/>
  <c r="G7" i="13"/>
  <c r="L195" i="1"/>
  <c r="L213" i="1"/>
  <c r="F12" i="13"/>
  <c r="G12" i="13"/>
  <c r="L197" i="1"/>
  <c r="L215" i="1"/>
  <c r="G14" i="13"/>
  <c r="L235" i="1"/>
  <c r="F15" i="13"/>
  <c r="G15" i="13"/>
  <c r="L200" i="1"/>
  <c r="F17" i="13"/>
  <c r="G17" i="13"/>
  <c r="L243" i="1"/>
  <c r="D17" i="13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2" i="1"/>
  <c r="H651" i="1" s="1"/>
  <c r="J320" i="1"/>
  <c r="K282" i="1"/>
  <c r="G31" i="13" s="1"/>
  <c r="K301" i="1"/>
  <c r="K320" i="1"/>
  <c r="L268" i="1"/>
  <c r="L269" i="1"/>
  <c r="L270" i="1"/>
  <c r="E103" i="2" s="1"/>
  <c r="L271" i="1"/>
  <c r="E104" i="2" s="1"/>
  <c r="L275" i="1"/>
  <c r="L276" i="1"/>
  <c r="L277" i="1"/>
  <c r="L278" i="1"/>
  <c r="L279" i="1"/>
  <c r="L280" i="1"/>
  <c r="L288" i="1"/>
  <c r="L289" i="1"/>
  <c r="L290" i="1"/>
  <c r="L293" i="1"/>
  <c r="L294" i="1"/>
  <c r="L295" i="1"/>
  <c r="L296" i="1"/>
  <c r="L297" i="1"/>
  <c r="L298" i="1"/>
  <c r="L307" i="1"/>
  <c r="L309" i="1"/>
  <c r="L312" i="1"/>
  <c r="L313" i="1"/>
  <c r="L314" i="1"/>
  <c r="L315" i="1"/>
  <c r="L316" i="1"/>
  <c r="L317" i="1"/>
  <c r="L325" i="1"/>
  <c r="E106" i="2" s="1"/>
  <c r="L326" i="1"/>
  <c r="L327" i="1"/>
  <c r="L252" i="1"/>
  <c r="L333" i="1"/>
  <c r="L334" i="1"/>
  <c r="E124" i="2" s="1"/>
  <c r="E136" i="2" s="1"/>
  <c r="L247" i="1"/>
  <c r="L328" i="1"/>
  <c r="F22" i="13"/>
  <c r="C22" i="13"/>
  <c r="C17" i="13"/>
  <c r="C16" i="13"/>
  <c r="C11" i="13"/>
  <c r="C10" i="13"/>
  <c r="C9" i="13"/>
  <c r="L353" i="1"/>
  <c r="B4" i="12"/>
  <c r="B1" i="12"/>
  <c r="L379" i="1"/>
  <c r="L380" i="1"/>
  <c r="L381" i="1"/>
  <c r="L382" i="1"/>
  <c r="L383" i="1"/>
  <c r="L384" i="1"/>
  <c r="L385" i="1"/>
  <c r="L400" i="1" s="1"/>
  <c r="C130" i="2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J52" i="1"/>
  <c r="G48" i="2"/>
  <c r="G51" i="2"/>
  <c r="G54" i="2" s="1"/>
  <c r="G55" i="2" s="1"/>
  <c r="G53" i="2"/>
  <c r="F2" i="11"/>
  <c r="L603" i="1"/>
  <c r="L604" i="1" s="1"/>
  <c r="H653" i="1"/>
  <c r="L602" i="1"/>
  <c r="G653" i="1" s="1"/>
  <c r="I653" i="1" s="1"/>
  <c r="L601" i="1"/>
  <c r="F653" i="1"/>
  <c r="C40" i="10"/>
  <c r="F52" i="1"/>
  <c r="F104" i="1" s="1"/>
  <c r="G52" i="1"/>
  <c r="H52" i="1"/>
  <c r="I52" i="1"/>
  <c r="C35" i="10"/>
  <c r="F71" i="1"/>
  <c r="C49" i="2" s="1"/>
  <c r="C54" i="2" s="1"/>
  <c r="F86" i="1"/>
  <c r="F103" i="1"/>
  <c r="G103" i="1"/>
  <c r="G104" i="1"/>
  <c r="H71" i="1"/>
  <c r="H104" i="1" s="1"/>
  <c r="H86" i="1"/>
  <c r="H103" i="1"/>
  <c r="I103" i="1"/>
  <c r="I104" i="1"/>
  <c r="J103" i="1"/>
  <c r="J104" i="1"/>
  <c r="F139" i="1"/>
  <c r="F154" i="1"/>
  <c r="F161" i="1" s="1"/>
  <c r="C39" i="10" s="1"/>
  <c r="G139" i="1"/>
  <c r="G161" i="1" s="1"/>
  <c r="G154" i="1"/>
  <c r="H139" i="1"/>
  <c r="H154" i="1"/>
  <c r="H161" i="1"/>
  <c r="I139" i="1"/>
  <c r="I161" i="1" s="1"/>
  <c r="I154" i="1"/>
  <c r="L242" i="1"/>
  <c r="L324" i="1"/>
  <c r="C23" i="10"/>
  <c r="L246" i="1"/>
  <c r="L260" i="1"/>
  <c r="C26" i="10" s="1"/>
  <c r="L261" i="1"/>
  <c r="L341" i="1"/>
  <c r="L342" i="1"/>
  <c r="I655" i="1"/>
  <c r="I660" i="1"/>
  <c r="F652" i="1"/>
  <c r="I659" i="1"/>
  <c r="C42" i="10"/>
  <c r="C32" i="10"/>
  <c r="L366" i="1"/>
  <c r="L367" i="1"/>
  <c r="L368" i="1"/>
  <c r="L369" i="1"/>
  <c r="L371" i="1"/>
  <c r="B2" i="10"/>
  <c r="L336" i="1"/>
  <c r="E126" i="2" s="1"/>
  <c r="L337" i="1"/>
  <c r="L338" i="1"/>
  <c r="L339" i="1"/>
  <c r="K343" i="1"/>
  <c r="L511" i="1"/>
  <c r="L514" i="1" s="1"/>
  <c r="F539" i="1"/>
  <c r="L512" i="1"/>
  <c r="F540" i="1" s="1"/>
  <c r="K540" i="1" s="1"/>
  <c r="L513" i="1"/>
  <c r="F541" i="1"/>
  <c r="L516" i="1"/>
  <c r="G539" i="1"/>
  <c r="L517" i="1"/>
  <c r="G540" i="1" s="1"/>
  <c r="G542" i="1" s="1"/>
  <c r="L518" i="1"/>
  <c r="G541" i="1"/>
  <c r="L521" i="1"/>
  <c r="H539" i="1" s="1"/>
  <c r="H542" i="1" s="1"/>
  <c r="L522" i="1"/>
  <c r="H540" i="1" s="1"/>
  <c r="L523" i="1"/>
  <c r="H541" i="1" s="1"/>
  <c r="L526" i="1"/>
  <c r="I539" i="1" s="1"/>
  <c r="I542" i="1" s="1"/>
  <c r="L527" i="1"/>
  <c r="I540" i="1"/>
  <c r="L528" i="1"/>
  <c r="L529" i="1" s="1"/>
  <c r="I541" i="1"/>
  <c r="L531" i="1"/>
  <c r="J539" i="1" s="1"/>
  <c r="L532" i="1"/>
  <c r="J540" i="1" s="1"/>
  <c r="L533" i="1"/>
  <c r="J541" i="1" s="1"/>
  <c r="E123" i="2"/>
  <c r="J262" i="1"/>
  <c r="I262" i="1"/>
  <c r="H262" i="1"/>
  <c r="G262" i="1"/>
  <c r="F262" i="1"/>
  <c r="C123" i="2"/>
  <c r="A1" i="2"/>
  <c r="A2" i="2"/>
  <c r="C9" i="2"/>
  <c r="D9" i="2"/>
  <c r="E9" i="2"/>
  <c r="F9" i="2"/>
  <c r="I431" i="1"/>
  <c r="J9" i="1"/>
  <c r="G9" i="2" s="1"/>
  <c r="C10" i="2"/>
  <c r="D10" i="2"/>
  <c r="E10" i="2"/>
  <c r="E19" i="2" s="1"/>
  <c r="F10" i="2"/>
  <c r="F19" i="2" s="1"/>
  <c r="I432" i="1"/>
  <c r="I438" i="1" s="1"/>
  <c r="G632" i="1" s="1"/>
  <c r="C11" i="2"/>
  <c r="C12" i="2"/>
  <c r="D12" i="2"/>
  <c r="D19" i="2" s="1"/>
  <c r="E12" i="2"/>
  <c r="F12" i="2"/>
  <c r="I433" i="1"/>
  <c r="J12" i="1"/>
  <c r="G12" i="2"/>
  <c r="D13" i="2"/>
  <c r="E13" i="2"/>
  <c r="F13" i="2"/>
  <c r="I434" i="1"/>
  <c r="J13" i="1" s="1"/>
  <c r="G13" i="2" s="1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22" i="2"/>
  <c r="C32" i="2" s="1"/>
  <c r="D22" i="2"/>
  <c r="D32" i="2" s="1"/>
  <c r="E22" i="2"/>
  <c r="F22" i="2"/>
  <c r="I440" i="1"/>
  <c r="J23" i="1"/>
  <c r="G22" i="2"/>
  <c r="C23" i="2"/>
  <c r="D23" i="2"/>
  <c r="E23" i="2"/>
  <c r="F23" i="2"/>
  <c r="I441" i="1"/>
  <c r="I444" i="1" s="1"/>
  <c r="J24" i="1"/>
  <c r="G23" i="2"/>
  <c r="C24" i="2"/>
  <c r="D24" i="2"/>
  <c r="E24" i="2"/>
  <c r="F24" i="2"/>
  <c r="I442" i="1"/>
  <c r="J25" i="1" s="1"/>
  <c r="G24" i="2" s="1"/>
  <c r="C25" i="2"/>
  <c r="D25" i="2"/>
  <c r="E25" i="2"/>
  <c r="E32" i="2" s="1"/>
  <c r="F25" i="2"/>
  <c r="F32" i="2" s="1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D43" i="2" s="1"/>
  <c r="E34" i="2"/>
  <c r="F34" i="2"/>
  <c r="C35" i="2"/>
  <c r="D35" i="2"/>
  <c r="E35" i="2"/>
  <c r="F35" i="2"/>
  <c r="C36" i="2"/>
  <c r="C42" i="2" s="1"/>
  <c r="C43" i="2" s="1"/>
  <c r="D36" i="2"/>
  <c r="E36" i="2"/>
  <c r="F36" i="2"/>
  <c r="I446" i="1"/>
  <c r="J37" i="1"/>
  <c r="G36" i="2" s="1"/>
  <c r="C37" i="2"/>
  <c r="D37" i="2"/>
  <c r="E37" i="2"/>
  <c r="F37" i="2"/>
  <c r="I447" i="1"/>
  <c r="J38" i="1"/>
  <c r="C38" i="2"/>
  <c r="D38" i="2"/>
  <c r="E38" i="2"/>
  <c r="F38" i="2"/>
  <c r="I448" i="1"/>
  <c r="J40" i="1" s="1"/>
  <c r="G39" i="2" s="1"/>
  <c r="C40" i="2"/>
  <c r="D40" i="2"/>
  <c r="F40" i="2"/>
  <c r="F42" i="2" s="1"/>
  <c r="F43" i="2" s="1"/>
  <c r="C41" i="2"/>
  <c r="D41" i="2"/>
  <c r="E41" i="2"/>
  <c r="F41" i="2"/>
  <c r="C48" i="2"/>
  <c r="C55" i="2" s="1"/>
  <c r="D48" i="2"/>
  <c r="D55" i="2" s="1"/>
  <c r="E48" i="2"/>
  <c r="F48" i="2"/>
  <c r="E49" i="2"/>
  <c r="E54" i="2" s="1"/>
  <c r="E55" i="2" s="1"/>
  <c r="C50" i="2"/>
  <c r="E50" i="2"/>
  <c r="C51" i="2"/>
  <c r="D51" i="2"/>
  <c r="E51" i="2"/>
  <c r="F51" i="2"/>
  <c r="F54" i="2" s="1"/>
  <c r="F55" i="2" s="1"/>
  <c r="D52" i="2"/>
  <c r="C53" i="2"/>
  <c r="D53" i="2"/>
  <c r="E53" i="2"/>
  <c r="F53" i="2"/>
  <c r="D54" i="2"/>
  <c r="C58" i="2"/>
  <c r="C62" i="2" s="1"/>
  <c r="C59" i="2"/>
  <c r="C61" i="2"/>
  <c r="D61" i="2"/>
  <c r="D62" i="2" s="1"/>
  <c r="E61" i="2"/>
  <c r="E62" i="2" s="1"/>
  <c r="F61" i="2"/>
  <c r="F62" i="2" s="1"/>
  <c r="G61" i="2"/>
  <c r="G62" i="2"/>
  <c r="C64" i="2"/>
  <c r="C70" i="2" s="1"/>
  <c r="F64" i="2"/>
  <c r="C65" i="2"/>
  <c r="F65" i="2"/>
  <c r="C66" i="2"/>
  <c r="C67" i="2"/>
  <c r="C68" i="2"/>
  <c r="E68" i="2"/>
  <c r="F68" i="2"/>
  <c r="C69" i="2"/>
  <c r="D69" i="2"/>
  <c r="E69" i="2"/>
  <c r="F69" i="2"/>
  <c r="G69" i="2"/>
  <c r="D70" i="2"/>
  <c r="E70" i="2"/>
  <c r="F70" i="2"/>
  <c r="F73" i="2" s="1"/>
  <c r="G70" i="2"/>
  <c r="C71" i="2"/>
  <c r="D71" i="2"/>
  <c r="E71" i="2"/>
  <c r="C72" i="2"/>
  <c r="E72" i="2"/>
  <c r="G73" i="2"/>
  <c r="C77" i="2"/>
  <c r="C83" i="2" s="1"/>
  <c r="D77" i="2"/>
  <c r="E77" i="2"/>
  <c r="C79" i="2"/>
  <c r="E79" i="2"/>
  <c r="E83" i="2" s="1"/>
  <c r="F79" i="2"/>
  <c r="C80" i="2"/>
  <c r="D80" i="2"/>
  <c r="E80" i="2"/>
  <c r="F80" i="2"/>
  <c r="C81" i="2"/>
  <c r="D81" i="2"/>
  <c r="D83" i="2" s="1"/>
  <c r="E81" i="2"/>
  <c r="F81" i="2"/>
  <c r="C82" i="2"/>
  <c r="C85" i="2"/>
  <c r="F85" i="2"/>
  <c r="C86" i="2"/>
  <c r="C95" i="2" s="1"/>
  <c r="F86" i="2"/>
  <c r="F95" i="2" s="1"/>
  <c r="D88" i="2"/>
  <c r="D95" i="2" s="1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3" i="2"/>
  <c r="C105" i="2"/>
  <c r="E105" i="2"/>
  <c r="D107" i="2"/>
  <c r="F107" i="2"/>
  <c r="G107" i="2"/>
  <c r="C112" i="2"/>
  <c r="E112" i="2"/>
  <c r="E113" i="2"/>
  <c r="E114" i="2"/>
  <c r="E115" i="2"/>
  <c r="E116" i="2"/>
  <c r="C117" i="2"/>
  <c r="F120" i="2"/>
  <c r="G120" i="2"/>
  <c r="C122" i="2"/>
  <c r="E122" i="2"/>
  <c r="D126" i="2"/>
  <c r="F126" i="2"/>
  <c r="K411" i="1"/>
  <c r="K426" i="1" s="1"/>
  <c r="G126" i="2" s="1"/>
  <c r="G136" i="2" s="1"/>
  <c r="K419" i="1"/>
  <c r="K425" i="1"/>
  <c r="L255" i="1"/>
  <c r="C127" i="2" s="1"/>
  <c r="E127" i="2"/>
  <c r="L256" i="1"/>
  <c r="C128" i="2" s="1"/>
  <c r="L257" i="1"/>
  <c r="C129" i="2"/>
  <c r="E129" i="2"/>
  <c r="C134" i="2"/>
  <c r="E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C151" i="2"/>
  <c r="D151" i="2"/>
  <c r="E151" i="2"/>
  <c r="F151" i="2"/>
  <c r="B152" i="2"/>
  <c r="G152" i="2" s="1"/>
  <c r="C152" i="2"/>
  <c r="D152" i="2"/>
  <c r="E152" i="2"/>
  <c r="F152" i="2"/>
  <c r="G490" i="1"/>
  <c r="C153" i="2" s="1"/>
  <c r="H490" i="1"/>
  <c r="D153" i="2" s="1"/>
  <c r="I490" i="1"/>
  <c r="E153" i="2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F155" i="2"/>
  <c r="G155" i="2"/>
  <c r="F493" i="1"/>
  <c r="B156" i="2"/>
  <c r="G493" i="1"/>
  <c r="K493" i="1" s="1"/>
  <c r="C156" i="2"/>
  <c r="H493" i="1"/>
  <c r="D156" i="2" s="1"/>
  <c r="I493" i="1"/>
  <c r="E156" i="2"/>
  <c r="J493" i="1"/>
  <c r="F156" i="2" s="1"/>
  <c r="F19" i="1"/>
  <c r="G19" i="1"/>
  <c r="H19" i="1"/>
  <c r="G609" i="1" s="1"/>
  <c r="I19" i="1"/>
  <c r="G610" i="1" s="1"/>
  <c r="J610" i="1" s="1"/>
  <c r="F33" i="1"/>
  <c r="G33" i="1"/>
  <c r="H33" i="1"/>
  <c r="I33" i="1"/>
  <c r="I44" i="1" s="1"/>
  <c r="H610" i="1" s="1"/>
  <c r="G43" i="1"/>
  <c r="I43" i="1"/>
  <c r="G44" i="1"/>
  <c r="H608" i="1" s="1"/>
  <c r="F169" i="1"/>
  <c r="F184" i="1" s="1"/>
  <c r="I169" i="1"/>
  <c r="I184" i="1" s="1"/>
  <c r="F175" i="1"/>
  <c r="G175" i="1"/>
  <c r="H175" i="1"/>
  <c r="H184" i="1" s="1"/>
  <c r="I175" i="1"/>
  <c r="J175" i="1"/>
  <c r="J184" i="1" s="1"/>
  <c r="F180" i="1"/>
  <c r="G180" i="1"/>
  <c r="G184" i="1" s="1"/>
  <c r="H180" i="1"/>
  <c r="I180" i="1"/>
  <c r="H203" i="1"/>
  <c r="I203" i="1"/>
  <c r="J203" i="1"/>
  <c r="K203" i="1"/>
  <c r="K249" i="1" s="1"/>
  <c r="F221" i="1"/>
  <c r="J221" i="1"/>
  <c r="K221" i="1"/>
  <c r="K239" i="1"/>
  <c r="F248" i="1"/>
  <c r="G248" i="1"/>
  <c r="L248" i="1" s="1"/>
  <c r="H248" i="1"/>
  <c r="I248" i="1"/>
  <c r="J248" i="1"/>
  <c r="K248" i="1"/>
  <c r="H301" i="1"/>
  <c r="I301" i="1"/>
  <c r="G320" i="1"/>
  <c r="I329" i="1"/>
  <c r="J329" i="1"/>
  <c r="K329" i="1"/>
  <c r="K330" i="1" s="1"/>
  <c r="K344" i="1" s="1"/>
  <c r="I354" i="1"/>
  <c r="J354" i="1"/>
  <c r="K354" i="1"/>
  <c r="I360" i="1"/>
  <c r="G361" i="1"/>
  <c r="L373" i="1"/>
  <c r="F374" i="1"/>
  <c r="G374" i="1"/>
  <c r="K374" i="1"/>
  <c r="F385" i="1"/>
  <c r="G385" i="1"/>
  <c r="G400" i="1" s="1"/>
  <c r="H635" i="1" s="1"/>
  <c r="H385" i="1"/>
  <c r="H400" i="1" s="1"/>
  <c r="H634" i="1" s="1"/>
  <c r="J634" i="1" s="1"/>
  <c r="I385" i="1"/>
  <c r="F393" i="1"/>
  <c r="G393" i="1"/>
  <c r="H393" i="1"/>
  <c r="I393" i="1"/>
  <c r="F399" i="1"/>
  <c r="F400" i="1" s="1"/>
  <c r="H633" i="1" s="1"/>
  <c r="J633" i="1" s="1"/>
  <c r="G399" i="1"/>
  <c r="H399" i="1"/>
  <c r="I399" i="1"/>
  <c r="I400" i="1"/>
  <c r="L405" i="1"/>
  <c r="L406" i="1"/>
  <c r="L411" i="1" s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G426" i="1" s="1"/>
  <c r="H419" i="1"/>
  <c r="I419" i="1"/>
  <c r="J419" i="1"/>
  <c r="L421" i="1"/>
  <c r="L422" i="1"/>
  <c r="L423" i="1"/>
  <c r="L424" i="1"/>
  <c r="F425" i="1"/>
  <c r="G425" i="1"/>
  <c r="H425" i="1"/>
  <c r="I425" i="1"/>
  <c r="J425" i="1"/>
  <c r="L425" i="1"/>
  <c r="F426" i="1"/>
  <c r="F438" i="1"/>
  <c r="G438" i="1"/>
  <c r="H438" i="1"/>
  <c r="F444" i="1"/>
  <c r="F451" i="1" s="1"/>
  <c r="H629" i="1" s="1"/>
  <c r="J629" i="1" s="1"/>
  <c r="G444" i="1"/>
  <c r="H444" i="1"/>
  <c r="H451" i="1" s="1"/>
  <c r="H631" i="1" s="1"/>
  <c r="F450" i="1"/>
  <c r="H450" i="1"/>
  <c r="F460" i="1"/>
  <c r="F466" i="1" s="1"/>
  <c r="H612" i="1" s="1"/>
  <c r="G460" i="1"/>
  <c r="G466" i="1" s="1"/>
  <c r="H613" i="1" s="1"/>
  <c r="J613" i="1" s="1"/>
  <c r="H460" i="1"/>
  <c r="H466" i="1" s="1"/>
  <c r="H614" i="1" s="1"/>
  <c r="I460" i="1"/>
  <c r="J460" i="1"/>
  <c r="F464" i="1"/>
  <c r="G464" i="1"/>
  <c r="H464" i="1"/>
  <c r="I464" i="1"/>
  <c r="J464" i="1"/>
  <c r="I466" i="1"/>
  <c r="J466" i="1"/>
  <c r="H616" i="1" s="1"/>
  <c r="K485" i="1"/>
  <c r="K486" i="1"/>
  <c r="K487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K514" i="1"/>
  <c r="F519" i="1"/>
  <c r="G519" i="1"/>
  <c r="G535" i="1" s="1"/>
  <c r="H519" i="1"/>
  <c r="H535" i="1" s="1"/>
  <c r="I519" i="1"/>
  <c r="I535" i="1" s="1"/>
  <c r="J519" i="1"/>
  <c r="K519" i="1"/>
  <c r="L519" i="1"/>
  <c r="F524" i="1"/>
  <c r="G524" i="1"/>
  <c r="H524" i="1"/>
  <c r="I524" i="1"/>
  <c r="J524" i="1"/>
  <c r="J535" i="1" s="1"/>
  <c r="K524" i="1"/>
  <c r="F529" i="1"/>
  <c r="F535" i="1" s="1"/>
  <c r="G529" i="1"/>
  <c r="H529" i="1"/>
  <c r="I529" i="1"/>
  <c r="J529" i="1"/>
  <c r="K529" i="1"/>
  <c r="F534" i="1"/>
  <c r="G534" i="1"/>
  <c r="H534" i="1"/>
  <c r="I534" i="1"/>
  <c r="J534" i="1"/>
  <c r="K534" i="1"/>
  <c r="K535" i="1" s="1"/>
  <c r="L534" i="1"/>
  <c r="L547" i="1"/>
  <c r="L550" i="1" s="1"/>
  <c r="L561" i="1" s="1"/>
  <c r="L548" i="1"/>
  <c r="L549" i="1"/>
  <c r="F550" i="1"/>
  <c r="G550" i="1"/>
  <c r="G561" i="1" s="1"/>
  <c r="H550" i="1"/>
  <c r="I550" i="1"/>
  <c r="J550" i="1"/>
  <c r="K550" i="1"/>
  <c r="L552" i="1"/>
  <c r="L553" i="1"/>
  <c r="G555" i="1"/>
  <c r="H555" i="1"/>
  <c r="H561" i="1" s="1"/>
  <c r="I555" i="1"/>
  <c r="I561" i="1" s="1"/>
  <c r="J555" i="1"/>
  <c r="K555" i="1"/>
  <c r="L557" i="1"/>
  <c r="L560" i="1" s="1"/>
  <c r="L558" i="1"/>
  <c r="L559" i="1"/>
  <c r="F560" i="1"/>
  <c r="G560" i="1"/>
  <c r="H560" i="1"/>
  <c r="I560" i="1"/>
  <c r="J560" i="1"/>
  <c r="J561" i="1" s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J608" i="1" s="1"/>
  <c r="G613" i="1"/>
  <c r="G615" i="1"/>
  <c r="J615" i="1" s="1"/>
  <c r="H615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G630" i="1"/>
  <c r="G631" i="1"/>
  <c r="G633" i="1"/>
  <c r="G634" i="1"/>
  <c r="G635" i="1"/>
  <c r="J635" i="1" s="1"/>
  <c r="G639" i="1"/>
  <c r="J639" i="1" s="1"/>
  <c r="H639" i="1"/>
  <c r="H640" i="1"/>
  <c r="H641" i="1"/>
  <c r="G642" i="1"/>
  <c r="H642" i="1"/>
  <c r="J642" i="1"/>
  <c r="G643" i="1"/>
  <c r="J643" i="1" s="1"/>
  <c r="H643" i="1"/>
  <c r="G644" i="1"/>
  <c r="H644" i="1"/>
  <c r="J644" i="1"/>
  <c r="G645" i="1"/>
  <c r="G32" i="2" l="1"/>
  <c r="C8" i="13"/>
  <c r="C29" i="12"/>
  <c r="B30" i="12"/>
  <c r="C28" i="12"/>
  <c r="C73" i="2"/>
  <c r="C96" i="2" s="1"/>
  <c r="D96" i="2"/>
  <c r="F185" i="1"/>
  <c r="G617" i="1" s="1"/>
  <c r="J617" i="1" s="1"/>
  <c r="G627" i="1"/>
  <c r="J627" i="1" s="1"/>
  <c r="H636" i="1"/>
  <c r="D6" i="13"/>
  <c r="C6" i="13" s="1"/>
  <c r="C38" i="12"/>
  <c r="C37" i="12"/>
  <c r="B39" i="12"/>
  <c r="K263" i="1"/>
  <c r="B151" i="2"/>
  <c r="G151" i="2" s="1"/>
  <c r="F490" i="1"/>
  <c r="K488" i="1"/>
  <c r="J43" i="1"/>
  <c r="H185" i="1"/>
  <c r="G619" i="1" s="1"/>
  <c r="J619" i="1" s="1"/>
  <c r="F96" i="2"/>
  <c r="I450" i="1"/>
  <c r="J542" i="1"/>
  <c r="J631" i="1"/>
  <c r="D12" i="13"/>
  <c r="C12" i="13" s="1"/>
  <c r="J185" i="1"/>
  <c r="J33" i="1"/>
  <c r="I451" i="1"/>
  <c r="H632" i="1" s="1"/>
  <c r="J632" i="1" s="1"/>
  <c r="G614" i="1"/>
  <c r="J614" i="1" s="1"/>
  <c r="H44" i="1"/>
  <c r="H609" i="1" s="1"/>
  <c r="J609" i="1" s="1"/>
  <c r="G33" i="13"/>
  <c r="C110" i="2"/>
  <c r="C111" i="2"/>
  <c r="C16" i="10"/>
  <c r="D7" i="13"/>
  <c r="C7" i="13" s="1"/>
  <c r="C113" i="2"/>
  <c r="C18" i="10"/>
  <c r="L354" i="1"/>
  <c r="G651" i="1"/>
  <c r="F651" i="1"/>
  <c r="I651" i="1" s="1"/>
  <c r="D29" i="13"/>
  <c r="C29" i="13" s="1"/>
  <c r="D119" i="2"/>
  <c r="D120" i="2" s="1"/>
  <c r="D137" i="2" s="1"/>
  <c r="L320" i="1"/>
  <c r="E117" i="2"/>
  <c r="C17" i="10"/>
  <c r="C20" i="10"/>
  <c r="C115" i="2"/>
  <c r="D14" i="13"/>
  <c r="C14" i="13" s="1"/>
  <c r="I249" i="1"/>
  <c r="I263" i="1" s="1"/>
  <c r="E101" i="2"/>
  <c r="E107" i="2" s="1"/>
  <c r="C116" i="2"/>
  <c r="C21" i="10"/>
  <c r="G640" i="1"/>
  <c r="J640" i="1" s="1"/>
  <c r="D15" i="13"/>
  <c r="C15" i="13" s="1"/>
  <c r="G652" i="1"/>
  <c r="I652" i="1" s="1"/>
  <c r="H637" i="1"/>
  <c r="C124" i="2"/>
  <c r="C136" i="2" s="1"/>
  <c r="H25" i="13"/>
  <c r="C25" i="10"/>
  <c r="G42" i="2"/>
  <c r="G43" i="2" s="1"/>
  <c r="K539" i="1"/>
  <c r="C114" i="2"/>
  <c r="E13" i="13"/>
  <c r="C13" i="13" s="1"/>
  <c r="C19" i="10"/>
  <c r="F330" i="1"/>
  <c r="F344" i="1" s="1"/>
  <c r="G641" i="1"/>
  <c r="J641" i="1" s="1"/>
  <c r="H652" i="1"/>
  <c r="F31" i="13"/>
  <c r="F33" i="13" s="1"/>
  <c r="J330" i="1"/>
  <c r="J344" i="1" s="1"/>
  <c r="B12" i="12"/>
  <c r="C11" i="12"/>
  <c r="C10" i="12"/>
  <c r="F44" i="1"/>
  <c r="H607" i="1" s="1"/>
  <c r="G612" i="1"/>
  <c r="J612" i="1" s="1"/>
  <c r="J637" i="1"/>
  <c r="G451" i="1"/>
  <c r="H630" i="1" s="1"/>
  <c r="J630" i="1" s="1"/>
  <c r="L426" i="1"/>
  <c r="G628" i="1" s="1"/>
  <c r="J628" i="1" s="1"/>
  <c r="G156" i="2"/>
  <c r="E73" i="2"/>
  <c r="E96" i="2" s="1"/>
  <c r="K541" i="1"/>
  <c r="G96" i="2"/>
  <c r="G185" i="1"/>
  <c r="G618" i="1" s="1"/>
  <c r="J618" i="1" s="1"/>
  <c r="G137" i="2"/>
  <c r="D73" i="2"/>
  <c r="B21" i="12"/>
  <c r="C20" i="12"/>
  <c r="C19" i="12"/>
  <c r="H361" i="1"/>
  <c r="L225" i="1"/>
  <c r="L239" i="1" s="1"/>
  <c r="H650" i="1" s="1"/>
  <c r="L524" i="1"/>
  <c r="L535" i="1" s="1"/>
  <c r="H645" i="1"/>
  <c r="J645" i="1" s="1"/>
  <c r="G282" i="1"/>
  <c r="G330" i="1" s="1"/>
  <c r="G344" i="1" s="1"/>
  <c r="E102" i="2"/>
  <c r="L370" i="1"/>
  <c r="L210" i="1"/>
  <c r="D5" i="13" s="1"/>
  <c r="J239" i="1"/>
  <c r="J249" i="1" s="1"/>
  <c r="L203" i="1"/>
  <c r="H374" i="1"/>
  <c r="F542" i="1"/>
  <c r="L343" i="1"/>
  <c r="G450" i="1"/>
  <c r="H320" i="1"/>
  <c r="H330" i="1" s="1"/>
  <c r="H344" i="1" s="1"/>
  <c r="F77" i="2"/>
  <c r="F83" i="2" s="1"/>
  <c r="K262" i="1"/>
  <c r="L262" i="1" s="1"/>
  <c r="L207" i="1"/>
  <c r="E40" i="2"/>
  <c r="E42" i="2" s="1"/>
  <c r="E43" i="2" s="1"/>
  <c r="F354" i="1"/>
  <c r="G203" i="1"/>
  <c r="G249" i="1" s="1"/>
  <c r="G263" i="1" s="1"/>
  <c r="C24" i="10"/>
  <c r="L292" i="1"/>
  <c r="L301" i="1" s="1"/>
  <c r="L192" i="1"/>
  <c r="J607" i="1"/>
  <c r="F320" i="1"/>
  <c r="F239" i="1"/>
  <c r="F203" i="1"/>
  <c r="F249" i="1" s="1"/>
  <c r="F263" i="1" s="1"/>
  <c r="C106" i="2"/>
  <c r="G37" i="2"/>
  <c r="J10" i="1"/>
  <c r="C12" i="10"/>
  <c r="C36" i="10"/>
  <c r="C41" i="10" s="1"/>
  <c r="L273" i="1"/>
  <c r="F555" i="1"/>
  <c r="F561" i="1" s="1"/>
  <c r="D37" i="10" l="1"/>
  <c r="D35" i="10"/>
  <c r="D38" i="10"/>
  <c r="D40" i="10"/>
  <c r="D39" i="10"/>
  <c r="C5" i="13"/>
  <c r="H638" i="1"/>
  <c r="J638" i="1" s="1"/>
  <c r="J263" i="1"/>
  <c r="C21" i="12"/>
  <c r="C22" i="12" s="1"/>
  <c r="B22" i="12"/>
  <c r="H654" i="1"/>
  <c r="B13" i="12"/>
  <c r="C12" i="12"/>
  <c r="C13" i="12" s="1"/>
  <c r="C120" i="2"/>
  <c r="F122" i="2"/>
  <c r="F136" i="2" s="1"/>
  <c r="F137" i="2" s="1"/>
  <c r="L374" i="1"/>
  <c r="G626" i="1" s="1"/>
  <c r="J626" i="1" s="1"/>
  <c r="C29" i="10"/>
  <c r="C104" i="2"/>
  <c r="C13" i="10"/>
  <c r="K542" i="1"/>
  <c r="E137" i="2"/>
  <c r="E110" i="2"/>
  <c r="E120" i="2" s="1"/>
  <c r="H33" i="13"/>
  <c r="C25" i="13"/>
  <c r="C27" i="10"/>
  <c r="G625" i="1"/>
  <c r="J625" i="1" s="1"/>
  <c r="B40" i="12"/>
  <c r="C39" i="12"/>
  <c r="C40" i="12" s="1"/>
  <c r="B153" i="2"/>
  <c r="G153" i="2" s="1"/>
  <c r="K490" i="1"/>
  <c r="L282" i="1"/>
  <c r="E33" i="13"/>
  <c r="D35" i="13" s="1"/>
  <c r="C10" i="10"/>
  <c r="L221" i="1"/>
  <c r="G650" i="1" s="1"/>
  <c r="G654" i="1" s="1"/>
  <c r="C101" i="2"/>
  <c r="C107" i="2" s="1"/>
  <c r="C137" i="2" s="1"/>
  <c r="D36" i="10"/>
  <c r="J19" i="1"/>
  <c r="G611" i="1" s="1"/>
  <c r="G10" i="2"/>
  <c r="G19" i="2" s="1"/>
  <c r="C30" i="12"/>
  <c r="C31" i="12" s="1"/>
  <c r="B31" i="12"/>
  <c r="C15" i="10"/>
  <c r="G636" i="1"/>
  <c r="J636" i="1" s="1"/>
  <c r="G621" i="1"/>
  <c r="J621" i="1" s="1"/>
  <c r="G616" i="1"/>
  <c r="J616" i="1" s="1"/>
  <c r="J44" i="1"/>
  <c r="H611" i="1" s="1"/>
  <c r="G662" i="1" l="1"/>
  <c r="C5" i="10" s="1"/>
  <c r="G657" i="1"/>
  <c r="H662" i="1"/>
  <c r="C6" i="10" s="1"/>
  <c r="H657" i="1"/>
  <c r="C28" i="10"/>
  <c r="D13" i="10" s="1"/>
  <c r="A22" i="12"/>
  <c r="D15" i="10"/>
  <c r="J611" i="1"/>
  <c r="L249" i="1"/>
  <c r="L263" i="1" s="1"/>
  <c r="G622" i="1" s="1"/>
  <c r="J622" i="1" s="1"/>
  <c r="D31" i="13"/>
  <c r="L330" i="1"/>
  <c r="L344" i="1" s="1"/>
  <c r="G623" i="1" s="1"/>
  <c r="J623" i="1" s="1"/>
  <c r="F650" i="1"/>
  <c r="A40" i="12"/>
  <c r="A31" i="12"/>
  <c r="D41" i="10"/>
  <c r="A13" i="12"/>
  <c r="H646" i="1" l="1"/>
  <c r="D10" i="10"/>
  <c r="D27" i="10"/>
  <c r="D22" i="10"/>
  <c r="C30" i="10"/>
  <c r="D11" i="10"/>
  <c r="D26" i="10"/>
  <c r="D23" i="10"/>
  <c r="D12" i="10"/>
  <c r="D17" i="10"/>
  <c r="D20" i="10"/>
  <c r="D19" i="10"/>
  <c r="D18" i="10"/>
  <c r="D25" i="10"/>
  <c r="D16" i="10"/>
  <c r="D21" i="10"/>
  <c r="D24" i="10"/>
  <c r="F654" i="1"/>
  <c r="I650" i="1"/>
  <c r="I654" i="1" s="1"/>
  <c r="C31" i="13"/>
  <c r="D33" i="13"/>
  <c r="D36" i="13" s="1"/>
  <c r="I662" i="1" l="1"/>
  <c r="C7" i="10" s="1"/>
  <c r="I657" i="1"/>
  <c r="F662" i="1"/>
  <c r="C4" i="10" s="1"/>
  <c r="F657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010272B-A1AE-48F7-A057-B6202B0317D4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D06E327-B2EC-460D-B624-6C9DB2077A5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7DB4DD6-4445-4EDD-8C72-34337094CADF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A126086-A192-4D11-A484-3E5ADA5D34F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E66A7758-224C-4912-B900-4E4F71AF47E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261F07D7-F6E6-4469-9E0A-777F73EC5D9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16485FC-F31E-4F84-A245-7972652920D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93D1BC2-5E39-49D9-B2B6-FBB1AB42D17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0884B910-4A34-4F61-BE0A-B63A2464CF0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86C6808-6158-4D5A-87E2-3822D852338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D37A272-9340-4EE8-8560-CC656D90EE3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CE29783-6271-4D2B-A528-F2508B07043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<sst xmlns="http://schemas.openxmlformats.org/spreadsheetml/2006/main" count="3864" uniqueCount="901">
  <si>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</si>
  <si>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</si>
  <si>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</si>
  <si>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</si>
  <si>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</si>
  <si>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</si>
  <si>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</si>
  <si>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</si>
  <si>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</si>
  <si>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</si>
  <si>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</si>
  <si>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</si>
  <si>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</si>
  <si>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</si>
  <si>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</si>
  <si>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</si>
  <si>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</si>
  <si>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</si>
  <si>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</si>
  <si>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</si>
  <si>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</si>
  <si>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</si>
  <si>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</si>
  <si>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</si>
  <si>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</si>
  <si>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</si>
  <si>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</si>
  <si>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</si>
  <si>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</si>
  <si>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</si>
  <si>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</si>
  <si>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</si>
  <si>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</si>
  <si>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</si>
  <si>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</si>
  <si>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</si>
  <si>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</si>
  <si>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</si>
  <si>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</si>
  <si>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</si>
  <si>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</si>
  <si>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</si>
  <si>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</si>
  <si>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</si>
  <si>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</si>
  <si>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</si>
  <si>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</si>
  <si>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</si>
  <si>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</si>
  <si>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</si>
  <si>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</si>
  <si>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</si>
  <si>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</si>
  <si>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</si>
  <si>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</si>
  <si>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</si>
  <si>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</si>
  <si>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</si>
  <si>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</si>
  <si>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</si>
  <si>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</si>
  <si>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</si>
  <si>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</si>
  <si>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</si>
  <si>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</si>
  <si>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</si>
  <si>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</si>
  <si>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</si>
  <si>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</si>
  <si>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</si>
  <si>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</si>
  <si>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</si>
  <si>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</si>
  <si>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</si>
  <si>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</si>
  <si>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</si>
  <si>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</si>
  <si>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</si>
  <si>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</si>
  <si>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</si>
  <si>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</si>
  <si>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</si>
  <si>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</si>
  <si>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</si>
  <si>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</si>
  <si>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</si>
  <si>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</si>
  <si>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</si>
  <si>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</si>
  <si>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</si>
  <si>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</si>
  <si>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</si>
  <si>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</si>
  <si>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</si>
  <si>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</si>
  <si>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</si>
  <si>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</si>
  <si>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</si>
  <si>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</si>
  <si>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</si>
  <si>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</si>
  <si>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</si>
  <si>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</si>
  <si>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</si>
  <si>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</si>
  <si>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</si>
  <si>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</si>
  <si>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</si>
  <si>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</si>
  <si>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</si>
  <si>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</si>
  <si>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</si>
  <si>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</si>
  <si>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</si>
  <si>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</si>
  <si>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</si>
  <si>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</si>
  <si>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</si>
  <si>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</si>
  <si>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</si>
  <si>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</si>
  <si>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</si>
  <si>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</si>
  <si>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</si>
  <si>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</si>
  <si>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</si>
  <si>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</si>
  <si>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</si>
  <si>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</si>
  <si>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</si>
  <si>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</si>
  <si>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</si>
  <si>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</si>
  <si>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</si>
  <si>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</si>
  <si>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</si>
  <si>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</si>
  <si>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</si>
  <si>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</si>
  <si>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</si>
  <si>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</si>
  <si>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</si>
  <si>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</si>
  <si>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</si>
  <si>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</si>
  <si>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</si>
  <si>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</si>
  <si>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</si>
  <si>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</si>
  <si>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</si>
  <si>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</si>
  <si>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</si>
  <si>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</si>
  <si>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</si>
  <si>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</si>
  <si>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</si>
  <si>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</si>
  <si>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</si>
  <si>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</si>
  <si>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</si>
  <si>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</si>
  <si>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</si>
  <si>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</si>
  <si>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</si>
  <si>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</si>
  <si>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</si>
  <si>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</si>
  <si>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</si>
  <si>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</si>
  <si>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</si>
  <si>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</si>
  <si>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</si>
  <si>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</si>
  <si>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</si>
  <si>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</si>
  <si>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</si>
  <si>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</si>
  <si>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</si>
  <si>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</si>
  <si>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</si>
  <si>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</si>
  <si>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</si>
  <si>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</si>
  <si>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</si>
  <si>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</si>
  <si>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</si>
  <si>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</si>
  <si>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</si>
  <si>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</si>
  <si>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</si>
  <si>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</si>
  <si>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</si>
  <si>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</si>
  <si>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</si>
  <si>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</si>
  <si>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</si>
  <si>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</si>
  <si>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</si>
  <si>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</si>
  <si>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</si>
  <si>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</si>
  <si>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</si>
  <si>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</si>
  <si>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</si>
  <si>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</si>
  <si>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</si>
  <si>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</si>
  <si>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</si>
  <si>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</si>
  <si>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</si>
  <si>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</si>
  <si>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</si>
  <si>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</si>
  <si>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</si>
  <si>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</si>
  <si>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</si>
  <si>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</si>
  <si>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</si>
  <si>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</si>
  <si>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</si>
  <si>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</si>
  <si>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</si>
  <si>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</si>
  <si>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</si>
  <si>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</si>
  <si>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</si>
  <si>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</si>
  <si>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</si>
  <si>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</si>
  <si>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</si>
  <si>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</si>
  <si>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</si>
  <si>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</si>
  <si>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</si>
  <si>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</si>
  <si>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</si>
  <si>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</si>
  <si>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</si>
  <si>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</si>
  <si>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</si>
  <si>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</si>
  <si>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</si>
  <si>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</si>
  <si>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</si>
  <si>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</si>
  <si>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</si>
  <si>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</si>
  <si>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</si>
  <si>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</si>
  <si>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</si>
  <si>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</si>
  <si>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</si>
  <si>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</si>
  <si>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</si>
  <si>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</si>
  <si>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</si>
  <si>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</si>
  <si>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</si>
  <si>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</si>
  <si>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</si>
  <si>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</si>
  <si>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</si>
  <si>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</si>
  <si>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</si>
  <si>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</si>
  <si>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</si>
  <si>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</si>
  <si>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</si>
  <si>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</si>
  <si>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</si>
  <si>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</si>
  <si>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</si>
  <si>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</si>
  <si>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</si>
  <si>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</si>
  <si>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</si>
  <si>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</si>
  <si>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</si>
  <si>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</si>
  <si>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</si>
  <si>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</si>
  <si>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</si>
  <si>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</si>
  <si>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</si>
  <si>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</si>
  <si>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</si>
  <si>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</si>
  <si>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</si>
  <si>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</si>
  <si>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</si>
  <si>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</si>
  <si>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</si>
  <si>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</si>
  <si>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</si>
  <si>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</si>
  <si>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</si>
  <si>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</si>
  <si>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</si>
  <si>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</si>
  <si>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</si>
  <si>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</si>
  <si>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</si>
  <si>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</si>
  <si>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</si>
  <si>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</si>
  <si>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</si>
  <si>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</si>
  <si>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</si>
  <si>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</si>
  <si>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</si>
  <si>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</si>
  <si>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</si>
  <si>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</si>
  <si>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</si>
  <si>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</si>
  <si>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</si>
  <si>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</si>
  <si>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</si>
  <si>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</si>
  <si>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</si>
  <si>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</si>
  <si>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</si>
  <si>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</si>
  <si>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</si>
  <si>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</si>
  <si>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</si>
  <si>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</si>
  <si>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</si>
  <si>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</si>
  <si>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</si>
  <si>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</si>
  <si>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</si>
  <si>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</si>
  <si>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</si>
  <si>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</si>
  <si>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</si>
  <si>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</si>
  <si>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</si>
  <si>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</si>
  <si>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</si>
  <si>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</si>
  <si>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</si>
  <si>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</si>
  <si>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</si>
  <si>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</si>
  <si>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</si>
  <si>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</si>
  <si>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</si>
  <si>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</si>
  <si>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</si>
  <si>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</si>
  <si>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</si>
  <si>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</si>
  <si>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</si>
  <si>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</si>
  <si>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</si>
  <si>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</si>
  <si>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</si>
  <si>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</si>
  <si>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</si>
  <si>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</si>
  <si>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</si>
  <si>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</si>
  <si>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</si>
  <si>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</si>
  <si>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</si>
  <si>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</si>
  <si>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</si>
  <si>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</si>
  <si>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</si>
  <si>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</si>
  <si>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</si>
  <si>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</si>
  <si>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</si>
  <si>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</si>
  <si>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</si>
  <si>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</si>
  <si>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</si>
  <si>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</si>
  <si>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</si>
  <si>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</si>
  <si>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</si>
  <si>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</si>
  <si>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</si>
  <si>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</si>
  <si>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</si>
  <si>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</si>
  <si>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</si>
  <si>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</si>
  <si>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</si>
  <si>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</si>
  <si>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</si>
  <si>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</si>
  <si>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</si>
  <si>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</si>
  <si>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</si>
  <si>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</si>
  <si>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</si>
  <si>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</si>
  <si>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</si>
  <si>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</si>
  <si>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</si>
  <si>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</si>
  <si>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</si>
  <si>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</si>
  <si>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</si>
  <si>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</si>
  <si>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</si>
  <si>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</si>
  <si>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</si>
  <si>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</si>
  <si>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</si>
  <si>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</si>
  <si>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</si>
  <si>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</si>
  <si>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</si>
  <si>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</si>
  <si>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</si>
  <si>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</si>
  <si>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</si>
  <si>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</si>
  <si>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</si>
  <si>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</si>
  <si>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</si>
  <si>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</si>
  <si>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</si>
  <si>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</si>
  <si>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</si>
  <si>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</si>
  <si>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</si>
  <si>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</si>
  <si>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</si>
  <si>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</si>
  <si>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</si>
  <si>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</si>
  <si>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</si>
  <si>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</si>
  <si>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</si>
  <si>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</si>
  <si>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</si>
  <si>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</si>
  <si>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</si>
  <si>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</si>
  <si>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</si>
  <si>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</si>
  <si>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</si>
  <si>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</si>
  <si>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</si>
  <si>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</si>
  <si>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</si>
  <si>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</si>
  <si>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</si>
  <si>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</si>
  <si>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</si>
  <si>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</si>
  <si>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</si>
  <si>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</si>
  <si>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</si>
  <si>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</si>
  <si>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</si>
  <si>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</si>
  <si>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</si>
  <si>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</si>
  <si>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</si>
  <si>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</si>
  <si>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</si>
  <si>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</si>
  <si>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</si>
  <si>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</si>
  <si>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</si>
  <si>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</si>
  <si>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</si>
  <si>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</si>
  <si>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</si>
  <si>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</si>
  <si>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</si>
  <si>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</si>
  <si>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</si>
  <si>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</si>
  <si>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</si>
  <si>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</si>
  <si>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</si>
  <si>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</si>
  <si>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</si>
  <si>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</si>
  <si>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</si>
  <si>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</si>
  <si>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</si>
  <si>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</si>
  <si>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</si>
  <si>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</si>
  <si>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</si>
  <si>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</si>
  <si>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</si>
  <si>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</si>
  <si>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</si>
  <si>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</si>
  <si>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</si>
  <si>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</si>
  <si>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</si>
  <si>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</si>
  <si>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</si>
  <si>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</si>
  <si>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</si>
  <si>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</si>
  <si>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</si>
  <si>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</si>
  <si>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</si>
  <si>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</si>
  <si>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</si>
  <si>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</si>
  <si>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</si>
  <si>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</si>
  <si>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</si>
  <si>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</si>
  <si>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</si>
  <si>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</si>
  <si>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</si>
  <si>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</si>
  <si>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</si>
  <si>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</si>
  <si>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</si>
  <si>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</si>
  <si>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</si>
  <si>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</si>
  <si>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</si>
  <si>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</si>
  <si>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</si>
  <si>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</si>
  <si>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</si>
  <si>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</si>
  <si>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</si>
  <si>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</si>
  <si>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</si>
  <si>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</si>
  <si>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</si>
  <si>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</si>
  <si>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</si>
  <si>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</si>
  <si>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</si>
  <si>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</si>
  <si>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</si>
  <si>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</si>
  <si>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</si>
  <si>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</si>
  <si>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</si>
  <si>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</si>
  <si>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</si>
  <si>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</si>
  <si>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</si>
  <si>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</si>
  <si>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</si>
  <si>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</si>
  <si>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</si>
  <si>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</si>
  <si>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</si>
  <si>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</si>
  <si>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</si>
  <si>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</si>
  <si>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</si>
  <si>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</si>
  <si>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</si>
  <si>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</si>
  <si>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</si>
  <si>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</si>
  <si>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</si>
  <si>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</si>
  <si>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</si>
  <si>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</si>
  <si>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</si>
  <si>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</si>
  <si>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</si>
  <si>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</si>
  <si>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</si>
  <si>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</si>
  <si>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</si>
  <si>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</si>
  <si>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</si>
  <si>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</si>
  <si>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</si>
  <si>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</si>
  <si>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</si>
  <si>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</si>
  <si>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</si>
  <si>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</si>
  <si>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</si>
  <si>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</si>
  <si>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</si>
  <si>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</si>
  <si>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</si>
  <si>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</si>
  <si>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</si>
  <si>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</si>
  <si>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</si>
  <si>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</si>
  <si>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</si>
  <si>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</si>
  <si>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</si>
  <si>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</si>
  <si>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</si>
  <si>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</si>
  <si>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</si>
  <si>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</si>
  <si>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</si>
  <si>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</si>
  <si>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</si>
  <si>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</si>
  <si>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</si>
  <si>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</si>
  <si>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</si>
  <si>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</si>
  <si>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</si>
  <si>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</si>
  <si>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</si>
  <si>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</si>
  <si>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</si>
  <si>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</si>
  <si>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</si>
  <si>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</si>
  <si>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</si>
  <si>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</si>
  <si>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</si>
  <si>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</si>
  <si>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</si>
  <si>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</si>
  <si>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</si>
  <si>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</si>
  <si>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</si>
  <si>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</si>
  <si>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</si>
  <si>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</si>
  <si>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</si>
  <si>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</si>
  <si>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</si>
  <si>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</si>
  <si>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</si>
  <si>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</si>
  <si>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</si>
  <si>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</si>
  <si>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</si>
  <si>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</si>
  <si>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</si>
  <si>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</si>
  <si>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</si>
  <si>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</si>
  <si>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</si>
  <si>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</si>
  <si>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</si>
  <si>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</si>
  <si>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</si>
  <si>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</si>
  <si>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</si>
  <si>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</si>
  <si>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</si>
  <si>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</si>
  <si>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</si>
  <si>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</si>
  <si>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</si>
  <si>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</si>
  <si>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</si>
  <si>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</si>
  <si>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</si>
  <si>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</si>
  <si>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</si>
  <si>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</si>
  <si>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</si>
  <si>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</si>
  <si>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</si>
  <si>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</si>
  <si>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</si>
  <si>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</si>
  <si>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</si>
  <si>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</si>
  <si>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</si>
  <si>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</si>
  <si>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</si>
  <si>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</si>
  <si>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</si>
  <si>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</si>
  <si>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</si>
  <si>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</si>
  <si>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</si>
  <si>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</si>
  <si>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</si>
  <si>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</si>
  <si>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</si>
  <si>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</si>
  <si>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</si>
  <si>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</si>
  <si>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</si>
  <si>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</si>
  <si>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</si>
  <si>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</si>
  <si>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</si>
  <si>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</si>
  <si>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</si>
  <si>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</si>
  <si>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</si>
  <si>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</si>
  <si>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</si>
  <si>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</si>
  <si>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</si>
  <si>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</si>
  <si>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</si>
  <si>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</si>
  <si>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</si>
  <si>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</si>
  <si>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</si>
  <si>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</si>
  <si>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</si>
  <si>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</si>
  <si>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</si>
  <si>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</si>
  <si>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</si>
  <si>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</si>
  <si>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</si>
  <si>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</si>
  <si>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</si>
  <si>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</si>
  <si>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</si>
  <si>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</si>
  <si>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</si>
  <si>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</si>
  <si>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</si>
  <si>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</si>
  <si>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</si>
  <si>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</si>
  <si>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</si>
  <si>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</si>
  <si>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</si>
  <si>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</si>
  <si>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</si>
  <si>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</si>
  <si>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</si>
  <si>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</si>
  <si>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</si>
  <si>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</si>
  <si>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</si>
  <si>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</si>
  <si>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</si>
  <si>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</si>
  <si>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</si>
  <si>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</si>
  <si>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</si>
  <si>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</si>
  <si>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</si>
  <si>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</si>
  <si>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</si>
  <si>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</si>
  <si>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</si>
  <si>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</si>
  <si>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</si>
  <si>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</si>
  <si>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</si>
  <si>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</si>
  <si>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</si>
  <si>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</si>
  <si>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</si>
  <si>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</si>
  <si>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</si>
  <si>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</si>
  <si>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</si>
  <si>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</si>
  <si>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</si>
  <si>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</si>
  <si>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</si>
  <si>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</si>
  <si>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</si>
  <si>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</si>
  <si>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</si>
  <si>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</si>
  <si>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</si>
  <si>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</si>
  <si>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</si>
  <si>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</si>
  <si>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</si>
  <si>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</si>
  <si>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</si>
  <si>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</si>
  <si>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</si>
  <si>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</si>
  <si>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</si>
  <si>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</si>
  <si>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</si>
  <si>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</si>
  <si>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</si>
  <si>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</si>
  <si>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</si>
  <si>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</si>
  <si>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</si>
  <si>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</si>
  <si>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</si>
  <si>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</si>
  <si>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</si>
  <si>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</si>
  <si>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</si>
  <si>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</si>
  <si>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</si>
  <si>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</si>
  <si>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</si>
  <si>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</si>
  <si>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</si>
  <si>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</si>
  <si>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</si>
  <si>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</si>
  <si>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</si>
  <si>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</si>
  <si>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</si>
  <si>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</si>
  <si>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</si>
  <si>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</si>
  <si>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</si>
  <si>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</si>
  <si>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</si>
  <si>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</si>
  <si>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</si>
  <si>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</si>
  <si>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</si>
  <si>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</si>
  <si>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</si>
  <si>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</si>
  <si>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</si>
  <si>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</si>
  <si>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</si>
  <si>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</si>
  <si>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</si>
  <si>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</si>
  <si>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</si>
  <si>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</si>
  <si>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</si>
  <si>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</si>
  <si>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</si>
  <si>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</si>
  <si>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</si>
  <si>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</si>
  <si>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</si>
  <si>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</si>
  <si>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</si>
  <si>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</si>
  <si>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</si>
  <si>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</si>
  <si>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</si>
  <si>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</si>
  <si>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</si>
  <si>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</si>
  <si>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</si>
  <si>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</si>
  <si>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</si>
  <si>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</si>
  <si>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</si>
  <si>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</si>
  <si>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</si>
  <si>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</si>
  <si>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</si>
  <si>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</si>
  <si>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</si>
  <si>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</si>
  <si>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</si>
  <si>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</si>
  <si>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</si>
  <si>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</si>
  <si>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</si>
  <si>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</si>
  <si>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</si>
  <si>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</si>
  <si>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</si>
  <si>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</si>
  <si>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</si>
  <si>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</si>
  <si>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</si>
  <si>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</si>
  <si>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</si>
  <si>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</si>
  <si>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</si>
  <si>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</si>
  <si>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</si>
  <si>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</si>
  <si>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</si>
  <si>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</si>
  <si>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</si>
  <si>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</si>
  <si>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</si>
  <si>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</si>
  <si>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</si>
  <si>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</si>
  <si>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</si>
  <si>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</si>
  <si>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</si>
  <si>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</si>
  <si>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</si>
  <si>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</si>
  <si>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</si>
  <si>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</si>
  <si>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</si>
  <si>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Function 4100 relates to Direct Federal Interest Rebate</t>
  </si>
  <si>
    <t>Function 4900 relates to BAN's paid, expense in Fund 1330 Capital Projects</t>
  </si>
  <si>
    <t>11/91 - 12/10</t>
  </si>
  <si>
    <t>04/40</t>
  </si>
  <si>
    <t>See Attached Page for Details</t>
  </si>
  <si>
    <t>Concord School District</t>
  </si>
  <si>
    <t>Scholarship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</si>
</sst>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EBAF-784F-4186-B104-C7E57EDF10D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/>
      <c r="C2" s="21"/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2095261.23</v>
      </c>
      <c r="G9" s="18">
        <v>59845.99</v>
      </c>
      <c r="H9" s="18">
        <v>-207947.99</v>
      </c>
      <c r="I9" s="18">
        <v>191166.04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>
        <v>46019617.229999997</v>
      </c>
      <c r="J10" s="67">
        <f>SUM(I432)</f>
        <v>7671049.8100000005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33714991.38+279254.48</f>
        <v>33994245.859999999</v>
      </c>
      <c r="G12" s="18">
        <f>2098384.6-220.32</f>
        <v>2098164.2800000003</v>
      </c>
      <c r="H12" s="18">
        <f>-286984.16+8859814.25</f>
        <v>8572830.0899999999</v>
      </c>
      <c r="I12" s="18">
        <v>21734745.77</v>
      </c>
      <c r="J12" s="67">
        <f>SUM(I433)</f>
        <v>48229.73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4"/>
      <c r="G13" s="18"/>
      <c r="H13" s="18">
        <v>0.3</v>
      </c>
      <c r="I13" s="18"/>
      <c r="J13" s="67">
        <f>SUM(I434)</f>
        <v>-308295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391448.33</v>
      </c>
      <c r="G14" s="18">
        <v>164784.53</v>
      </c>
      <c r="H14" s="18">
        <v>1749369.32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115986.37</v>
      </c>
      <c r="G16" s="18">
        <v>19786.38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1643.03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95200</v>
      </c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36693784.819999993</v>
      </c>
      <c r="G19" s="41">
        <f>SUM(G9:G18)</f>
        <v>2342581.1800000002</v>
      </c>
      <c r="H19" s="41">
        <f>SUM(H9:H18)</f>
        <v>10114251.719999999</v>
      </c>
      <c r="I19" s="41">
        <f>SUM(I9:I18)</f>
        <v>67945529.039999992</v>
      </c>
      <c r="J19" s="41">
        <f>SUM(J9:J18)</f>
        <v>7410984.540000001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32692355.39-260065.27</f>
        <v>32432290.120000001</v>
      </c>
      <c r="G23" s="18">
        <v>2156255.79</v>
      </c>
      <c r="H23" s="18">
        <v>9948437.9499999993</v>
      </c>
      <c r="I23" s="18">
        <v>21887575.920000002</v>
      </c>
      <c r="J23" s="67">
        <f>SUM(I440)</f>
        <v>48229.73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>
        <v>0.35</v>
      </c>
      <c r="J24" s="67">
        <f>SUM(I441)</f>
        <v>-334738.7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1695.08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154395.62</v>
      </c>
      <c r="G29" s="18">
        <v>14257</v>
      </c>
      <c r="H29" s="18">
        <v>1046.9100000000001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1088955.1100000001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39992.5</v>
      </c>
      <c r="G31" s="18">
        <v>23958.99</v>
      </c>
      <c r="H31" s="18">
        <v>51006.15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>
        <v>5236.22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33717328.43</v>
      </c>
      <c r="G33" s="41">
        <f>SUM(G23:G32)</f>
        <v>2194471.7800000003</v>
      </c>
      <c r="H33" s="41">
        <f>SUM(H23:H32)</f>
        <v>10005727.23</v>
      </c>
      <c r="I33" s="41">
        <f>SUM(I23:I32)</f>
        <v>21887576.270000003</v>
      </c>
      <c r="J33" s="41">
        <f>SUM(J23:J32)</f>
        <v>-286508.97000000003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530590.53-50.02</f>
        <v>530540.51</v>
      </c>
      <c r="G37" s="18">
        <v>32790.120000000003</v>
      </c>
      <c r="H37" s="18">
        <v>311094.42</v>
      </c>
      <c r="I37" s="18">
        <v>34952004.43</v>
      </c>
      <c r="J37" s="13">
        <f>SUM(I446)</f>
        <v>168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115986.37</v>
      </c>
      <c r="G41" s="18">
        <v>115319.28</v>
      </c>
      <c r="H41" s="18">
        <f>32366.29+6180583.01-6216532.99-198986.24</f>
        <v>-202569.9300000004</v>
      </c>
      <c r="I41" s="18">
        <v>11105948.34</v>
      </c>
      <c r="J41" s="13">
        <f>SUM(I449)</f>
        <v>7697325.5100000007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2329879.49+50.02</f>
        <v>2329929.5100000002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2976456.39</v>
      </c>
      <c r="G43" s="41">
        <f>SUM(G35:G42)</f>
        <v>148109.4</v>
      </c>
      <c r="H43" s="41">
        <f>SUM(H35:H42)</f>
        <v>108524.48999999958</v>
      </c>
      <c r="I43" s="41">
        <f>SUM(I35:I42)</f>
        <v>46057952.769999996</v>
      </c>
      <c r="J43" s="41">
        <f>SUM(J35:J42)</f>
        <v>7697493.5100000007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36693784.82</v>
      </c>
      <c r="G44" s="41">
        <f>G43+G33</f>
        <v>2342581.1800000002</v>
      </c>
      <c r="H44" s="41">
        <f>H43+H33</f>
        <v>10114251.720000001</v>
      </c>
      <c r="I44" s="41">
        <f>I43+I33</f>
        <v>67945529.039999992</v>
      </c>
      <c r="J44" s="41">
        <f>J43+J33</f>
        <v>7410984.540000001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33386542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33386542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83618+18444.22</f>
        <v>102062.22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22453.49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145745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202817.41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2776131.2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657519.59+71380.3</f>
        <v>728899.89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456167.39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4434276.6000000006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10731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f>9550.34+4065.47</f>
        <v>13615.81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81523.850000000006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105870.66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59.08</v>
      </c>
      <c r="G88" s="18">
        <v>174.67</v>
      </c>
      <c r="H88" s="18"/>
      <c r="I88" s="18">
        <v>27504.35</v>
      </c>
      <c r="J88" s="18">
        <f>8121.31+345.55</f>
        <v>8466.86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452046.66+25759.3+262977.4+7940.86</f>
        <v>748724.22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f>20838+73994.28+5199.42</f>
        <v>100031.7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87920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13754.02</v>
      </c>
      <c r="I94" s="18"/>
      <c r="J94" s="18">
        <v>34354.019999999997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2464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3663.31</v>
      </c>
      <c r="G101" s="18">
        <v>229.72</v>
      </c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256834.81</v>
      </c>
      <c r="G102" s="18">
        <v>2037.17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450972.9</v>
      </c>
      <c r="G103" s="41">
        <f>SUM(G88:G102)</f>
        <v>751165.78</v>
      </c>
      <c r="H103" s="41">
        <f>SUM(H88:H102)</f>
        <v>13754.02</v>
      </c>
      <c r="I103" s="41">
        <f>SUM(I88:I102)</f>
        <v>27504.35</v>
      </c>
      <c r="J103" s="41">
        <f>SUM(J88:J102)</f>
        <v>42820.88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38377662.159999996</v>
      </c>
      <c r="G104" s="41">
        <f>G52+G103</f>
        <v>751165.78</v>
      </c>
      <c r="H104" s="41">
        <f>H52+H71+H86+H103</f>
        <v>13754.02</v>
      </c>
      <c r="I104" s="41">
        <f>I52+I103</f>
        <v>27504.35</v>
      </c>
      <c r="J104" s="41">
        <f>J52+J103</f>
        <v>42820.88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13154017-460394.11</f>
        <v>12693622.890000001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8469556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460394.11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f>55.68+39552.73</f>
        <v>39608.410000000003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21663181.41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485888.02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520404.83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775732.43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>
        <v>44379.33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57359.35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34050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204559.24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1816075.2800000003</v>
      </c>
      <c r="G128" s="41">
        <f>SUM(G115:G127)</f>
        <v>57359.35</v>
      </c>
      <c r="H128" s="41">
        <f>SUM(H115:H127)</f>
        <v>248938.57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23479256.690000001</v>
      </c>
      <c r="G132" s="41">
        <f>G113+SUM(G128:G129)</f>
        <v>57359.35</v>
      </c>
      <c r="H132" s="41">
        <f>H113+SUM(H128:H131)</f>
        <v>248938.57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430255.43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430255.43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2158307.5299999998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504806.78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340036.98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70085.77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746916.28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1798358.62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30734.42+676615.71</f>
        <v>707350.13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50037.75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707350.13</v>
      </c>
      <c r="G154" s="41">
        <f>SUM(G142:G153)</f>
        <v>796954.03</v>
      </c>
      <c r="H154" s="41">
        <f>SUM(H142:H153)</f>
        <v>4871595.68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1137605.56</v>
      </c>
      <c r="G161" s="41">
        <f>G139+G154+SUM(G155:G160)</f>
        <v>796954.03</v>
      </c>
      <c r="H161" s="41">
        <f>H139+H154+SUM(H155:H160)</f>
        <v>4871595.68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55000000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>
        <v>1873465.59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56873465.590000004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2964.98</v>
      </c>
      <c r="H171" s="18"/>
      <c r="I171" s="18"/>
      <c r="J171" s="18">
        <v>1262701.93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44944.42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167201.09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212145.51</v>
      </c>
      <c r="G175" s="41">
        <f>SUM(G171:G174)</f>
        <v>2964.98</v>
      </c>
      <c r="H175" s="41">
        <f>SUM(H171:H174)</f>
        <v>0</v>
      </c>
      <c r="I175" s="41">
        <f>SUM(I171:I174)</f>
        <v>0</v>
      </c>
      <c r="J175" s="41">
        <f>SUM(J171:J174)</f>
        <v>1262701.93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958041.71</v>
      </c>
      <c r="G178" s="18"/>
      <c r="H178" s="18"/>
      <c r="I178" s="18">
        <v>308663.23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958041.71</v>
      </c>
      <c r="G180" s="41">
        <f>SUM(G177:G179)</f>
        <v>0</v>
      </c>
      <c r="H180" s="41">
        <f>SUM(H177:H179)</f>
        <v>0</v>
      </c>
      <c r="I180" s="41">
        <f>SUM(I177:I179)</f>
        <v>308663.23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1800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1171987.22</v>
      </c>
      <c r="G184" s="41">
        <f>G175+SUM(G180:G183)</f>
        <v>2964.98</v>
      </c>
      <c r="H184" s="41">
        <f>+H175+SUM(H180:H183)</f>
        <v>0</v>
      </c>
      <c r="I184" s="41">
        <f>I169+I175+SUM(I180:I183)</f>
        <v>57182128.82</v>
      </c>
      <c r="J184" s="41">
        <f>J175</f>
        <v>1262701.93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64166511.629999995</v>
      </c>
      <c r="G185" s="47">
        <f>G104+G132+G161+G184</f>
        <v>1608444.1400000001</v>
      </c>
      <c r="H185" s="47">
        <f>H104+H132+H161+H184</f>
        <v>5134288.2699999996</v>
      </c>
      <c r="I185" s="47">
        <f>I104+I132+I161+I184</f>
        <v>57209633.170000002</v>
      </c>
      <c r="J185" s="47">
        <f>J104+J132+J184</f>
        <v>1305522.8099999998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7394243.92+10704.51+248619.6</f>
        <v>7653568.0299999993</v>
      </c>
      <c r="G189" s="18">
        <f>2590998+804.31+252434.89</f>
        <v>2844237.2</v>
      </c>
      <c r="H189" s="18">
        <f>73237.67+969.21</f>
        <v>74206.880000000005</v>
      </c>
      <c r="I189" s="18">
        <f>286775.97+6230.69</f>
        <v>293006.65999999997</v>
      </c>
      <c r="J189" s="18">
        <v>549.85</v>
      </c>
      <c r="K189" s="18">
        <v>105</v>
      </c>
      <c r="L189" s="19">
        <f>SUM(F189:K189)</f>
        <v>10865673.620000001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2335804.26+4478.85+846017.34</f>
        <v>3186300.4499999997</v>
      </c>
      <c r="G190" s="18">
        <f>735418.94+538.57+261342.99+108654.3</f>
        <v>1105954.7999999998</v>
      </c>
      <c r="H190" s="18">
        <f>83899.7+37352.34+45426.25</f>
        <v>166678.28999999998</v>
      </c>
      <c r="I190" s="18">
        <f>5755.86+2098.8+5514.21</f>
        <v>13368.869999999999</v>
      </c>
      <c r="J190" s="18">
        <f>252.01+432.05</f>
        <v>684.06</v>
      </c>
      <c r="K190" s="18">
        <v>100</v>
      </c>
      <c r="L190" s="19">
        <f>SUM(F190:K190)</f>
        <v>4473086.47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10215+54378.43</f>
        <v>64593.43</v>
      </c>
      <c r="G192" s="18">
        <f>1541.29+23296.03+338.84</f>
        <v>25176.16</v>
      </c>
      <c r="H192" s="18">
        <f>2420</f>
        <v>2420</v>
      </c>
      <c r="I192" s="18"/>
      <c r="J192" s="18"/>
      <c r="K192" s="18"/>
      <c r="L192" s="19">
        <f>SUM(F192:K192)</f>
        <v>92189.59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360097.14+329919.32+138759.53+579847.64+192298.3+56503.69</f>
        <v>1657425.6199999999</v>
      </c>
      <c r="G194" s="18">
        <f>118968.08+118247.91+35956.42+190808.07+61663.88+23429.32+54665.99</f>
        <v>603739.66999999993</v>
      </c>
      <c r="H194" s="18">
        <f>195343.31+21913</f>
        <v>217256.31</v>
      </c>
      <c r="I194" s="18">
        <f>1038.82+6852.54+3894.29+3933.27</f>
        <v>15718.92</v>
      </c>
      <c r="J194" s="18">
        <v>280.45</v>
      </c>
      <c r="K194" s="18">
        <v>114.55</v>
      </c>
      <c r="L194" s="19">
        <f t="shared" ref="L194:L200" si="0">SUM(F194:K194)</f>
        <v>2494535.52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190200.14+129058.68+220891.48</f>
        <v>540150.30000000005</v>
      </c>
      <c r="G195" s="18">
        <f>71265.27+41539.77+132162.48+10955.79</f>
        <v>255923.31000000003</v>
      </c>
      <c r="H195" s="18">
        <f>148.88+84523.15</f>
        <v>84672.03</v>
      </c>
      <c r="I195" s="18">
        <f>36628.1+5742.71+3693.83+81908.52</f>
        <v>127973.16</v>
      </c>
      <c r="J195" s="18">
        <f>1500.06+3488.49+53990.27</f>
        <v>58978.819999999992</v>
      </c>
      <c r="K195" s="18">
        <v>265.68</v>
      </c>
      <c r="L195" s="19">
        <f t="shared" si="0"/>
        <v>1067963.3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179498.74</v>
      </c>
      <c r="G196" s="18">
        <v>67048.62</v>
      </c>
      <c r="H196" s="18">
        <v>96257.65</v>
      </c>
      <c r="I196" s="18">
        <v>14879.45</v>
      </c>
      <c r="J196" s="18">
        <v>95.43</v>
      </c>
      <c r="K196" s="18">
        <v>10256.4</v>
      </c>
      <c r="L196" s="19">
        <f t="shared" si="0"/>
        <v>368036.29000000004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911591.94</f>
        <v>911591.94</v>
      </c>
      <c r="G197" s="18">
        <f>356989.95+31173.17</f>
        <v>388163.12</v>
      </c>
      <c r="H197" s="18">
        <v>14662.6</v>
      </c>
      <c r="I197" s="18">
        <v>5153.2</v>
      </c>
      <c r="J197" s="18"/>
      <c r="K197" s="18">
        <v>2854</v>
      </c>
      <c r="L197" s="19">
        <f t="shared" si="0"/>
        <v>1322424.8600000001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f>190667.28</f>
        <v>190667.28</v>
      </c>
      <c r="G198" s="18">
        <f>85618.32</f>
        <v>85618.32</v>
      </c>
      <c r="H198" s="18">
        <f>16684.79</f>
        <v>16684.79</v>
      </c>
      <c r="I198" s="18">
        <f>557.13</f>
        <v>557.13</v>
      </c>
      <c r="J198" s="18"/>
      <c r="K198" s="18">
        <f>995.91</f>
        <v>995.91</v>
      </c>
      <c r="L198" s="19">
        <f t="shared" si="0"/>
        <v>294523.42999999993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642490.05+167251.75</f>
        <v>809741.8</v>
      </c>
      <c r="G199" s="18">
        <f>287787.06+74484.63+21911.57</f>
        <v>384183.26</v>
      </c>
      <c r="H199" s="18">
        <f>365771.55+8193.7+182218.44</f>
        <v>556183.68999999994</v>
      </c>
      <c r="I199" s="18">
        <f>48880.87+463868.19+35152.76</f>
        <v>547901.81999999995</v>
      </c>
      <c r="J199" s="18">
        <f>16740.7+1096.38</f>
        <v>17837.080000000002</v>
      </c>
      <c r="K199" s="18">
        <f>56.85</f>
        <v>56.85</v>
      </c>
      <c r="L199" s="19">
        <f t="shared" si="0"/>
        <v>2315904.5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2907.79+566097.02</f>
        <v>569004.81000000006</v>
      </c>
      <c r="G200" s="18">
        <f>226.99+164542.49+112.95</f>
        <v>164882.43</v>
      </c>
      <c r="H200" s="18">
        <f>13257+16625+18882.5+49289.67</f>
        <v>98054.17</v>
      </c>
      <c r="I200" s="18">
        <v>118170.61</v>
      </c>
      <c r="J200" s="18">
        <v>5835.48</v>
      </c>
      <c r="K200" s="18">
        <v>1247.6199999999999</v>
      </c>
      <c r="L200" s="19">
        <f t="shared" si="0"/>
        <v>957195.12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118949.52</f>
        <v>118949.52</v>
      </c>
      <c r="G201" s="18">
        <v>54250.58</v>
      </c>
      <c r="H201" s="18">
        <v>41750.94</v>
      </c>
      <c r="I201" s="18"/>
      <c r="J201" s="18"/>
      <c r="K201" s="18"/>
      <c r="L201" s="19">
        <f>SUM(F201:K201)</f>
        <v>214951.04000000001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>SUM(F189:F202)</f>
        <v>15881491.919999998</v>
      </c>
      <c r="G203" s="41">
        <f t="shared" ref="G203:L203" si="1">SUM(G189:G202)</f>
        <v>5979177.4699999997</v>
      </c>
      <c r="H203" s="41">
        <f t="shared" si="1"/>
        <v>1368827.3499999999</v>
      </c>
      <c r="I203" s="41">
        <f t="shared" si="1"/>
        <v>1136729.82</v>
      </c>
      <c r="J203" s="41">
        <f t="shared" si="1"/>
        <v>84261.17</v>
      </c>
      <c r="K203" s="41">
        <f t="shared" si="1"/>
        <v>15996.009999999998</v>
      </c>
      <c r="L203" s="41">
        <f t="shared" si="1"/>
        <v>24466483.739999998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4315267.55+5152.38+126180.88</f>
        <v>4446600.8099999996</v>
      </c>
      <c r="G207" s="18">
        <f>1471492.25+387.13+147394.87</f>
        <v>1619274.25</v>
      </c>
      <c r="H207" s="18">
        <f>31151.76+466.51</f>
        <v>31618.269999999997</v>
      </c>
      <c r="I207" s="18">
        <f>78472.25+2999.01</f>
        <v>81471.259999999995</v>
      </c>
      <c r="J207" s="18">
        <v>8337.48</v>
      </c>
      <c r="K207" s="18">
        <v>285.5</v>
      </c>
      <c r="L207" s="19">
        <f>SUM(F207:K207)</f>
        <v>6187587.5699999994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467288.31+2085.22+811489.6</f>
        <v>1280863.1299999999</v>
      </c>
      <c r="G208" s="18">
        <f>161357.47+250.75+275592.63+43710.2</f>
        <v>480911.05</v>
      </c>
      <c r="H208" s="18">
        <f>212344.02+17390.11+3920</f>
        <v>233654.13</v>
      </c>
      <c r="I208" s="18">
        <f>977.14+2141.42</f>
        <v>3118.56</v>
      </c>
      <c r="J208" s="18">
        <v>117.33</v>
      </c>
      <c r="K208" s="18"/>
      <c r="L208" s="19">
        <f>SUM(F208:K208)</f>
        <v>1998664.2000000002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16298.99+57488.5+26173.85</f>
        <v>99961.34</v>
      </c>
      <c r="G210" s="18">
        <f>2359.81+8443.03+11213.02+2484.82</f>
        <v>24500.68</v>
      </c>
      <c r="H210" s="18">
        <f>11357.96</f>
        <v>11357.96</v>
      </c>
      <c r="I210" s="18">
        <f>3923.69</f>
        <v>3923.69</v>
      </c>
      <c r="J210" s="18">
        <f>9230.22</f>
        <v>9230.2199999999993</v>
      </c>
      <c r="K210" s="18">
        <f>1771.79</f>
        <v>1771.79</v>
      </c>
      <c r="L210" s="19">
        <f>SUM(F210:K210)</f>
        <v>150745.68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219744.23+79933.98+49357.1+67488.98+24722.84+26353.78</f>
        <v>467600.91000000003</v>
      </c>
      <c r="G212" s="18">
        <f>69031.1+20104.81+26547.27+22141.47+1603.91+10928.57+15021.85</f>
        <v>165378.98000000004</v>
      </c>
      <c r="H212" s="18">
        <f>16762.82+10236.56</f>
        <v>26999.379999999997</v>
      </c>
      <c r="I212" s="18">
        <f>1158+2468.3+1832.12</f>
        <v>5458.42</v>
      </c>
      <c r="J212" s="18">
        <v>130.57</v>
      </c>
      <c r="K212" s="18">
        <v>53.33</v>
      </c>
      <c r="L212" s="19">
        <f t="shared" ref="L212:L218" si="2">SUM(F212:K212)</f>
        <v>665621.59000000008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13995+124070.74+103880.51</f>
        <v>241946.25</v>
      </c>
      <c r="G213" s="18">
        <f>2193.02+39326.58+60864.9+4743.74</f>
        <v>107128.24</v>
      </c>
      <c r="H213" s="18">
        <f>3373.37+40455.78</f>
        <v>43829.15</v>
      </c>
      <c r="I213" s="18">
        <f>10958.69+2234.58+4561.58+39230.15</f>
        <v>56985</v>
      </c>
      <c r="J213" s="18">
        <f>2134.58+5294.73+25987.01</f>
        <v>33416.32</v>
      </c>
      <c r="K213" s="18">
        <v>119.75</v>
      </c>
      <c r="L213" s="19">
        <f t="shared" si="2"/>
        <v>483424.71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86397.73</v>
      </c>
      <c r="G214" s="18">
        <v>32272.36</v>
      </c>
      <c r="H214" s="18">
        <v>46331.48</v>
      </c>
      <c r="I214" s="18">
        <v>7161.89</v>
      </c>
      <c r="J214" s="18">
        <v>45.93</v>
      </c>
      <c r="K214" s="18">
        <v>4936.6899999999996</v>
      </c>
      <c r="L214" s="19">
        <f t="shared" si="2"/>
        <v>177146.08000000002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582941.87</f>
        <v>582941.87</v>
      </c>
      <c r="G215" s="18">
        <f>221523.9+19878.54</f>
        <v>241402.44</v>
      </c>
      <c r="H215" s="18">
        <f>17037.63</f>
        <v>17037.63</v>
      </c>
      <c r="I215" s="18">
        <f>14485.99</f>
        <v>14485.99</v>
      </c>
      <c r="J215" s="18"/>
      <c r="K215" s="18">
        <v>4016</v>
      </c>
      <c r="L215" s="19">
        <f t="shared" si="2"/>
        <v>859883.93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f>85939.29</f>
        <v>85939.29</v>
      </c>
      <c r="G216" s="18">
        <f>38590.67</f>
        <v>38590.67</v>
      </c>
      <c r="H216" s="18">
        <f>7520.32</f>
        <v>7520.32</v>
      </c>
      <c r="I216" s="18">
        <f>251.11</f>
        <v>251.11</v>
      </c>
      <c r="J216" s="18"/>
      <c r="K216" s="18">
        <f>448.89</f>
        <v>448.89</v>
      </c>
      <c r="L216" s="19">
        <f t="shared" si="2"/>
        <v>132750.28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307138.29+88082.98</f>
        <v>395221.26999999996</v>
      </c>
      <c r="G217" s="18">
        <f>129281.54+39227.26+10504</f>
        <v>179012.8</v>
      </c>
      <c r="H217" s="18">
        <f>98931.77+406+95965.17</f>
        <v>195302.94</v>
      </c>
      <c r="I217" s="18">
        <f>25420.21+288095.56+18513.17</f>
        <v>332028.94</v>
      </c>
      <c r="J217" s="18">
        <f>10816.63+420+577.4</f>
        <v>11814.029999999999</v>
      </c>
      <c r="K217" s="18">
        <v>29.94</v>
      </c>
      <c r="L217" s="19">
        <f t="shared" si="2"/>
        <v>1113409.92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272478.22</f>
        <v>272478.21999999997</v>
      </c>
      <c r="G218" s="18">
        <v>79198.899999999994</v>
      </c>
      <c r="H218" s="18">
        <f>25156.06+1221.5+23724.5</f>
        <v>50102.06</v>
      </c>
      <c r="I218" s="18">
        <v>56878.8</v>
      </c>
      <c r="J218" s="18">
        <v>2808.78</v>
      </c>
      <c r="K218" s="18">
        <v>600.5</v>
      </c>
      <c r="L218" s="19">
        <f t="shared" si="2"/>
        <v>462067.26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53614.01</v>
      </c>
      <c r="G219" s="18">
        <v>24452.32</v>
      </c>
      <c r="H219" s="18">
        <v>18818.36</v>
      </c>
      <c r="I219" s="18"/>
      <c r="J219" s="18"/>
      <c r="K219" s="18"/>
      <c r="L219" s="19">
        <f>SUM(F219:K219)</f>
        <v>96884.69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8013564.8299999991</v>
      </c>
      <c r="G221" s="41">
        <f>SUM(G207:G220)</f>
        <v>2992122.6899999995</v>
      </c>
      <c r="H221" s="41">
        <f>SUM(H207:H220)</f>
        <v>682571.68</v>
      </c>
      <c r="I221" s="41">
        <f>SUM(I207:I220)</f>
        <v>561763.66</v>
      </c>
      <c r="J221" s="41">
        <f>SUM(J207:J220)</f>
        <v>65900.66</v>
      </c>
      <c r="K221" s="41">
        <f t="shared" si="3"/>
        <v>12262.39</v>
      </c>
      <c r="L221" s="41">
        <f t="shared" si="3"/>
        <v>12328185.909999998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5945700.22+8819.25+204707.72+5203.94</f>
        <v>6164431.1299999999</v>
      </c>
      <c r="G225" s="18">
        <f>2117998.61+662.65+203077.37</f>
        <v>2321738.63</v>
      </c>
      <c r="H225" s="18">
        <f>368909.47+798.52</f>
        <v>369707.99</v>
      </c>
      <c r="I225" s="18">
        <f>159861.68+5133.35</f>
        <v>164995.03</v>
      </c>
      <c r="J225" s="18">
        <v>17992</v>
      </c>
      <c r="K225" s="18">
        <v>675</v>
      </c>
      <c r="L225" s="19">
        <f>SUM(F225:K225)</f>
        <v>9039539.7799999993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1120528.62+4774.79+986178.12+10633.22</f>
        <v>2122114.7500000005</v>
      </c>
      <c r="G226" s="18">
        <f>372449.72+574.17+341060.95+813.29+72285.61</f>
        <v>787183.74</v>
      </c>
      <c r="H226" s="18">
        <f>1026043.91+39820.43+4065.6</f>
        <v>1069929.9400000002</v>
      </c>
      <c r="I226" s="18">
        <f>2237.48+16167.83</f>
        <v>18405.310000000001</v>
      </c>
      <c r="J226" s="18">
        <f>268.66+4803.91</f>
        <v>5072.57</v>
      </c>
      <c r="K226" s="18"/>
      <c r="L226" s="19">
        <f>SUM(F226:K226)</f>
        <v>4002706.3100000005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103058.86+71456.06+64827.1+176981.06+294736.98</f>
        <v>711060.05999999994</v>
      </c>
      <c r="G227" s="18">
        <f>38193.21+30178.32+24979.66+63897.44+115047.73+24283.45</f>
        <v>296579.81</v>
      </c>
      <c r="H227" s="18">
        <f>2048.7+2720.07+1697.27</f>
        <v>6466.0400000000009</v>
      </c>
      <c r="I227" s="18">
        <f>10131.89+1571.45+2844.77+9860.82+20232.76</f>
        <v>44641.69</v>
      </c>
      <c r="J227" s="18">
        <f>3652.12+538.93</f>
        <v>4191.05</v>
      </c>
      <c r="K227" s="18">
        <f>562+440</f>
        <v>1002</v>
      </c>
      <c r="L227" s="19">
        <f>SUM(F227:K227)</f>
        <v>1063940.6499999999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54883+254263+44801.4</f>
        <v>353947.4</v>
      </c>
      <c r="G228" s="18">
        <f>8201.56+28898.81+19193.18+10504</f>
        <v>66797.55</v>
      </c>
      <c r="H228" s="18">
        <f>122609.98</f>
        <v>122609.98</v>
      </c>
      <c r="I228" s="18">
        <f>18066.68</f>
        <v>18066.68</v>
      </c>
      <c r="J228" s="18">
        <f>10525.72</f>
        <v>10525.72</v>
      </c>
      <c r="K228" s="18">
        <f>20515.27</f>
        <v>20515.27</v>
      </c>
      <c r="L228" s="19">
        <f>SUM(F228:K228)</f>
        <v>592462.60000000009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555746.9+113817.4+118147.91+80664.48+36978.48+59509</f>
        <v>964864.17</v>
      </c>
      <c r="G230" s="18">
        <f>186218.29+53778.85+27215.8+22067.28+15928.3+24660.99+30947.27</f>
        <v>360816.77999999997</v>
      </c>
      <c r="H230" s="18">
        <f>79+22170.77+22830.18</f>
        <v>45079.95</v>
      </c>
      <c r="I230" s="18">
        <f>1680.24+1862.66+4179.23</f>
        <v>7722.1299999999992</v>
      </c>
      <c r="J230" s="18">
        <v>298.98</v>
      </c>
      <c r="K230" s="18">
        <f>240+70+122.12</f>
        <v>432.12</v>
      </c>
      <c r="L230" s="19">
        <f t="shared" ref="L230:L236" si="4">SUM(F230:K230)</f>
        <v>1379214.13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184489.24+7992+176791.44</f>
        <v>369272.68</v>
      </c>
      <c r="G231" s="18">
        <f>70793.45+611.43+103033.65+6550.88</f>
        <v>180989.40999999997</v>
      </c>
      <c r="H231" s="18">
        <f>2335+69152.55</f>
        <v>71487.55</v>
      </c>
      <c r="I231" s="18">
        <f>20799.51+2208.74+5584+67068.36</f>
        <v>95660.61</v>
      </c>
      <c r="J231" s="18">
        <f>1590.08+1514+44481.61</f>
        <v>47585.69</v>
      </c>
      <c r="K231" s="18">
        <f>210+201.57</f>
        <v>411.57</v>
      </c>
      <c r="L231" s="19">
        <f t="shared" si="4"/>
        <v>765407.50999999989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147885.76999999999</v>
      </c>
      <c r="G232" s="18">
        <v>55240.15</v>
      </c>
      <c r="H232" s="18">
        <v>79304.94</v>
      </c>
      <c r="I232" s="18">
        <v>12258.91</v>
      </c>
      <c r="J232" s="18">
        <v>78.63</v>
      </c>
      <c r="K232" s="18">
        <v>8450.07</v>
      </c>
      <c r="L232" s="19">
        <f t="shared" si="4"/>
        <v>303218.46999999997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926892.29</f>
        <v>926892.29</v>
      </c>
      <c r="G233" s="18">
        <f>365345.77+31624.95</f>
        <v>396970.72000000003</v>
      </c>
      <c r="H233" s="18">
        <f>32682.91+18729.96</f>
        <v>51412.869999999995</v>
      </c>
      <c r="I233" s="18">
        <f>7529.58+968.56</f>
        <v>8498.14</v>
      </c>
      <c r="J233" s="18">
        <f>2634.59</f>
        <v>2634.59</v>
      </c>
      <c r="K233" s="18">
        <f>6750.94</f>
        <v>6750.94</v>
      </c>
      <c r="L233" s="19">
        <f t="shared" si="4"/>
        <v>1393159.5499999998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f>144664.48</f>
        <v>144664.48000000001</v>
      </c>
      <c r="G234" s="18">
        <f>64960.97</f>
        <v>64960.97</v>
      </c>
      <c r="H234" s="18">
        <f>12659.21</f>
        <v>12659.21</v>
      </c>
      <c r="I234" s="18">
        <f>422.71</f>
        <v>422.71</v>
      </c>
      <c r="J234" s="18"/>
      <c r="K234" s="18">
        <f>755.62</f>
        <v>755.62</v>
      </c>
      <c r="L234" s="19">
        <f t="shared" si="4"/>
        <v>223462.99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472386.24+185962.76</f>
        <v>658349</v>
      </c>
      <c r="G235" s="18">
        <f>192408.02+82817.47+16151.31</f>
        <v>291376.8</v>
      </c>
      <c r="H235" s="18">
        <f>253681.21+4637+202603.82</f>
        <v>460922.03</v>
      </c>
      <c r="I235" s="18">
        <f>53406.52+831497.78+39085.42</f>
        <v>923989.72000000009</v>
      </c>
      <c r="J235" s="18">
        <f>18298.99+1219.03</f>
        <v>19518.02</v>
      </c>
      <c r="K235" s="18">
        <v>63.21</v>
      </c>
      <c r="L235" s="19">
        <f t="shared" si="4"/>
        <v>2354218.7800000003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466397.08</v>
      </c>
      <c r="G236" s="18">
        <v>135563.57999999999</v>
      </c>
      <c r="H236" s="18">
        <f>16331+95363.87+12820.5+40608.87</f>
        <v>165124.24</v>
      </c>
      <c r="I236" s="18">
        <v>97358.64</v>
      </c>
      <c r="J236" s="18">
        <v>4807.74</v>
      </c>
      <c r="K236" s="18">
        <v>1027.8800000000001</v>
      </c>
      <c r="L236" s="19">
        <f t="shared" si="4"/>
        <v>870279.16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90250.26</v>
      </c>
      <c r="G237" s="18">
        <v>41161.4</v>
      </c>
      <c r="H237" s="18">
        <v>31677.58</v>
      </c>
      <c r="I237" s="18"/>
      <c r="J237" s="18"/>
      <c r="K237" s="18"/>
      <c r="L237" s="19">
        <f>SUM(F237:K237)</f>
        <v>163089.24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13120129.07</v>
      </c>
      <c r="G239" s="41">
        <f t="shared" si="5"/>
        <v>4999379.54</v>
      </c>
      <c r="H239" s="41">
        <f t="shared" si="5"/>
        <v>2486382.3200000003</v>
      </c>
      <c r="I239" s="41">
        <f t="shared" si="5"/>
        <v>1392019.57</v>
      </c>
      <c r="J239" s="41">
        <f t="shared" si="5"/>
        <v>112704.99000000002</v>
      </c>
      <c r="K239" s="41">
        <f t="shared" si="5"/>
        <v>40083.68</v>
      </c>
      <c r="L239" s="41">
        <f t="shared" si="5"/>
        <v>22150699.169999998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295648.90999999997</v>
      </c>
      <c r="G243" s="18">
        <f>62744.46+10052.21</f>
        <v>72796.67</v>
      </c>
      <c r="H243" s="18">
        <v>118596.58</v>
      </c>
      <c r="I243" s="18">
        <v>27374.63</v>
      </c>
      <c r="J243" s="18"/>
      <c r="K243" s="18">
        <v>13010.27</v>
      </c>
      <c r="L243" s="19">
        <f t="shared" si="6"/>
        <v>527427.05999999994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159663.55</f>
        <v>159663.54999999999</v>
      </c>
      <c r="I247" s="18"/>
      <c r="J247" s="18"/>
      <c r="K247" s="18"/>
      <c r="L247" s="19">
        <f t="shared" si="6"/>
        <v>159663.54999999999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295648.90999999997</v>
      </c>
      <c r="G248" s="41">
        <f t="shared" si="7"/>
        <v>72796.67</v>
      </c>
      <c r="H248" s="41">
        <f t="shared" si="7"/>
        <v>278260.13</v>
      </c>
      <c r="I248" s="41">
        <f t="shared" si="7"/>
        <v>27374.63</v>
      </c>
      <c r="J248" s="41">
        <f t="shared" si="7"/>
        <v>0</v>
      </c>
      <c r="K248" s="41">
        <f t="shared" si="7"/>
        <v>13010.27</v>
      </c>
      <c r="L248" s="41">
        <f>SUM(F248:K248)</f>
        <v>687090.61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37310834.729999989</v>
      </c>
      <c r="G249" s="41">
        <f t="shared" si="8"/>
        <v>14043476.369999999</v>
      </c>
      <c r="H249" s="41">
        <f t="shared" si="8"/>
        <v>4816041.4799999995</v>
      </c>
      <c r="I249" s="41">
        <f t="shared" si="8"/>
        <v>3117887.6799999997</v>
      </c>
      <c r="J249" s="41">
        <f t="shared" si="8"/>
        <v>262866.82000000007</v>
      </c>
      <c r="K249" s="41">
        <f t="shared" si="8"/>
        <v>81352.350000000006</v>
      </c>
      <c r="L249" s="41">
        <f t="shared" si="8"/>
        <v>59632459.429999992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1752399.99</v>
      </c>
      <c r="L252" s="19">
        <f>SUM(F252:K252)</f>
        <v>1752399.99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365896.87+1044096.11+166624.65</f>
        <v>1576617.63</v>
      </c>
      <c r="L253" s="19">
        <f>SUM(F253:K253)</f>
        <v>1576617.63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2964.98</v>
      </c>
      <c r="L255" s="19">
        <f>SUM(F255:K255)</f>
        <v>2964.98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180998.93+1081703</f>
        <v>1262701.93</v>
      </c>
      <c r="L258" s="19">
        <f t="shared" si="9"/>
        <v>1262701.93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4594684.53</v>
      </c>
      <c r="L262" s="41">
        <f t="shared" si="9"/>
        <v>4594684.53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37310834.729999989</v>
      </c>
      <c r="G263" s="42">
        <f t="shared" si="11"/>
        <v>14043476.369999999</v>
      </c>
      <c r="H263" s="42">
        <f t="shared" si="11"/>
        <v>4816041.4799999995</v>
      </c>
      <c r="I263" s="42">
        <f t="shared" si="11"/>
        <v>3117887.6799999997</v>
      </c>
      <c r="J263" s="42">
        <f t="shared" si="11"/>
        <v>262866.82000000007</v>
      </c>
      <c r="K263" s="42">
        <f t="shared" si="11"/>
        <v>4676036.88</v>
      </c>
      <c r="L263" s="42">
        <f t="shared" si="11"/>
        <v>64227143.959999993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21137.73+14045.57</f>
        <v>35183.300000000003</v>
      </c>
      <c r="G268" s="18">
        <f>1955.35+2130.73</f>
        <v>4086.08</v>
      </c>
      <c r="H268" s="18">
        <f>2294.8</f>
        <v>2294.8000000000002</v>
      </c>
      <c r="I268" s="18">
        <f>25612.2+2803.08</f>
        <v>28415.279999999999</v>
      </c>
      <c r="J268" s="18">
        <f>1800</f>
        <v>1800</v>
      </c>
      <c r="K268" s="18"/>
      <c r="L268" s="19">
        <f>SUM(F268:K268)</f>
        <v>71779.460000000006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292726.16+699164.95+111.2</f>
        <v>992002.30999999982</v>
      </c>
      <c r="G269" s="18">
        <f>79850.97+166702.6+19.64</f>
        <v>246573.21000000002</v>
      </c>
      <c r="H269" s="18">
        <f>35000+89174.04</f>
        <v>124174.04</v>
      </c>
      <c r="I269" s="18">
        <f>886.74+2017.79+1323.12</f>
        <v>4227.6499999999996</v>
      </c>
      <c r="J269" s="18">
        <f>1996+12305.37</f>
        <v>14301.37</v>
      </c>
      <c r="K269" s="18"/>
      <c r="L269" s="19">
        <f>SUM(F269:K269)</f>
        <v>1381278.5799999998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50842.41+106682.09</f>
        <v>157524.5</v>
      </c>
      <c r="G271" s="18">
        <f>6064.01+12704.57</f>
        <v>18768.580000000002</v>
      </c>
      <c r="H271" s="18">
        <f>4991.2</f>
        <v>4991.2</v>
      </c>
      <c r="I271" s="18">
        <f>510.99+55918.55</f>
        <v>56429.54</v>
      </c>
      <c r="J271" s="18"/>
      <c r="K271" s="18"/>
      <c r="L271" s="19">
        <f>SUM(F271:K271)</f>
        <v>237713.82000000004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3710.98+11639.16+104071.24+15703.49</f>
        <v>135124.87</v>
      </c>
      <c r="G273" s="18">
        <f>599.73+3347.03+8846.17+5090.57</f>
        <v>17883.5</v>
      </c>
      <c r="H273" s="18">
        <f>4105.2+57777.35</f>
        <v>61882.549999999996</v>
      </c>
      <c r="I273" s="18">
        <f>24.45+236.63+200+435.69</f>
        <v>896.77</v>
      </c>
      <c r="J273" s="18">
        <f>3845+8477.74</f>
        <v>12322.74</v>
      </c>
      <c r="K273" s="18"/>
      <c r="L273" s="19">
        <f t="shared" ref="L273:L279" si="12">SUM(F273:K273)</f>
        <v>228110.42999999996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45248.04+14525+68266.27</f>
        <v>128039.31</v>
      </c>
      <c r="G274" s="18">
        <f>4507.03+1828.09+13494.63</f>
        <v>19829.75</v>
      </c>
      <c r="H274" s="18">
        <f>7065.49+39626.73+1018.75+145909.79</f>
        <v>193620.76</v>
      </c>
      <c r="I274" s="18">
        <f>-392.2+3999.22+22218.07</f>
        <v>25825.09</v>
      </c>
      <c r="J274" s="18">
        <f>1459.8</f>
        <v>1459.8</v>
      </c>
      <c r="K274" s="18"/>
      <c r="L274" s="19">
        <f t="shared" si="12"/>
        <v>368774.71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33976.61</f>
        <v>33976.61</v>
      </c>
      <c r="G275" s="18">
        <f>13648.93</f>
        <v>13648.93</v>
      </c>
      <c r="H275" s="18"/>
      <c r="I275" s="18"/>
      <c r="J275" s="18"/>
      <c r="K275" s="18"/>
      <c r="L275" s="19">
        <f t="shared" si="12"/>
        <v>47625.54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f>6905.4+1500</f>
        <v>8405.4</v>
      </c>
      <c r="I279" s="18"/>
      <c r="J279" s="18"/>
      <c r="K279" s="18"/>
      <c r="L279" s="19">
        <f t="shared" si="12"/>
        <v>8405.4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>
        <f>6158.13</f>
        <v>6158.13</v>
      </c>
      <c r="J280" s="18"/>
      <c r="K280" s="18"/>
      <c r="L280" s="19">
        <f>SUM(F280:K280)</f>
        <v>6158.13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1481850.9000000001</v>
      </c>
      <c r="G282" s="42">
        <f t="shared" si="13"/>
        <v>320790.05</v>
      </c>
      <c r="H282" s="42">
        <f t="shared" si="13"/>
        <v>395368.75</v>
      </c>
      <c r="I282" s="42">
        <f t="shared" si="13"/>
        <v>121952.46</v>
      </c>
      <c r="J282" s="42">
        <f t="shared" si="13"/>
        <v>29883.91</v>
      </c>
      <c r="K282" s="42">
        <f t="shared" si="13"/>
        <v>0</v>
      </c>
      <c r="L282" s="41">
        <f t="shared" si="13"/>
        <v>2349846.0699999998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6760.52</f>
        <v>6760.52</v>
      </c>
      <c r="G287" s="18">
        <f>1025.58</f>
        <v>1025.58</v>
      </c>
      <c r="H287" s="18">
        <f>1104.55</f>
        <v>1104.55</v>
      </c>
      <c r="I287" s="18">
        <f>2555.29+1349.2</f>
        <v>3904.49</v>
      </c>
      <c r="J287" s="18">
        <f>998.94</f>
        <v>998.94</v>
      </c>
      <c r="K287" s="18"/>
      <c r="L287" s="19">
        <f>SUM(F287:K287)</f>
        <v>13794.08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230784.76+133094.14+51.77</f>
        <v>363930.67000000004</v>
      </c>
      <c r="G288" s="18">
        <f>62426.63+25258.29+9.14</f>
        <v>87694.06</v>
      </c>
      <c r="H288" s="18">
        <f>41516.72</f>
        <v>41516.720000000001</v>
      </c>
      <c r="I288" s="18">
        <f>4321.67+616</f>
        <v>4937.67</v>
      </c>
      <c r="J288" s="18">
        <f>5729.01</f>
        <v>5729.01</v>
      </c>
      <c r="K288" s="18"/>
      <c r="L288" s="19">
        <f>SUM(F288:K288)</f>
        <v>503808.13000000006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11287.08+6972.5</f>
        <v>18259.580000000002</v>
      </c>
      <c r="G290" s="18">
        <f>1492.54+951.3</f>
        <v>2443.84</v>
      </c>
      <c r="H290" s="18"/>
      <c r="I290" s="18">
        <f>504.97+8492.13</f>
        <v>8997.0999999999985</v>
      </c>
      <c r="J290" s="18"/>
      <c r="K290" s="18"/>
      <c r="L290" s="19">
        <f>SUM(F290:K290)</f>
        <v>29700.52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7558.53</f>
        <v>7558.53</v>
      </c>
      <c r="G292" s="18">
        <f>2450.23</f>
        <v>2450.23</v>
      </c>
      <c r="H292" s="18">
        <f>27839.37</f>
        <v>27839.37</v>
      </c>
      <c r="I292" s="18">
        <v>180.19</v>
      </c>
      <c r="J292" s="18">
        <v>4080.57</v>
      </c>
      <c r="K292" s="18"/>
      <c r="L292" s="19">
        <f t="shared" ref="L292:L298" si="14">SUM(F292:K292)</f>
        <v>42108.89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4752+10500+30769.59</f>
        <v>46021.59</v>
      </c>
      <c r="G293" s="18">
        <f>469.06+1605.26+6082.42</f>
        <v>8156.74</v>
      </c>
      <c r="H293" s="18">
        <f>48758+65765.79</f>
        <v>114523.79</v>
      </c>
      <c r="I293" s="18">
        <f>10014.33</f>
        <v>10014.33</v>
      </c>
      <c r="J293" s="18">
        <f>657.97</f>
        <v>657.97</v>
      </c>
      <c r="K293" s="18"/>
      <c r="L293" s="19">
        <f t="shared" si="14"/>
        <v>179374.41999999998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f>16353.89</f>
        <v>16353.89</v>
      </c>
      <c r="G294" s="18">
        <f>6569.61</f>
        <v>6569.61</v>
      </c>
      <c r="H294" s="18"/>
      <c r="I294" s="18"/>
      <c r="J294" s="18"/>
      <c r="K294" s="18"/>
      <c r="L294" s="19">
        <f t="shared" si="14"/>
        <v>22923.5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>
        <f>2964.08</f>
        <v>2964.08</v>
      </c>
      <c r="J299" s="18"/>
      <c r="K299" s="18"/>
      <c r="L299" s="19">
        <f>SUM(F299:K299)</f>
        <v>2964.08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458884.78000000014</v>
      </c>
      <c r="G301" s="42">
        <f t="shared" si="15"/>
        <v>108340.06</v>
      </c>
      <c r="H301" s="42">
        <f t="shared" si="15"/>
        <v>184984.43</v>
      </c>
      <c r="I301" s="42">
        <f t="shared" si="15"/>
        <v>30997.86</v>
      </c>
      <c r="J301" s="42">
        <f t="shared" si="15"/>
        <v>11466.49</v>
      </c>
      <c r="K301" s="42">
        <f t="shared" si="15"/>
        <v>0</v>
      </c>
      <c r="L301" s="41">
        <f t="shared" si="15"/>
        <v>794673.62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12407.46+11571.9</f>
        <v>23979.360000000001</v>
      </c>
      <c r="G306" s="18">
        <f>1054.72+1755.46</f>
        <v>2810.1800000000003</v>
      </c>
      <c r="H306" s="18">
        <f>1890.65</f>
        <v>1890.65</v>
      </c>
      <c r="I306" s="18">
        <f>2661.3+2309.4</f>
        <v>4970.7000000000007</v>
      </c>
      <c r="J306" s="18">
        <f>2780.27</f>
        <v>2780.27</v>
      </c>
      <c r="K306" s="18"/>
      <c r="L306" s="19">
        <f>SUM(F306:K306)</f>
        <v>36431.159999999996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380907.71+42538.22+118.55</f>
        <v>423564.48000000004</v>
      </c>
      <c r="G307" s="18">
        <f>134088.61+9404.26+20.93</f>
        <v>143513.79999999999</v>
      </c>
      <c r="H307" s="18">
        <f>2000+95066.29</f>
        <v>97066.29</v>
      </c>
      <c r="I307" s="18">
        <f>2245.65+1410.54</f>
        <v>3656.19</v>
      </c>
      <c r="J307" s="18">
        <f>13118.46</f>
        <v>13118.46</v>
      </c>
      <c r="K307" s="18"/>
      <c r="L307" s="19">
        <f>SUM(F307:K307)</f>
        <v>680919.22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47883.94+33355.15+60421.5</f>
        <v>141660.59</v>
      </c>
      <c r="G308" s="18">
        <f>14625.28+2834.98+29264.24</f>
        <v>46724.5</v>
      </c>
      <c r="H308" s="18">
        <f>8131.53+2253.09+2349.4+1725</f>
        <v>14459.019999999999</v>
      </c>
      <c r="I308" s="18">
        <f>636.7+5706.58+3387.58</f>
        <v>9730.86</v>
      </c>
      <c r="J308" s="18">
        <f>1974.11+513.44+24208.73+55</f>
        <v>26751.279999999999</v>
      </c>
      <c r="K308" s="18"/>
      <c r="L308" s="19">
        <f>SUM(F308:K308)</f>
        <v>239326.24999999997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f>14475.31</f>
        <v>14475.31</v>
      </c>
      <c r="G309" s="18">
        <f>2028.55</f>
        <v>2028.55</v>
      </c>
      <c r="H309" s="18"/>
      <c r="I309" s="18">
        <f>305</f>
        <v>305</v>
      </c>
      <c r="J309" s="18"/>
      <c r="K309" s="18"/>
      <c r="L309" s="19">
        <f>SUM(F309:K309)</f>
        <v>16808.86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46841.5+2444.9+19128.19+12937.82</f>
        <v>81352.41</v>
      </c>
      <c r="G311" s="18">
        <f>8615.1+207.82+16362.29+4194.02</f>
        <v>29379.23</v>
      </c>
      <c r="H311" s="18">
        <f>47652.25</f>
        <v>47652.25</v>
      </c>
      <c r="I311" s="18">
        <v>308.42</v>
      </c>
      <c r="J311" s="18">
        <f>12713+6984.66</f>
        <v>19697.66</v>
      </c>
      <c r="K311" s="18"/>
      <c r="L311" s="19">
        <f t="shared" ref="L311:L317" si="16">SUM(F311:K311)</f>
        <v>178389.97000000003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10945.28+10500+51795.49</f>
        <v>73240.76999999999</v>
      </c>
      <c r="G312" s="18">
        <f>1571.28+1204.22+10238.74</f>
        <v>13014.24</v>
      </c>
      <c r="H312" s="18">
        <f>16205.7+4165+110705.74</f>
        <v>131076.44</v>
      </c>
      <c r="I312" s="18">
        <f>17639.22+16857.46</f>
        <v>34496.68</v>
      </c>
      <c r="J312" s="18">
        <f>7983.71+1107.59</f>
        <v>9091.2999999999993</v>
      </c>
      <c r="K312" s="18">
        <f>10577.91</f>
        <v>10577.91</v>
      </c>
      <c r="L312" s="19">
        <f t="shared" si="16"/>
        <v>271497.33999999997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f>27992.72</f>
        <v>27992.720000000001</v>
      </c>
      <c r="G313" s="18">
        <f>11245.1</f>
        <v>11245.1</v>
      </c>
      <c r="H313" s="18"/>
      <c r="I313" s="18"/>
      <c r="J313" s="18"/>
      <c r="K313" s="18"/>
      <c r="L313" s="19">
        <f t="shared" si="16"/>
        <v>39237.82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f>43206.51+5286+275</f>
        <v>48767.51</v>
      </c>
      <c r="I317" s="18"/>
      <c r="J317" s="18"/>
      <c r="K317" s="18"/>
      <c r="L317" s="19">
        <f t="shared" si="16"/>
        <v>48767.51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>
        <f>5073.58</f>
        <v>5073.58</v>
      </c>
      <c r="J318" s="18"/>
      <c r="K318" s="18"/>
      <c r="L318" s="19">
        <f>SUM(F318:K318)</f>
        <v>5073.58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786265.64000000013</v>
      </c>
      <c r="G320" s="42">
        <f t="shared" si="17"/>
        <v>248715.59999999998</v>
      </c>
      <c r="H320" s="42">
        <f t="shared" si="17"/>
        <v>340912.16000000003</v>
      </c>
      <c r="I320" s="42">
        <f t="shared" si="17"/>
        <v>58541.43</v>
      </c>
      <c r="J320" s="42">
        <f t="shared" si="17"/>
        <v>71438.97</v>
      </c>
      <c r="K320" s="42">
        <f t="shared" si="17"/>
        <v>10577.91</v>
      </c>
      <c r="L320" s="41">
        <f t="shared" si="17"/>
        <v>1516451.71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195918.21</f>
        <v>195918.21</v>
      </c>
      <c r="G325" s="18">
        <f>36008.85</f>
        <v>36008.85</v>
      </c>
      <c r="H325" s="18">
        <f>24201.59</f>
        <v>24201.59</v>
      </c>
      <c r="I325" s="18">
        <f>29077.72</f>
        <v>29077.72</v>
      </c>
      <c r="J325" s="18">
        <f>24409.3</f>
        <v>24409.3</v>
      </c>
      <c r="K325" s="18"/>
      <c r="L325" s="19">
        <f t="shared" si="18"/>
        <v>309615.67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195918.21</v>
      </c>
      <c r="G329" s="41">
        <f t="shared" si="19"/>
        <v>36008.85</v>
      </c>
      <c r="H329" s="41">
        <f t="shared" si="19"/>
        <v>24201.59</v>
      </c>
      <c r="I329" s="41">
        <f t="shared" si="19"/>
        <v>29077.72</v>
      </c>
      <c r="J329" s="41">
        <f t="shared" si="19"/>
        <v>24409.3</v>
      </c>
      <c r="K329" s="41">
        <f t="shared" si="19"/>
        <v>0</v>
      </c>
      <c r="L329" s="41">
        <f t="shared" si="18"/>
        <v>309615.67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2922919.5300000003</v>
      </c>
      <c r="G330" s="41">
        <f t="shared" si="20"/>
        <v>713854.55999999994</v>
      </c>
      <c r="H330" s="41">
        <f t="shared" si="20"/>
        <v>945466.92999999993</v>
      </c>
      <c r="I330" s="41">
        <f t="shared" si="20"/>
        <v>240569.47</v>
      </c>
      <c r="J330" s="41">
        <f t="shared" si="20"/>
        <v>137198.66999999998</v>
      </c>
      <c r="K330" s="41">
        <f t="shared" si="20"/>
        <v>10577.91</v>
      </c>
      <c r="L330" s="41">
        <f t="shared" si="20"/>
        <v>4970587.07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16568.17+9195.9+141437.11</f>
        <v>167201.18</v>
      </c>
      <c r="L336" s="19">
        <f t="shared" ref="L336:L342" si="21">SUM(F336:K336)</f>
        <v>167201.18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167201.18</v>
      </c>
      <c r="L343" s="41">
        <f>SUM(L333:L342)</f>
        <v>167201.18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2922919.5300000003</v>
      </c>
      <c r="G344" s="41">
        <f>G330</f>
        <v>713854.55999999994</v>
      </c>
      <c r="H344" s="41">
        <f>H330</f>
        <v>945466.92999999993</v>
      </c>
      <c r="I344" s="41">
        <f>I330</f>
        <v>240569.47</v>
      </c>
      <c r="J344" s="41">
        <f>J330</f>
        <v>137198.66999999998</v>
      </c>
      <c r="K344" s="47">
        <f>K330+K343</f>
        <v>177779.09</v>
      </c>
      <c r="L344" s="41">
        <f>L330+L343</f>
        <v>5137788.25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199073.11+79331.19</f>
        <v>278404.3</v>
      </c>
      <c r="G350" s="18">
        <f>58588.37+22395.81</f>
        <v>80984.180000000008</v>
      </c>
      <c r="H350" s="18">
        <f>24248.53+4440.37</f>
        <v>28688.899999999998</v>
      </c>
      <c r="I350" s="18">
        <f>282630.41+49124.62</f>
        <v>331755.02999999997</v>
      </c>
      <c r="J350" s="18"/>
      <c r="K350" s="18">
        <v>140.94999999999999</v>
      </c>
      <c r="L350" s="13">
        <f>SUM(F350:K350)</f>
        <v>719973.35999999987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83642.85+38184.31</f>
        <v>121827.16</v>
      </c>
      <c r="G351" s="18">
        <f>29560.93+10779.72</f>
        <v>40340.65</v>
      </c>
      <c r="H351" s="18">
        <f>5257.95+2137.28</f>
        <v>7395.23</v>
      </c>
      <c r="I351" s="18">
        <f>160471.84+23645.05</f>
        <v>184116.88999999998</v>
      </c>
      <c r="J351" s="18"/>
      <c r="K351" s="18">
        <v>237.73</v>
      </c>
      <c r="L351" s="19">
        <f>SUM(F351:K351)</f>
        <v>353917.66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124571.02+65359.54</f>
        <v>189930.56</v>
      </c>
      <c r="G352" s="18">
        <f>29275.74+18451.5</f>
        <v>47727.240000000005</v>
      </c>
      <c r="H352" s="18">
        <f>13896.5+3658.34</f>
        <v>17554.84</v>
      </c>
      <c r="I352" s="18">
        <f>257588.37+40472.89</f>
        <v>298061.26</v>
      </c>
      <c r="J352" s="18"/>
      <c r="K352" s="18">
        <v>356.1</v>
      </c>
      <c r="L352" s="19">
        <f>SUM(F352:K352)</f>
        <v>553630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44944.42</v>
      </c>
      <c r="L353" s="13">
        <f>SUM(F353:K353)</f>
        <v>44944.42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590162.02</v>
      </c>
      <c r="G354" s="47">
        <f t="shared" si="22"/>
        <v>169052.07</v>
      </c>
      <c r="H354" s="47">
        <f t="shared" si="22"/>
        <v>53638.97</v>
      </c>
      <c r="I354" s="47">
        <f t="shared" si="22"/>
        <v>813933.17999999993</v>
      </c>
      <c r="J354" s="47">
        <f t="shared" si="22"/>
        <v>0</v>
      </c>
      <c r="K354" s="47">
        <f t="shared" si="22"/>
        <v>45679.199999999997</v>
      </c>
      <c r="L354" s="47">
        <f t="shared" si="22"/>
        <v>1672465.4399999997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43834.61+250567.09-0.01</f>
        <v>294401.69</v>
      </c>
      <c r="G359" s="18">
        <f>21098.48+146917.36</f>
        <v>168015.84</v>
      </c>
      <c r="H359" s="18">
        <f>36113.96+245447.39</f>
        <v>281561.35000000003</v>
      </c>
      <c r="I359" s="56">
        <f>SUM(F359:H359)</f>
        <v>743978.88000000012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5290.02+32063.32</f>
        <v>37353.339999999997</v>
      </c>
      <c r="G360" s="63">
        <f>2546.57+13554.48</f>
        <v>16101.05</v>
      </c>
      <c r="H360" s="63">
        <f>4358.93+12140.98</f>
        <v>16499.91</v>
      </c>
      <c r="I360" s="56">
        <f>SUM(F360:H360)</f>
        <v>69954.3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331755.03000000003</v>
      </c>
      <c r="G361" s="47">
        <f>SUM(G359:G360)</f>
        <v>184116.88999999998</v>
      </c>
      <c r="H361" s="47">
        <f>SUM(H359:H360)</f>
        <v>298061.26</v>
      </c>
      <c r="I361" s="47">
        <f>SUM(I359:I360)</f>
        <v>813933.18000000017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f>2763354.16+40272.25</f>
        <v>2803626.41</v>
      </c>
      <c r="I367" s="18"/>
      <c r="J367" s="18"/>
      <c r="K367" s="18"/>
      <c r="L367" s="13">
        <f t="shared" ref="L367:L373" si="23">SUM(F367:K367)</f>
        <v>2803626.41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f>1784405.82+62427.33-2612.84</f>
        <v>1844220.31</v>
      </c>
      <c r="I368" s="18"/>
      <c r="J368" s="18"/>
      <c r="K368" s="18">
        <v>36228</v>
      </c>
      <c r="L368" s="13">
        <f t="shared" si="23"/>
        <v>1880448.31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6404880.1+2835+5817.57</f>
        <v>6413532.6699999999</v>
      </c>
      <c r="I370" s="18">
        <f>1225.93+5150</f>
        <v>6375.93</v>
      </c>
      <c r="J370" s="18">
        <f>805</f>
        <v>805</v>
      </c>
      <c r="K370" s="18">
        <f>6142.81+7.19</f>
        <v>6150</v>
      </c>
      <c r="L370" s="13">
        <f t="shared" si="23"/>
        <v>6426863.5999999996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f>31478.9+1650+130005.83</f>
        <v>163134.73000000001</v>
      </c>
      <c r="I371" s="18"/>
      <c r="J371" s="18">
        <f>1125.07+37501.63</f>
        <v>38626.699999999997</v>
      </c>
      <c r="K371" s="18"/>
      <c r="L371" s="13">
        <f t="shared" si="23"/>
        <v>201761.43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f>109557.76+22386.75</f>
        <v>131944.51</v>
      </c>
      <c r="G372" s="18">
        <f>24226.86+7638.08</f>
        <v>31864.940000000002</v>
      </c>
      <c r="H372" s="18">
        <f>1575+78241+26765.48+42096.7+49467.14+31.33</f>
        <v>198176.65</v>
      </c>
      <c r="I372" s="18">
        <f>5107.2+3153.63+6535.45+3196.32+8379.36+7.02</f>
        <v>26378.98</v>
      </c>
      <c r="J372" s="18">
        <f>7755+31610.43</f>
        <v>39365.43</v>
      </c>
      <c r="K372" s="18">
        <v>5832930</v>
      </c>
      <c r="L372" s="13">
        <f t="shared" si="23"/>
        <v>6260660.5099999998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131944.51</v>
      </c>
      <c r="G374" s="139">
        <f t="shared" ref="G374:L374" si="24">SUM(G366:G373)</f>
        <v>31864.940000000002</v>
      </c>
      <c r="H374" s="139">
        <f t="shared" si="24"/>
        <v>11422690.770000001</v>
      </c>
      <c r="I374" s="41">
        <f t="shared" si="24"/>
        <v>32754.91</v>
      </c>
      <c r="J374" s="47">
        <f t="shared" si="24"/>
        <v>78797.13</v>
      </c>
      <c r="K374" s="47">
        <f t="shared" si="24"/>
        <v>5875308</v>
      </c>
      <c r="L374" s="47">
        <f t="shared" si="24"/>
        <v>17573360.259999998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1262701.93</v>
      </c>
      <c r="H392" s="18">
        <f>8121.31+345.55</f>
        <v>8466.86</v>
      </c>
      <c r="I392" s="18">
        <f>34354.02</f>
        <v>34354.019999999997</v>
      </c>
      <c r="J392" s="24" t="s">
        <v>312</v>
      </c>
      <c r="K392" s="24" t="s">
        <v>312</v>
      </c>
      <c r="L392" s="56">
        <f t="shared" si="26"/>
        <v>1305522.81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1262701.93</v>
      </c>
      <c r="H393" s="47">
        <f>SUM(H387:H392)</f>
        <v>8466.86</v>
      </c>
      <c r="I393" s="47">
        <f>SUM(I387:I392)</f>
        <v>34354.019999999997</v>
      </c>
      <c r="J393" s="45" t="s">
        <v>312</v>
      </c>
      <c r="K393" s="45" t="s">
        <v>312</v>
      </c>
      <c r="L393" s="47">
        <f>SUM(L387:L392)</f>
        <v>1305522.81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1262701.93</v>
      </c>
      <c r="H400" s="47">
        <f>H385+H393+H399</f>
        <v>8466.86</v>
      </c>
      <c r="I400" s="47">
        <f>I385+I393+I399</f>
        <v>34354.019999999997</v>
      </c>
      <c r="J400" s="24" t="s">
        <v>312</v>
      </c>
      <c r="K400" s="24" t="s">
        <v>312</v>
      </c>
      <c r="L400" s="47">
        <f>L385+L393+L399</f>
        <v>1305522.81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f>1266704.94</f>
        <v>1266704.94</v>
      </c>
      <c r="L418" s="56">
        <f t="shared" si="29"/>
        <v>1266704.94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1266704.94</v>
      </c>
      <c r="L419" s="47">
        <f t="shared" si="30"/>
        <v>1266704.94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900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29979.73</v>
      </c>
      <c r="I421" s="18"/>
      <c r="J421" s="18"/>
      <c r="K421" s="18"/>
      <c r="L421" s="56">
        <f>SUM(F421:K421)</f>
        <v>29979.73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29979.73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29979.73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29979.73</v>
      </c>
      <c r="I426" s="47">
        <f t="shared" si="32"/>
        <v>0</v>
      </c>
      <c r="J426" s="47">
        <f t="shared" si="32"/>
        <v>0</v>
      </c>
      <c r="K426" s="47">
        <f t="shared" si="32"/>
        <v>1266704.94</v>
      </c>
      <c r="L426" s="47">
        <f t="shared" si="32"/>
        <v>1296684.67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f>7333136.74+337913.07</f>
        <v>7671049.8100000005</v>
      </c>
      <c r="H432" s="18"/>
      <c r="I432" s="56">
        <f t="shared" si="33"/>
        <v>7671049.8100000005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f>48229.73</f>
        <v>48229.73</v>
      </c>
      <c r="H433" s="18"/>
      <c r="I433" s="56">
        <f t="shared" si="33"/>
        <v>48229.73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-308295</v>
      </c>
      <c r="H434" s="18"/>
      <c r="I434" s="56">
        <f t="shared" si="33"/>
        <v>-308295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7410984.540000001</v>
      </c>
      <c r="H438" s="13">
        <f>SUM(H431:H437)</f>
        <v>0</v>
      </c>
      <c r="I438" s="13">
        <f>SUM(I431:I437)</f>
        <v>7410984.540000001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48229.73</v>
      </c>
      <c r="H440" s="18"/>
      <c r="I440" s="56">
        <f>SUM(F440:H440)</f>
        <v>48229.73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>
        <v>-334738.7</v>
      </c>
      <c r="H441" s="18"/>
      <c r="I441" s="56">
        <f>SUM(F441:H441)</f>
        <v>-334738.7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-286508.97000000003</v>
      </c>
      <c r="H444" s="72">
        <f>SUM(H440:H443)</f>
        <v>0</v>
      </c>
      <c r="I444" s="72">
        <f>SUM(I440:I443)</f>
        <v>-286508.97000000003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>
        <v>168</v>
      </c>
      <c r="H446" s="18"/>
      <c r="I446" s="56">
        <f>SUM(F446:H446)</f>
        <v>168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7359580.44+337745.07</f>
        <v>7697325.5100000007</v>
      </c>
      <c r="H449" s="18"/>
      <c r="I449" s="56">
        <f>SUM(F449:H449)</f>
        <v>7697325.5100000007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7697493.5100000007</v>
      </c>
      <c r="H450" s="83">
        <f>SUM(H446:H449)</f>
        <v>0</v>
      </c>
      <c r="I450" s="83">
        <f>SUM(I446:I449)</f>
        <v>7697493.5100000007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7410984.540000001</v>
      </c>
      <c r="H451" s="42">
        <f>H444+H450</f>
        <v>0</v>
      </c>
      <c r="I451" s="42">
        <f>I444+I450</f>
        <v>7410984.540000001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3037088.7200000063</v>
      </c>
      <c r="G455" s="18">
        <v>212130.7</v>
      </c>
      <c r="H455" s="18">
        <v>112024.47</v>
      </c>
      <c r="I455" s="18">
        <v>6421679.8600000013</v>
      </c>
      <c r="J455" s="18">
        <v>7688655.3700000001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64166511.630000003</v>
      </c>
      <c r="G458" s="18">
        <v>1608444.14</v>
      </c>
      <c r="H458" s="18">
        <v>5134288.2699999996</v>
      </c>
      <c r="I458" s="18">
        <v>57209633.170000002</v>
      </c>
      <c r="J458" s="18">
        <f>1270823.24+34699.57</f>
        <v>1305522.81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64166511.630000003</v>
      </c>
      <c r="G460" s="53">
        <f>SUM(G458:G459)</f>
        <v>1608444.14</v>
      </c>
      <c r="H460" s="53">
        <f>SUM(H458:H459)</f>
        <v>5134288.2699999996</v>
      </c>
      <c r="I460" s="53">
        <f>SUM(I458:I459)</f>
        <v>57209633.170000002</v>
      </c>
      <c r="J460" s="53">
        <f>SUM(J458:J459)</f>
        <v>1305522.81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64227143.960000001</v>
      </c>
      <c r="G462" s="18">
        <v>1672465.44</v>
      </c>
      <c r="H462" s="18">
        <f>5137788.25</f>
        <v>5137788.25</v>
      </c>
      <c r="I462" s="18">
        <v>17573360.260000002</v>
      </c>
      <c r="J462" s="18">
        <f>1266704.94+29979.73</f>
        <v>1296684.67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64227143.960000001</v>
      </c>
      <c r="G464" s="53">
        <f>SUM(G462:G463)</f>
        <v>1672465.44</v>
      </c>
      <c r="H464" s="53">
        <f>SUM(H462:H463)</f>
        <v>5137788.25</v>
      </c>
      <c r="I464" s="53">
        <f>SUM(I462:I463)</f>
        <v>17573360.260000002</v>
      </c>
      <c r="J464" s="53">
        <f>SUM(J462:J463)</f>
        <v>1296684.67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2976456.390000008</v>
      </c>
      <c r="G466" s="53">
        <f>(G455+G460)- G464</f>
        <v>148109.39999999991</v>
      </c>
      <c r="H466" s="53">
        <f>(H455+H460)- H464</f>
        <v>108524.48999999929</v>
      </c>
      <c r="I466" s="53">
        <f>(I455+I460)- I464</f>
        <v>46057952.769999996</v>
      </c>
      <c r="J466" s="53">
        <f>(J455+J460)- J464</f>
        <v>7697493.5099999998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33198041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898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9913894.9700000007</v>
      </c>
      <c r="G485" s="18"/>
      <c r="H485" s="18"/>
      <c r="I485" s="18"/>
      <c r="J485" s="18"/>
      <c r="K485" s="53">
        <f>SUM(F485:J485)</f>
        <v>9913894.9700000007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f>55000000+4347234</f>
        <v>59347234</v>
      </c>
      <c r="G486" s="18"/>
      <c r="H486" s="18"/>
      <c r="I486" s="18"/>
      <c r="J486" s="18"/>
      <c r="K486" s="53">
        <f t="shared" ref="K486:K493" si="34">SUM(F486:J486)</f>
        <v>59347234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1752399.99+550000</f>
        <v>2302399.9900000002</v>
      </c>
      <c r="G487" s="18"/>
      <c r="H487" s="18"/>
      <c r="I487" s="18"/>
      <c r="J487" s="18"/>
      <c r="K487" s="53">
        <f t="shared" si="34"/>
        <v>2302399.9900000002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F485+F486-F487</f>
        <v>66958728.979999997</v>
      </c>
      <c r="G488" s="205"/>
      <c r="H488" s="205"/>
      <c r="I488" s="205"/>
      <c r="J488" s="205"/>
      <c r="K488" s="206">
        <f t="shared" si="34"/>
        <v>66958728.979999997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2302399.9900000002</v>
      </c>
      <c r="G489" s="18"/>
      <c r="H489" s="18"/>
      <c r="I489" s="18"/>
      <c r="J489" s="18"/>
      <c r="K489" s="53">
        <f t="shared" si="34"/>
        <v>2302399.9900000002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69261128.969999999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69261128.969999999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2807233.99</v>
      </c>
      <c r="G491" s="205"/>
      <c r="H491" s="205"/>
      <c r="I491" s="205"/>
      <c r="J491" s="205"/>
      <c r="K491" s="206">
        <f t="shared" si="34"/>
        <v>2807233.99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3475402.83</v>
      </c>
      <c r="G492" s="18"/>
      <c r="H492" s="18"/>
      <c r="I492" s="18"/>
      <c r="J492" s="18"/>
      <c r="K492" s="53">
        <f t="shared" si="34"/>
        <v>3475402.83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6282636.8200000003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6282636.8200000003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995009.09</v>
      </c>
      <c r="G511" s="18">
        <v>303833.77</v>
      </c>
      <c r="H511" s="18">
        <v>167850.45</v>
      </c>
      <c r="I511" s="18">
        <v>8960.58</v>
      </c>
      <c r="J511" s="18">
        <v>16834.43</v>
      </c>
      <c r="K511" s="18">
        <v>100</v>
      </c>
      <c r="L511" s="88">
        <f>SUM(F511:K511)</f>
        <v>1492588.3199999998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1309514.19</v>
      </c>
      <c r="G512" s="18">
        <v>462468.28</v>
      </c>
      <c r="H512" s="18">
        <v>273261</v>
      </c>
      <c r="I512" s="18">
        <v>3734.56</v>
      </c>
      <c r="J512" s="18">
        <v>5846.34</v>
      </c>
      <c r="K512" s="18"/>
      <c r="L512" s="88">
        <f>SUM(F512:K512)</f>
        <v>2054824.37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2167216.42</v>
      </c>
      <c r="G513" s="18">
        <v>724531.14</v>
      </c>
      <c r="H513" s="18">
        <v>1162623</v>
      </c>
      <c r="I513" s="18">
        <v>22061.5</v>
      </c>
      <c r="J513" s="18">
        <v>30904.03</v>
      </c>
      <c r="K513" s="18"/>
      <c r="L513" s="88">
        <f>SUM(F513:K513)</f>
        <v>4107336.09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4471739.6999999993</v>
      </c>
      <c r="G514" s="108">
        <f t="shared" ref="G514:L514" si="35">SUM(G511:G513)</f>
        <v>1490833.19</v>
      </c>
      <c r="H514" s="108">
        <f t="shared" si="35"/>
        <v>1603734.45</v>
      </c>
      <c r="I514" s="108">
        <f t="shared" si="35"/>
        <v>34756.639999999999</v>
      </c>
      <c r="J514" s="108">
        <f t="shared" si="35"/>
        <v>53584.800000000003</v>
      </c>
      <c r="K514" s="108">
        <f t="shared" si="35"/>
        <v>100</v>
      </c>
      <c r="L514" s="89">
        <f t="shared" si="35"/>
        <v>7654748.7799999993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3564213.78</v>
      </c>
      <c r="G516" s="18">
        <v>1049472.9099999999</v>
      </c>
      <c r="H516" s="18">
        <v>395908.5</v>
      </c>
      <c r="I516" s="18">
        <v>13511.37</v>
      </c>
      <c r="J516" s="18">
        <v>10754.19</v>
      </c>
      <c r="K516" s="18">
        <v>114.55</v>
      </c>
      <c r="L516" s="88">
        <f>SUM(F516:K516)</f>
        <v>5033975.3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459956.51</v>
      </c>
      <c r="G517" s="18">
        <v>98921.91</v>
      </c>
      <c r="H517" s="18">
        <v>53754.45</v>
      </c>
      <c r="I517" s="18">
        <v>6335.83</v>
      </c>
      <c r="J517" s="18">
        <v>4211.1400000000003</v>
      </c>
      <c r="K517" s="18">
        <v>166677.98000000001</v>
      </c>
      <c r="L517" s="88">
        <f>SUM(F517:K517)</f>
        <v>789857.82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587648.48</v>
      </c>
      <c r="G518" s="18">
        <v>216225</v>
      </c>
      <c r="H518" s="18">
        <v>90847.74</v>
      </c>
      <c r="I518" s="18">
        <v>4440.3</v>
      </c>
      <c r="J518" s="18">
        <v>7283.64</v>
      </c>
      <c r="K518" s="18">
        <v>122.12</v>
      </c>
      <c r="L518" s="88">
        <f>SUM(F518:K518)</f>
        <v>906567.28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4611818.7699999996</v>
      </c>
      <c r="G519" s="89">
        <f t="shared" ref="G519:L519" si="36">SUM(G516:G518)</f>
        <v>1364619.8199999998</v>
      </c>
      <c r="H519" s="89">
        <f t="shared" si="36"/>
        <v>540510.69000000006</v>
      </c>
      <c r="I519" s="89">
        <f t="shared" si="36"/>
        <v>24287.5</v>
      </c>
      <c r="J519" s="89">
        <f t="shared" si="36"/>
        <v>22248.97</v>
      </c>
      <c r="K519" s="89">
        <f t="shared" si="36"/>
        <v>166914.65</v>
      </c>
      <c r="L519" s="89">
        <f t="shared" si="36"/>
        <v>6730400.4000000004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80842.789999999994</v>
      </c>
      <c r="G521" s="18">
        <v>34159.93</v>
      </c>
      <c r="H521" s="18"/>
      <c r="I521" s="18"/>
      <c r="J521" s="18"/>
      <c r="K521" s="18"/>
      <c r="L521" s="88">
        <f>SUM(F521:K521)</f>
        <v>115002.72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37637.94</v>
      </c>
      <c r="G522" s="18">
        <v>15903.82</v>
      </c>
      <c r="H522" s="18"/>
      <c r="I522" s="18"/>
      <c r="J522" s="18"/>
      <c r="K522" s="18"/>
      <c r="L522" s="88">
        <f>SUM(F522:K522)</f>
        <v>53541.760000000002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86184.55</v>
      </c>
      <c r="G523" s="18">
        <v>36417.08</v>
      </c>
      <c r="H523" s="18"/>
      <c r="I523" s="18"/>
      <c r="J523" s="18"/>
      <c r="K523" s="18"/>
      <c r="L523" s="88">
        <f>SUM(F523:K523)</f>
        <v>122601.63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204665.28</v>
      </c>
      <c r="G524" s="89">
        <f t="shared" ref="G524:L524" si="37">SUM(G521:G523)</f>
        <v>86480.83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291146.11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4102.18</v>
      </c>
      <c r="I526" s="18"/>
      <c r="J526" s="18"/>
      <c r="K526" s="18"/>
      <c r="L526" s="88">
        <f>SUM(F526:K526)</f>
        <v>4102.18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1909.85</v>
      </c>
      <c r="I527" s="18"/>
      <c r="J527" s="18"/>
      <c r="K527" s="18"/>
      <c r="L527" s="88">
        <f>SUM(F527:K527)</f>
        <v>1909.85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4373.2299999999996</v>
      </c>
      <c r="I528" s="18"/>
      <c r="J528" s="18"/>
      <c r="K528" s="18"/>
      <c r="L528" s="88">
        <f>SUM(F528:K528)</f>
        <v>4373.2299999999996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10385.26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10385.26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214730.63</v>
      </c>
      <c r="G531" s="18">
        <v>60489.21</v>
      </c>
      <c r="H531" s="18">
        <v>73610.41</v>
      </c>
      <c r="I531" s="18"/>
      <c r="J531" s="18"/>
      <c r="K531" s="18">
        <v>346.09</v>
      </c>
      <c r="L531" s="88">
        <f>SUM(F531:K531)</f>
        <v>349176.34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103355.82</v>
      </c>
      <c r="G532" s="18">
        <v>29115.14</v>
      </c>
      <c r="H532" s="18">
        <v>35430.74</v>
      </c>
      <c r="I532" s="18"/>
      <c r="J532" s="18"/>
      <c r="K532" s="18">
        <v>166.58</v>
      </c>
      <c r="L532" s="88">
        <f>SUM(F532:K532)</f>
        <v>168068.28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176912.68</v>
      </c>
      <c r="G533" s="18">
        <v>49835.97</v>
      </c>
      <c r="H533" s="18">
        <v>60646.28</v>
      </c>
      <c r="I533" s="18"/>
      <c r="J533" s="18"/>
      <c r="K533" s="18">
        <v>285.13</v>
      </c>
      <c r="L533" s="88">
        <f>SUM(F533:K533)</f>
        <v>287680.06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494999.13</v>
      </c>
      <c r="G534" s="194">
        <f t="shared" ref="G534:L534" si="39">SUM(G531:G533)</f>
        <v>139440.32000000001</v>
      </c>
      <c r="H534" s="194">
        <f t="shared" si="39"/>
        <v>169687.43</v>
      </c>
      <c r="I534" s="194">
        <f t="shared" si="39"/>
        <v>0</v>
      </c>
      <c r="J534" s="194">
        <f t="shared" si="39"/>
        <v>0</v>
      </c>
      <c r="K534" s="194">
        <f t="shared" si="39"/>
        <v>797.8</v>
      </c>
      <c r="L534" s="194">
        <f t="shared" si="39"/>
        <v>804924.67999999993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9783222.879999999</v>
      </c>
      <c r="G535" s="89">
        <f t="shared" ref="G535:L535" si="40">G514+G519+G524+G529+G534</f>
        <v>3081374.1599999997</v>
      </c>
      <c r="H535" s="89">
        <f t="shared" si="40"/>
        <v>2324317.83</v>
      </c>
      <c r="I535" s="89">
        <f t="shared" si="40"/>
        <v>59044.14</v>
      </c>
      <c r="J535" s="89">
        <f t="shared" si="40"/>
        <v>75833.77</v>
      </c>
      <c r="K535" s="89">
        <f t="shared" si="40"/>
        <v>167812.44999999998</v>
      </c>
      <c r="L535" s="89">
        <f t="shared" si="40"/>
        <v>15491605.229999999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1492588.3199999998</v>
      </c>
      <c r="G539" s="87">
        <f>L516</f>
        <v>5033975.3</v>
      </c>
      <c r="H539" s="87">
        <f>L521</f>
        <v>115002.72</v>
      </c>
      <c r="I539" s="87">
        <f>L526</f>
        <v>4102.18</v>
      </c>
      <c r="J539" s="87">
        <f>L531</f>
        <v>349176.34</v>
      </c>
      <c r="K539" s="87">
        <f>SUM(F539:J539)</f>
        <v>6994844.8599999985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2054824.37</v>
      </c>
      <c r="G540" s="87">
        <f>L517</f>
        <v>789857.82</v>
      </c>
      <c r="H540" s="87">
        <f>L522</f>
        <v>53541.760000000002</v>
      </c>
      <c r="I540" s="87">
        <f>L527</f>
        <v>1909.85</v>
      </c>
      <c r="J540" s="87">
        <f>L532</f>
        <v>168068.28</v>
      </c>
      <c r="K540" s="87">
        <f>SUM(F540:J540)</f>
        <v>3068202.0799999996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4107336.09</v>
      </c>
      <c r="G541" s="87">
        <f>L518</f>
        <v>906567.28</v>
      </c>
      <c r="H541" s="87">
        <f>L523</f>
        <v>122601.63</v>
      </c>
      <c r="I541" s="87">
        <f>L528</f>
        <v>4373.2299999999996</v>
      </c>
      <c r="J541" s="87">
        <f>L533</f>
        <v>287680.06</v>
      </c>
      <c r="K541" s="87">
        <f>SUM(F541:J541)</f>
        <v>5428558.29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7654748.7799999993</v>
      </c>
      <c r="G542" s="89">
        <f t="shared" si="41"/>
        <v>6730400.4000000004</v>
      </c>
      <c r="H542" s="89">
        <f t="shared" si="41"/>
        <v>291146.11</v>
      </c>
      <c r="I542" s="89">
        <f t="shared" si="41"/>
        <v>10385.26</v>
      </c>
      <c r="J542" s="89">
        <f t="shared" si="41"/>
        <v>804924.67999999993</v>
      </c>
      <c r="K542" s="89">
        <f t="shared" si="41"/>
        <v>15491605.229999997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699164.95</v>
      </c>
      <c r="G547" s="18">
        <v>166702.6</v>
      </c>
      <c r="H547" s="18">
        <v>35000</v>
      </c>
      <c r="I547" s="18">
        <v>2017.79</v>
      </c>
      <c r="J547" s="18"/>
      <c r="K547" s="18"/>
      <c r="L547" s="88">
        <f>SUM(F547:K547)</f>
        <v>902885.34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133094.14000000001</v>
      </c>
      <c r="G548" s="18">
        <v>25258.29</v>
      </c>
      <c r="H548" s="18"/>
      <c r="I548" s="18"/>
      <c r="J548" s="18"/>
      <c r="K548" s="18"/>
      <c r="L548" s="88">
        <f>SUM(F548:K548)</f>
        <v>158352.43000000002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42538.22</v>
      </c>
      <c r="G549" s="18">
        <v>9404.26</v>
      </c>
      <c r="H549" s="18">
        <v>2000</v>
      </c>
      <c r="I549" s="18">
        <v>2245.65</v>
      </c>
      <c r="J549" s="18"/>
      <c r="K549" s="18"/>
      <c r="L549" s="88">
        <f>SUM(F549:K549)</f>
        <v>56188.130000000005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874797.30999999994</v>
      </c>
      <c r="G550" s="108">
        <f t="shared" si="42"/>
        <v>201365.15000000002</v>
      </c>
      <c r="H550" s="108">
        <f t="shared" si="42"/>
        <v>37000</v>
      </c>
      <c r="I550" s="108">
        <f t="shared" si="42"/>
        <v>4263.4400000000005</v>
      </c>
      <c r="J550" s="108">
        <f t="shared" si="42"/>
        <v>0</v>
      </c>
      <c r="K550" s="108">
        <f t="shared" si="42"/>
        <v>0</v>
      </c>
      <c r="L550" s="89">
        <f t="shared" si="42"/>
        <v>1117425.8999999999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97738.2</v>
      </c>
      <c r="I552" s="18">
        <v>1244.93</v>
      </c>
      <c r="J552" s="18"/>
      <c r="K552" s="18"/>
      <c r="L552" s="88">
        <f>SUM(F552:K552)</f>
        <v>98983.12999999999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>
        <v>47044.11</v>
      </c>
      <c r="I553" s="18">
        <v>599.22</v>
      </c>
      <c r="J553" s="18"/>
      <c r="K553" s="18"/>
      <c r="L553" s="88">
        <f>SUM(F553:K553)</f>
        <v>47643.33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10633.22</f>
        <v>10633.22</v>
      </c>
      <c r="G554" s="18">
        <v>813.29</v>
      </c>
      <c r="H554" s="18">
        <v>80524.740000000005</v>
      </c>
      <c r="I554" s="18">
        <v>1025.67</v>
      </c>
      <c r="J554" s="18"/>
      <c r="K554" s="18"/>
      <c r="L554" s="88">
        <f>SUM(F554:K554)</f>
        <v>92996.92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10633.22</v>
      </c>
      <c r="G555" s="89">
        <f t="shared" si="43"/>
        <v>813.29</v>
      </c>
      <c r="H555" s="89">
        <f t="shared" si="43"/>
        <v>225307.05</v>
      </c>
      <c r="I555" s="89">
        <f t="shared" si="43"/>
        <v>2869.82</v>
      </c>
      <c r="J555" s="89">
        <f t="shared" si="43"/>
        <v>0</v>
      </c>
      <c r="K555" s="89">
        <f t="shared" si="43"/>
        <v>0</v>
      </c>
      <c r="L555" s="89">
        <f t="shared" si="43"/>
        <v>239623.38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885430.52999999991</v>
      </c>
      <c r="G561" s="89">
        <f t="shared" ref="G561:L561" si="45">G550+G555+G560</f>
        <v>202178.44000000003</v>
      </c>
      <c r="H561" s="89">
        <f t="shared" si="45"/>
        <v>262307.05</v>
      </c>
      <c r="I561" s="89">
        <f t="shared" si="45"/>
        <v>7133.26</v>
      </c>
      <c r="J561" s="89">
        <f t="shared" si="45"/>
        <v>0</v>
      </c>
      <c r="K561" s="89">
        <f t="shared" si="45"/>
        <v>0</v>
      </c>
      <c r="L561" s="89">
        <f t="shared" si="45"/>
        <v>1357049.2799999998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14935.64</v>
      </c>
      <c r="G569" s="18">
        <v>25253.88</v>
      </c>
      <c r="H569" s="18">
        <v>84322.57</v>
      </c>
      <c r="I569" s="87">
        <f t="shared" si="46"/>
        <v>124512.09000000001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65755.56</v>
      </c>
      <c r="G572" s="18">
        <v>187090.14</v>
      </c>
      <c r="H572" s="18">
        <v>941721.34</v>
      </c>
      <c r="I572" s="87">
        <f t="shared" si="46"/>
        <v>1194567.04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535719.4+112.95</f>
        <v>535832.35</v>
      </c>
      <c r="I581" s="18">
        <v>257856.64000000001</v>
      </c>
      <c r="J581" s="18">
        <v>441369.54</v>
      </c>
      <c r="K581" s="104">
        <f t="shared" ref="K581:K587" si="47">SUM(H581:J581)</f>
        <v>1235058.53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349176.34</v>
      </c>
      <c r="I582" s="18">
        <v>168068.28</v>
      </c>
      <c r="J582" s="18">
        <v>287680.06</v>
      </c>
      <c r="K582" s="104">
        <f t="shared" si="47"/>
        <v>804924.67999999993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1976.74</v>
      </c>
      <c r="I583" s="18">
        <v>951.47</v>
      </c>
      <c r="J583" s="18">
        <v>17959.59</v>
      </c>
      <c r="K583" s="104">
        <f t="shared" si="47"/>
        <v>20887.8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4464.71</v>
      </c>
      <c r="I584" s="18">
        <v>27305.05</v>
      </c>
      <c r="J584" s="18">
        <v>99042.26</v>
      </c>
      <c r="K584" s="104">
        <f t="shared" si="47"/>
        <v>130812.01999999999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15506.39</v>
      </c>
      <c r="I585" s="18">
        <v>2304.1999999999998</v>
      </c>
      <c r="J585" s="18">
        <v>14673.74</v>
      </c>
      <c r="K585" s="104">
        <f t="shared" si="47"/>
        <v>32484.33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18090.509999999998</v>
      </c>
      <c r="I586" s="18">
        <v>705.39</v>
      </c>
      <c r="J586" s="18">
        <v>1207.4100000000001</v>
      </c>
      <c r="K586" s="104">
        <f t="shared" si="47"/>
        <v>20003.309999999998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32148.080000000002</v>
      </c>
      <c r="I587" s="18">
        <v>4876.2299999999996</v>
      </c>
      <c r="J587" s="18">
        <v>8346.56</v>
      </c>
      <c r="K587" s="104">
        <f t="shared" si="47"/>
        <v>45370.869999999995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957195.11999999988</v>
      </c>
      <c r="I588" s="108">
        <f>SUM(I581:I587)</f>
        <v>462067.26</v>
      </c>
      <c r="J588" s="108">
        <f>SUM(J581:J587)</f>
        <v>870279.16</v>
      </c>
      <c r="K588" s="108">
        <f>SUM(K581:K587)</f>
        <v>2289541.54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114145.08</v>
      </c>
      <c r="I594" s="18">
        <v>77367.149999999994</v>
      </c>
      <c r="J594" s="18">
        <v>208553.26</v>
      </c>
      <c r="K594" s="104">
        <f>SUM(H594:J594)</f>
        <v>400065.49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114145.08</v>
      </c>
      <c r="I595" s="108">
        <f>SUM(I592:I594)</f>
        <v>77367.149999999994</v>
      </c>
      <c r="J595" s="108">
        <f>SUM(J592:J594)</f>
        <v>208553.26</v>
      </c>
      <c r="K595" s="108">
        <f>SUM(K592:K594)</f>
        <v>400065.49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50780.92</v>
      </c>
      <c r="G601" s="18">
        <v>6491.54</v>
      </c>
      <c r="H601" s="18">
        <v>50376.34</v>
      </c>
      <c r="I601" s="18">
        <v>2395.5</v>
      </c>
      <c r="J601" s="18">
        <v>252.01</v>
      </c>
      <c r="K601" s="18"/>
      <c r="L601" s="88">
        <f>SUM(F601:K601)</f>
        <v>110296.30999999998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17160.419999999998</v>
      </c>
      <c r="G602" s="18">
        <v>2509.39</v>
      </c>
      <c r="H602" s="18">
        <v>21310.11</v>
      </c>
      <c r="I602" s="18">
        <v>1151.6400000000001</v>
      </c>
      <c r="J602" s="18">
        <v>117.33</v>
      </c>
      <c r="K602" s="18"/>
      <c r="L602" s="88">
        <f>SUM(F602:K602)</f>
        <v>42248.89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33829.379999999997</v>
      </c>
      <c r="G603" s="18">
        <v>4486.97</v>
      </c>
      <c r="H603" s="18">
        <v>41060.43</v>
      </c>
      <c r="I603" s="18">
        <v>2237.48</v>
      </c>
      <c r="J603" s="18">
        <v>268.66000000000003</v>
      </c>
      <c r="K603" s="18"/>
      <c r="L603" s="88">
        <f>SUM(F603:K603)</f>
        <v>81882.92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101770.72</v>
      </c>
      <c r="G604" s="108">
        <f t="shared" si="48"/>
        <v>13487.900000000001</v>
      </c>
      <c r="H604" s="108">
        <f t="shared" si="48"/>
        <v>112746.88</v>
      </c>
      <c r="I604" s="108">
        <f t="shared" si="48"/>
        <v>5784.6200000000008</v>
      </c>
      <c r="J604" s="108">
        <f t="shared" si="48"/>
        <v>638</v>
      </c>
      <c r="K604" s="108">
        <f t="shared" si="48"/>
        <v>0</v>
      </c>
      <c r="L604" s="89">
        <f t="shared" si="48"/>
        <v>234428.12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36693784.819999993</v>
      </c>
      <c r="H607" s="109">
        <f>SUM(F44)</f>
        <v>36693784.82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2342581.1800000002</v>
      </c>
      <c r="H608" s="109">
        <f>SUM(G44)</f>
        <v>2342581.1800000002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10114251.719999999</v>
      </c>
      <c r="H609" s="109">
        <f>SUM(H44)</f>
        <v>10114251.720000001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67945529.039999992</v>
      </c>
      <c r="H610" s="109">
        <f>SUM(I44)</f>
        <v>67945529.039999992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7410984.540000001</v>
      </c>
      <c r="H611" s="109">
        <f>SUM(J44)</f>
        <v>7410984.540000001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2976456.39</v>
      </c>
      <c r="H612" s="109">
        <f>F466</f>
        <v>2976456.390000008</v>
      </c>
      <c r="I612" s="121" t="s">
        <v>106</v>
      </c>
      <c r="J612" s="109">
        <f t="shared" ref="J612:J645" si="49">G612-H612</f>
        <v>-7.9162418842315674E-9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148109.4</v>
      </c>
      <c r="H613" s="109">
        <f>G466</f>
        <v>148109.39999999991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108524.48999999958</v>
      </c>
      <c r="H614" s="109">
        <f>H466</f>
        <v>108524.48999999929</v>
      </c>
      <c r="I614" s="121" t="s">
        <v>110</v>
      </c>
      <c r="J614" s="109">
        <f t="shared" si="49"/>
        <v>2.9103830456733704E-10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46057952.769999996</v>
      </c>
      <c r="H615" s="109">
        <f>I466</f>
        <v>46057952.769999996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7697493.5100000007</v>
      </c>
      <c r="H616" s="109">
        <f>J466</f>
        <v>7697493.5099999998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64166511.629999995</v>
      </c>
      <c r="H617" s="104">
        <f>SUM(F458)</f>
        <v>64166511.630000003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1608444.1400000001</v>
      </c>
      <c r="H618" s="104">
        <f>SUM(G458)</f>
        <v>1608444.14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5134288.2699999996</v>
      </c>
      <c r="H619" s="104">
        <f>SUM(H458)</f>
        <v>5134288.2699999996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57209633.170000002</v>
      </c>
      <c r="H620" s="104">
        <f>SUM(I458)</f>
        <v>57209633.170000002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1305522.8099999998</v>
      </c>
      <c r="H621" s="104">
        <f>SUM(J458)</f>
        <v>1305522.81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64227143.959999993</v>
      </c>
      <c r="H622" s="104">
        <f>SUM(F462)</f>
        <v>64227143.960000001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5137788.25</v>
      </c>
      <c r="H623" s="104">
        <f>SUM(H462)</f>
        <v>5137788.25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813933.17999999993</v>
      </c>
      <c r="H624" s="104">
        <f>I361</f>
        <v>813933.18000000017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1672465.4399999997</v>
      </c>
      <c r="H625" s="104">
        <f>SUM(G462)</f>
        <v>1672465.44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17573360.259999998</v>
      </c>
      <c r="H626" s="104">
        <f>SUM(I462)</f>
        <v>17573360.260000002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1305522.81</v>
      </c>
      <c r="H627" s="164">
        <f>SUM(J458)</f>
        <v>1305522.81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1296684.67</v>
      </c>
      <c r="H628" s="164">
        <f>SUM(J462)</f>
        <v>1296684.67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7410984.540000001</v>
      </c>
      <c r="H630" s="104">
        <f>SUM(G451)</f>
        <v>7410984.540000001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7410984.540000001</v>
      </c>
      <c r="H632" s="104">
        <f>SUM(I451)</f>
        <v>7410984.540000001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8466.86</v>
      </c>
      <c r="H634" s="104">
        <f>H400</f>
        <v>8466.86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1262701.93</v>
      </c>
      <c r="H635" s="104">
        <f>G400</f>
        <v>1262701.93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1305522.8099999998</v>
      </c>
      <c r="H636" s="104">
        <f>L400</f>
        <v>1305522.81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2289541.54</v>
      </c>
      <c r="H637" s="104">
        <f>L200+L218+L236</f>
        <v>2289541.54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400065.49</v>
      </c>
      <c r="H638" s="104">
        <f>(J249+J330)-(J247+J328)</f>
        <v>400065.49000000005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957195.12</v>
      </c>
      <c r="H639" s="104">
        <f>H588</f>
        <v>957195.11999999988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462067.26</v>
      </c>
      <c r="H640" s="104">
        <f>I588</f>
        <v>462067.26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870279.16</v>
      </c>
      <c r="H641" s="104">
        <f>J588</f>
        <v>870279.16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2964.98</v>
      </c>
      <c r="H642" s="104">
        <f>K255+K337</f>
        <v>2964.98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1262701.93</v>
      </c>
      <c r="H645" s="104">
        <f>K258+K339</f>
        <v>1262701.93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27536303.169999998</v>
      </c>
      <c r="G650" s="19">
        <f>(L221+L301+L351)</f>
        <v>13476777.189999998</v>
      </c>
      <c r="H650" s="19">
        <f>(L239+L320+L352)</f>
        <v>24220780.879999999</v>
      </c>
      <c r="I650" s="19">
        <f>SUM(F650:H650)</f>
        <v>65233861.239999995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332219.11493151076</v>
      </c>
      <c r="G651" s="19">
        <f>(L351/IF(SUM(L350:L352)=0,1,SUM(L350:L352))*(SUM(G89:G102)))</f>
        <v>163309.11433144048</v>
      </c>
      <c r="H651" s="19">
        <f>(L352/IF(SUM(L350:L352)=0,1,SUM(L350:L352))*(SUM(G89:G102)))</f>
        <v>255462.88073704881</v>
      </c>
      <c r="I651" s="19">
        <f>SUM(F651:H651)</f>
        <v>750991.1100000001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959765.04</v>
      </c>
      <c r="G652" s="19">
        <f>(L218+L298)-(J218+J298)</f>
        <v>459258.48</v>
      </c>
      <c r="H652" s="19">
        <f>(L236+L317)-(J236+J317)</f>
        <v>914238.93</v>
      </c>
      <c r="I652" s="19">
        <f>SUM(F652:H652)</f>
        <v>2333262.4500000002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305132.58999999997</v>
      </c>
      <c r="G653" s="200">
        <f>SUM(G565:G577)+SUM(I592:I594)+L602</f>
        <v>331960.06000000006</v>
      </c>
      <c r="H653" s="200">
        <f>SUM(H565:H577)+SUM(J592:J594)+L603</f>
        <v>1316480.0899999999</v>
      </c>
      <c r="I653" s="19">
        <f>SUM(F653:H653)</f>
        <v>1953572.7399999998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25939186.425068486</v>
      </c>
      <c r="G654" s="19">
        <f>G650-SUM(G651:G653)</f>
        <v>12522249.535668558</v>
      </c>
      <c r="H654" s="19">
        <f>H650-SUM(H651:H653)</f>
        <v>21734598.979262952</v>
      </c>
      <c r="I654" s="19">
        <f>I650-SUM(I651:I653)</f>
        <v>60196034.939999998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50.16+150.21+1723.74</f>
        <v>1924.1100000000001</v>
      </c>
      <c r="G655" s="249">
        <v>1065.32</v>
      </c>
      <c r="H655" s="249">
        <v>1817.67</v>
      </c>
      <c r="I655" s="19">
        <f>SUM(F655:H655)</f>
        <v>4807.1000000000004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13481.13</v>
      </c>
      <c r="G657" s="19">
        <f>ROUND(G654/G655,2)</f>
        <v>11754.45</v>
      </c>
      <c r="H657" s="19">
        <f>ROUND(H654/H655,2)</f>
        <v>11957.4</v>
      </c>
      <c r="I657" s="19">
        <f>ROUND(I654/I655,2)</f>
        <v>12522.32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101.02</v>
      </c>
      <c r="I660" s="19">
        <f>SUM(F660:H660)</f>
        <v>101.02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13481.13</v>
      </c>
      <c r="G662" s="19">
        <f>ROUND((G654+G659)/(G655+G660),2)</f>
        <v>11754.45</v>
      </c>
      <c r="H662" s="19">
        <f>ROUND((H654+H659)/(H655+H660),2)</f>
        <v>11327.83</v>
      </c>
      <c r="I662" s="19">
        <f>ROUND((I654+I659)/(I655+I660),2)</f>
        <v>12264.58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4277-D261-4150-A200-BA099000B4DB}">
  <sheetPr>
    <tabColor indexed="20"/>
  </sheetPr>
  <dimension ref="A1:C52"/>
  <sheetViews>
    <sheetView topLeftCell="A19"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Concord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18330523.149999999</v>
      </c>
      <c r="C9" s="230">
        <f>'DOE25'!G189+'DOE25'!G207+'DOE25'!G225+'DOE25'!G268+'DOE25'!G287+'DOE25'!G306</f>
        <v>6793171.9199999999</v>
      </c>
    </row>
    <row r="10" spans="1:3" x14ac:dyDescent="0.2">
      <c r="A10" t="s">
        <v>810</v>
      </c>
      <c r="B10" s="241">
        <v>16911202.530000001</v>
      </c>
      <c r="C10" s="241">
        <f>B10/B9*C9</f>
        <v>6267180.9866064284</v>
      </c>
    </row>
    <row r="11" spans="1:3" x14ac:dyDescent="0.2">
      <c r="A11" t="s">
        <v>811</v>
      </c>
      <c r="B11" s="241">
        <v>21827.41</v>
      </c>
      <c r="C11" s="241">
        <f>B11/B9*C9</f>
        <v>8089.0953021342002</v>
      </c>
    </row>
    <row r="12" spans="1:3" x14ac:dyDescent="0.2">
      <c r="A12" t="s">
        <v>812</v>
      </c>
      <c r="B12" s="241">
        <f>B9-B10-B11</f>
        <v>1397493.2099999974</v>
      </c>
      <c r="C12" s="241">
        <f>B12/B9*C9</f>
        <v>517901.83809143747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18330523.149999999</v>
      </c>
      <c r="C13" s="232">
        <f>SUM(C10:C12)</f>
        <v>6793171.9199999999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8368775.79</v>
      </c>
      <c r="C18" s="230">
        <f>'DOE25'!G190+'DOE25'!G208+'DOE25'!G226+'DOE25'!G269+'DOE25'!G288+'DOE25'!G307</f>
        <v>2851830.6599999997</v>
      </c>
    </row>
    <row r="19" spans="1:3" x14ac:dyDescent="0.2">
      <c r="A19" t="s">
        <v>810</v>
      </c>
      <c r="B19" s="241">
        <v>3316208.58</v>
      </c>
      <c r="C19" s="241">
        <f>B19/B18*C18</f>
        <v>1130065.5604490824</v>
      </c>
    </row>
    <row r="20" spans="1:3" x14ac:dyDescent="0.2">
      <c r="A20" t="s">
        <v>811</v>
      </c>
      <c r="B20" s="241">
        <v>3026968.91</v>
      </c>
      <c r="C20" s="241">
        <f>B20/B18*C18</f>
        <v>1031501.25669752</v>
      </c>
    </row>
    <row r="21" spans="1:3" x14ac:dyDescent="0.2">
      <c r="A21" t="s">
        <v>812</v>
      </c>
      <c r="B21" s="241">
        <f>B18-B19-B20</f>
        <v>2025598.2999999998</v>
      </c>
      <c r="C21" s="241">
        <f>B21/B18*C18</f>
        <v>690263.84285339748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8368775.79</v>
      </c>
      <c r="C22" s="232">
        <f>SUM(C19:C21)</f>
        <v>2851830.66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852720.64999999991</v>
      </c>
      <c r="C27" s="235">
        <f>'DOE25'!G191+'DOE25'!G209+'DOE25'!G227+'DOE25'!G270+'DOE25'!G289+'DOE25'!G308</f>
        <v>343304.31</v>
      </c>
    </row>
    <row r="28" spans="1:3" x14ac:dyDescent="0.2">
      <c r="A28" t="s">
        <v>810</v>
      </c>
      <c r="B28" s="241">
        <v>675097.06</v>
      </c>
      <c r="C28" s="241">
        <f>B28/B27*C27</f>
        <v>271793.26590288233</v>
      </c>
    </row>
    <row r="29" spans="1:3" x14ac:dyDescent="0.2">
      <c r="A29" t="s">
        <v>811</v>
      </c>
      <c r="B29" s="241">
        <v>0</v>
      </c>
      <c r="C29" s="241">
        <f>B29/B27*C27</f>
        <v>0</v>
      </c>
    </row>
    <row r="30" spans="1:3" x14ac:dyDescent="0.2">
      <c r="A30" t="s">
        <v>812</v>
      </c>
      <c r="B30" s="241">
        <f>B27-B28-B29</f>
        <v>177623.58999999985</v>
      </c>
      <c r="C30" s="241">
        <f>B30/B27*C27</f>
        <v>71511.044097117687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852720.64999999991</v>
      </c>
      <c r="C31" s="232">
        <f>SUM(C28:C30)</f>
        <v>343304.31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708761.56</v>
      </c>
      <c r="C36" s="236">
        <f>'DOE25'!G192+'DOE25'!G210+'DOE25'!G228+'DOE25'!G271+'DOE25'!G290+'DOE25'!G309</f>
        <v>139715.35999999999</v>
      </c>
    </row>
    <row r="37" spans="1:3" x14ac:dyDescent="0.2">
      <c r="A37" t="s">
        <v>810</v>
      </c>
      <c r="B37" s="241">
        <v>0</v>
      </c>
      <c r="C37" s="241">
        <f>B37/B36*C36</f>
        <v>0</v>
      </c>
    </row>
    <row r="38" spans="1:3" x14ac:dyDescent="0.2">
      <c r="A38" t="s">
        <v>811</v>
      </c>
      <c r="B38" s="241">
        <v>0</v>
      </c>
      <c r="C38" s="241">
        <f>B38/B36*C36</f>
        <v>0</v>
      </c>
    </row>
    <row r="39" spans="1:3" x14ac:dyDescent="0.2">
      <c r="A39" t="s">
        <v>812</v>
      </c>
      <c r="B39" s="241">
        <f>B36-B37-B38</f>
        <v>708761.56</v>
      </c>
      <c r="C39" s="241">
        <f>B39/B36*C36</f>
        <v>139715.35999999999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708761.56</v>
      </c>
      <c r="C40" s="232">
        <f>SUM(C37:C39)</f>
        <v>139715.35999999999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DD8D-7387-4F50-930B-5A7DC24E2034}">
  <sheetPr>
    <tabColor indexed="11"/>
  </sheetPr>
  <dimension ref="A1:I51"/>
  <sheetViews>
    <sheetView workbookViewId="0">
      <pane ySplit="4" topLeftCell="A32" activePane="bottomLeft" state="frozen"/>
      <selection activeCell="B536" sqref="B536"/>
      <selection pane="bottomLeft" activeCell="E35" sqref="E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Concord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38466596.469999999</v>
      </c>
      <c r="D5" s="20">
        <f>SUM('DOE25'!L189:L192)+SUM('DOE25'!L207:L210)+SUM('DOE25'!L225:L228)-F5-G5</f>
        <v>38385441.629999995</v>
      </c>
      <c r="E5" s="244"/>
      <c r="F5" s="256">
        <f>SUM('DOE25'!J189:J192)+SUM('DOE25'!J207:J210)+SUM('DOE25'!J225:J228)</f>
        <v>56700.28</v>
      </c>
      <c r="G5" s="53">
        <f>SUM('DOE25'!K189:K192)+SUM('DOE25'!K207:K210)+SUM('DOE25'!K225:K228)</f>
        <v>24454.560000000001</v>
      </c>
      <c r="H5" s="260"/>
    </row>
    <row r="6" spans="1:9" x14ac:dyDescent="0.2">
      <c r="A6" s="32">
        <v>2100</v>
      </c>
      <c r="B6" t="s">
        <v>832</v>
      </c>
      <c r="C6" s="246">
        <f t="shared" si="0"/>
        <v>4539371.24</v>
      </c>
      <c r="D6" s="20">
        <f>'DOE25'!L194+'DOE25'!L212+'DOE25'!L230-F6-G6</f>
        <v>4538061.24</v>
      </c>
      <c r="E6" s="244"/>
      <c r="F6" s="256">
        <f>'DOE25'!J194+'DOE25'!J212+'DOE25'!J230</f>
        <v>710</v>
      </c>
      <c r="G6" s="53">
        <f>'DOE25'!K194+'DOE25'!K212+'DOE25'!K230</f>
        <v>600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2316795.52</v>
      </c>
      <c r="D7" s="20">
        <f>'DOE25'!L195+'DOE25'!L213+'DOE25'!L231-F7-G7</f>
        <v>2176017.69</v>
      </c>
      <c r="E7" s="244"/>
      <c r="F7" s="256">
        <f>'DOE25'!J195+'DOE25'!J213+'DOE25'!J231</f>
        <v>139980.82999999999</v>
      </c>
      <c r="G7" s="53">
        <f>'DOE25'!K195+'DOE25'!K213+'DOE25'!K231</f>
        <v>797</v>
      </c>
      <c r="H7" s="260"/>
    </row>
    <row r="8" spans="1:9" x14ac:dyDescent="0.2">
      <c r="A8" s="32">
        <v>2300</v>
      </c>
      <c r="B8" t="s">
        <v>833</v>
      </c>
      <c r="C8" s="246">
        <f t="shared" si="0"/>
        <v>622780.56000000006</v>
      </c>
      <c r="D8" s="244"/>
      <c r="E8" s="20">
        <f>'DOE25'!L196+'DOE25'!L214+'DOE25'!L232-F8-G8-D9-D11</f>
        <v>598917.41</v>
      </c>
      <c r="F8" s="256">
        <f>'DOE25'!J196+'DOE25'!J214+'DOE25'!J232</f>
        <v>219.99</v>
      </c>
      <c r="G8" s="53">
        <f>'DOE25'!K196+'DOE25'!K214+'DOE25'!K232</f>
        <v>23643.16</v>
      </c>
      <c r="H8" s="260"/>
    </row>
    <row r="9" spans="1:9" x14ac:dyDescent="0.2">
      <c r="A9" s="32">
        <v>2310</v>
      </c>
      <c r="B9" t="s">
        <v>849</v>
      </c>
      <c r="C9" s="246">
        <f t="shared" si="0"/>
        <v>26932.51</v>
      </c>
      <c r="D9" s="245">
        <v>26932.51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38500</v>
      </c>
      <c r="D10" s="244"/>
      <c r="E10" s="245">
        <v>38500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198687.77000000002</v>
      </c>
      <c r="D11" s="245">
        <f>27250.83+171436.94</f>
        <v>198687.77000000002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3575468.34</v>
      </c>
      <c r="D12" s="20">
        <f>'DOE25'!L197+'DOE25'!L215+'DOE25'!L233-F12-G12</f>
        <v>3559212.81</v>
      </c>
      <c r="E12" s="244"/>
      <c r="F12" s="256">
        <f>'DOE25'!J197+'DOE25'!J215+'DOE25'!J233</f>
        <v>2634.59</v>
      </c>
      <c r="G12" s="53">
        <f>'DOE25'!K197+'DOE25'!K215+'DOE25'!K233</f>
        <v>13620.939999999999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650736.69999999995</v>
      </c>
      <c r="D13" s="244"/>
      <c r="E13" s="20">
        <f>'DOE25'!L198+'DOE25'!L216+'DOE25'!L234-F13-G13</f>
        <v>648536.27999999991</v>
      </c>
      <c r="F13" s="256">
        <f>'DOE25'!J198+'DOE25'!J216+'DOE25'!J234</f>
        <v>0</v>
      </c>
      <c r="G13" s="53">
        <f>'DOE25'!K198+'DOE25'!K216+'DOE25'!K234</f>
        <v>2200.42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5783533.2000000002</v>
      </c>
      <c r="D14" s="20">
        <f>'DOE25'!L199+'DOE25'!L217+'DOE25'!L235-F14-G14</f>
        <v>5734214.0700000003</v>
      </c>
      <c r="E14" s="244"/>
      <c r="F14" s="256">
        <f>'DOE25'!J199+'DOE25'!J217+'DOE25'!J235</f>
        <v>49169.130000000005</v>
      </c>
      <c r="G14" s="53">
        <f>'DOE25'!K199+'DOE25'!K217+'DOE25'!K235</f>
        <v>150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2289541.54</v>
      </c>
      <c r="D15" s="20">
        <f>'DOE25'!L200+'DOE25'!L218+'DOE25'!L236-F15-G15</f>
        <v>2273213.54</v>
      </c>
      <c r="E15" s="244"/>
      <c r="F15" s="256">
        <f>'DOE25'!J200+'DOE25'!J218+'DOE25'!J236</f>
        <v>13452</v>
      </c>
      <c r="G15" s="53">
        <f>'DOE25'!K200+'DOE25'!K218+'DOE25'!K236</f>
        <v>2876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474924.97</v>
      </c>
      <c r="D16" s="244"/>
      <c r="E16" s="20">
        <f>'DOE25'!L201+'DOE25'!L219+'DOE25'!L237-F16-G16</f>
        <v>474924.97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527427.05999999994</v>
      </c>
      <c r="D17" s="20">
        <f>'DOE25'!L243-F17-G17</f>
        <v>514416.78999999992</v>
      </c>
      <c r="E17" s="244"/>
      <c r="F17" s="256">
        <f>'DOE25'!J243</f>
        <v>0</v>
      </c>
      <c r="G17" s="53">
        <f>'DOE25'!K243</f>
        <v>13010.27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159663.54999999999</v>
      </c>
      <c r="D22" s="244"/>
      <c r="E22" s="244"/>
      <c r="F22" s="256">
        <f>'DOE25'!L247+'DOE25'!L328</f>
        <v>159663.54999999999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3329017.62</v>
      </c>
      <c r="D25" s="244"/>
      <c r="E25" s="244"/>
      <c r="F25" s="259"/>
      <c r="G25" s="257"/>
      <c r="H25" s="258">
        <f>'DOE25'!L252+'DOE25'!L253+'DOE25'!L333+'DOE25'!L334</f>
        <v>3329017.62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883542.13999999966</v>
      </c>
      <c r="D29" s="20">
        <f>'DOE25'!L350+'DOE25'!L351+'DOE25'!L352-'DOE25'!I359-F29-G29</f>
        <v>882807.35999999964</v>
      </c>
      <c r="E29" s="244"/>
      <c r="F29" s="256">
        <f>'DOE25'!J350+'DOE25'!J351+'DOE25'!J352</f>
        <v>0</v>
      </c>
      <c r="G29" s="53">
        <f>'DOE25'!K350+'DOE25'!K351+'DOE25'!K352</f>
        <v>734.78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4970587.07</v>
      </c>
      <c r="D31" s="20">
        <f>'DOE25'!L282+'DOE25'!L301+'DOE25'!L320+'DOE25'!L325+'DOE25'!L326+'DOE25'!L327-F31-G31</f>
        <v>4822810.49</v>
      </c>
      <c r="E31" s="244"/>
      <c r="F31" s="256">
        <f>'DOE25'!J282+'DOE25'!J301+'DOE25'!J320+'DOE25'!J325+'DOE25'!J326+'DOE25'!J327</f>
        <v>137198.66999999998</v>
      </c>
      <c r="G31" s="53">
        <f>'DOE25'!K282+'DOE25'!K301+'DOE25'!K320+'DOE25'!K325+'DOE25'!K326+'DOE25'!K327</f>
        <v>10577.91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63111815.899999999</v>
      </c>
      <c r="E33" s="247">
        <f>SUM(E5:E31)</f>
        <v>1760878.66</v>
      </c>
      <c r="F33" s="247">
        <f>SUM(F5:F31)</f>
        <v>559729.03999999992</v>
      </c>
      <c r="G33" s="247">
        <f>SUM(G5:G31)</f>
        <v>92665.040000000008</v>
      </c>
      <c r="H33" s="247">
        <f>SUM(H5:H31)</f>
        <v>3329017.62</v>
      </c>
    </row>
    <row r="35" spans="2:8" ht="12" thickBot="1" x14ac:dyDescent="0.25">
      <c r="B35" s="254" t="s">
        <v>878</v>
      </c>
      <c r="D35" s="255">
        <f>E33</f>
        <v>1760878.66</v>
      </c>
      <c r="E35" s="250"/>
    </row>
    <row r="36" spans="2:8" ht="12" thickTop="1" x14ac:dyDescent="0.2">
      <c r="B36" t="s">
        <v>846</v>
      </c>
      <c r="D36" s="20">
        <f>D33</f>
        <v>63111815.899999999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0B71-B2A0-4467-B494-513451E40088}">
  <sheetPr transitionEvaluation="1" codeName="Sheet2">
    <tabColor indexed="10"/>
  </sheetPr>
  <dimension ref="A1:I156"/>
  <sheetViews>
    <sheetView zoomScale="75" workbookViewId="0">
      <pane ySplit="2" topLeftCell="A12" activePane="bottomLeft" state="frozen"/>
      <selection activeCell="B536" sqref="B536"/>
      <selection pane="bottomLeft" activeCell="D14" sqref="D14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Concord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2095261.23</v>
      </c>
      <c r="D9" s="95">
        <f>'DOE25'!G9</f>
        <v>59845.99</v>
      </c>
      <c r="E9" s="95">
        <f>'DOE25'!H9</f>
        <v>-207947.99</v>
      </c>
      <c r="F9" s="95">
        <f>'DOE25'!I9</f>
        <v>191166.04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46019617.229999997</v>
      </c>
      <c r="G10" s="95">
        <f>'DOE25'!J10</f>
        <v>7671049.8100000005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33994245.859999999</v>
      </c>
      <c r="D12" s="95">
        <f>'DOE25'!G12</f>
        <v>2098164.2800000003</v>
      </c>
      <c r="E12" s="95">
        <f>'DOE25'!H12</f>
        <v>8572830.0899999999</v>
      </c>
      <c r="F12" s="95">
        <f>'DOE25'!I12</f>
        <v>21734745.77</v>
      </c>
      <c r="G12" s="95">
        <f>'DOE25'!J12</f>
        <v>48229.73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0.3</v>
      </c>
      <c r="F13" s="95">
        <f>'DOE25'!I13</f>
        <v>0</v>
      </c>
      <c r="G13" s="95">
        <f>'DOE25'!J13</f>
        <v>-308295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391448.33</v>
      </c>
      <c r="D14" s="95">
        <f>'DOE25'!G14</f>
        <v>164784.53</v>
      </c>
      <c r="E14" s="95">
        <f>'DOE25'!H14</f>
        <v>1749369.32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115986.37</v>
      </c>
      <c r="D16" s="95">
        <f>'DOE25'!G16</f>
        <v>19786.38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1643.03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95200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36693784.819999993</v>
      </c>
      <c r="D19" s="41">
        <f>SUM(D9:D18)</f>
        <v>2342581.1800000002</v>
      </c>
      <c r="E19" s="41">
        <f>SUM(E9:E18)</f>
        <v>10114251.719999999</v>
      </c>
      <c r="F19" s="41">
        <f>SUM(F9:F18)</f>
        <v>67945529.039999992</v>
      </c>
      <c r="G19" s="41">
        <f>SUM(G9:G18)</f>
        <v>7410984.540000001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32432290.120000001</v>
      </c>
      <c r="D22" s="95">
        <f>'DOE25'!G23</f>
        <v>2156255.79</v>
      </c>
      <c r="E22" s="95">
        <f>'DOE25'!H23</f>
        <v>9948437.9499999993</v>
      </c>
      <c r="F22" s="95">
        <f>'DOE25'!I23</f>
        <v>21887575.920000002</v>
      </c>
      <c r="G22" s="95">
        <f>'DOE25'!J23</f>
        <v>48229.73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0.35</v>
      </c>
      <c r="G23" s="95">
        <f>'DOE25'!J24</f>
        <v>-334738.7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1695.08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154395.62</v>
      </c>
      <c r="D28" s="95">
        <f>'DOE25'!G29</f>
        <v>14257</v>
      </c>
      <c r="E28" s="95">
        <f>'DOE25'!H29</f>
        <v>1046.9100000000001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1088955.1100000001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39992.5</v>
      </c>
      <c r="D30" s="95">
        <f>'DOE25'!G31</f>
        <v>23958.99</v>
      </c>
      <c r="E30" s="95">
        <f>'DOE25'!H31</f>
        <v>51006.15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5236.22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33717328.43</v>
      </c>
      <c r="D32" s="41">
        <f>SUM(D22:D31)</f>
        <v>2194471.7800000003</v>
      </c>
      <c r="E32" s="41">
        <f>SUM(E22:E31)</f>
        <v>10005727.23</v>
      </c>
      <c r="F32" s="41">
        <f>SUM(F22:F31)</f>
        <v>21887576.270000003</v>
      </c>
      <c r="G32" s="41">
        <f>SUM(G22:G31)</f>
        <v>-286508.97000000003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530540.51</v>
      </c>
      <c r="D36" s="95">
        <f>'DOE25'!G37</f>
        <v>32790.120000000003</v>
      </c>
      <c r="E36" s="95">
        <f>'DOE25'!H37</f>
        <v>311094.42</v>
      </c>
      <c r="F36" s="95">
        <f>'DOE25'!I37</f>
        <v>34952004.43</v>
      </c>
      <c r="G36" s="95">
        <f>'DOE25'!J37</f>
        <v>168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115986.37</v>
      </c>
      <c r="D40" s="95">
        <f>'DOE25'!G41</f>
        <v>115319.28</v>
      </c>
      <c r="E40" s="95">
        <f>'DOE25'!H41</f>
        <v>-202569.9300000004</v>
      </c>
      <c r="F40" s="95">
        <f>'DOE25'!I41</f>
        <v>11105948.34</v>
      </c>
      <c r="G40" s="95">
        <f>'DOE25'!J41</f>
        <v>7697325.5100000007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2329929.5100000002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2976456.39</v>
      </c>
      <c r="D42" s="41">
        <f>SUM(D34:D41)</f>
        <v>148109.4</v>
      </c>
      <c r="E42" s="41">
        <f>SUM(E34:E41)</f>
        <v>108524.48999999958</v>
      </c>
      <c r="F42" s="41">
        <f>SUM(F34:F41)</f>
        <v>46057952.769999996</v>
      </c>
      <c r="G42" s="41">
        <f>SUM(G34:G41)</f>
        <v>7697493.5100000007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36693784.82</v>
      </c>
      <c r="D43" s="41">
        <f>D42+D32</f>
        <v>2342581.1800000002</v>
      </c>
      <c r="E43" s="41">
        <f>E42+E32</f>
        <v>10114251.720000001</v>
      </c>
      <c r="F43" s="41">
        <f>F42+F32</f>
        <v>67945529.039999992</v>
      </c>
      <c r="G43" s="41">
        <f>G42+G32</f>
        <v>7410984.540000001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33386542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4434276.6000000006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105870.66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59.08</v>
      </c>
      <c r="D51" s="95">
        <f>'DOE25'!G88</f>
        <v>174.67</v>
      </c>
      <c r="E51" s="95">
        <f>'DOE25'!H88</f>
        <v>0</v>
      </c>
      <c r="F51" s="95">
        <f>'DOE25'!I88</f>
        <v>27504.35</v>
      </c>
      <c r="G51" s="95">
        <f>'DOE25'!J88</f>
        <v>8466.86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748724.22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450913.82</v>
      </c>
      <c r="D53" s="95">
        <f>SUM('DOE25'!G90:G102)</f>
        <v>2266.89</v>
      </c>
      <c r="E53" s="95">
        <f>SUM('DOE25'!H90:H102)</f>
        <v>13754.02</v>
      </c>
      <c r="F53" s="95">
        <f>SUM('DOE25'!I90:I102)</f>
        <v>0</v>
      </c>
      <c r="G53" s="95">
        <f>SUM('DOE25'!J90:J102)</f>
        <v>34354.019999999997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4991120.1600000011</v>
      </c>
      <c r="D54" s="130">
        <f>SUM(D49:D53)</f>
        <v>751165.78</v>
      </c>
      <c r="E54" s="130">
        <f>SUM(E49:E53)</f>
        <v>13754.02</v>
      </c>
      <c r="F54" s="130">
        <f>SUM(F49:F53)</f>
        <v>27504.35</v>
      </c>
      <c r="G54" s="130">
        <f>SUM(G49:G53)</f>
        <v>42820.88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38377662.160000004</v>
      </c>
      <c r="D55" s="22">
        <f>D48+D54</f>
        <v>751165.78</v>
      </c>
      <c r="E55" s="22">
        <f>E48+E54</f>
        <v>13754.02</v>
      </c>
      <c r="F55" s="22">
        <f>F48+F54</f>
        <v>27504.35</v>
      </c>
      <c r="G55" s="22">
        <f>G48+G54</f>
        <v>42820.88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12693622.890000001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8469556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460394.11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39608.410000000003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21663181.41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485888.02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520404.83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775732.43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34050</v>
      </c>
      <c r="D69" s="95">
        <f>SUM('DOE25'!G123:G127)</f>
        <v>57359.35</v>
      </c>
      <c r="E69" s="95">
        <f>SUM('DOE25'!H123:H127)</f>
        <v>248938.57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1816075.2800000003</v>
      </c>
      <c r="D70" s="130">
        <f>SUM(D64:D69)</f>
        <v>57359.35</v>
      </c>
      <c r="E70" s="130">
        <f>SUM(E64:E69)</f>
        <v>248938.57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23479256.690000001</v>
      </c>
      <c r="D73" s="130">
        <f>SUM(D71:D72)+D70+D62</f>
        <v>57359.35</v>
      </c>
      <c r="E73" s="130">
        <f>SUM(E71:E72)+E70+E62</f>
        <v>248938.57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430255.43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707350.13</v>
      </c>
      <c r="D80" s="95">
        <f>SUM('DOE25'!G145:G153)</f>
        <v>796954.03</v>
      </c>
      <c r="E80" s="95">
        <f>SUM('DOE25'!H145:H153)</f>
        <v>4871595.68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1137605.56</v>
      </c>
      <c r="D83" s="131">
        <f>SUM(D77:D82)</f>
        <v>796954.03</v>
      </c>
      <c r="E83" s="131">
        <f>SUM(E77:E82)</f>
        <v>4871595.68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56873465.590000004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2964.98</v>
      </c>
      <c r="E88" s="95">
        <f>'DOE25'!H171</f>
        <v>0</v>
      </c>
      <c r="F88" s="95">
        <f>'DOE25'!I171</f>
        <v>0</v>
      </c>
      <c r="G88" s="95">
        <f>'DOE25'!J171</f>
        <v>1262701.93</v>
      </c>
    </row>
    <row r="89" spans="1:7" x14ac:dyDescent="0.2">
      <c r="A89" t="s">
        <v>789</v>
      </c>
      <c r="B89" s="32" t="s">
        <v>211</v>
      </c>
      <c r="C89" s="95">
        <f>SUM('DOE25'!F172:F173)</f>
        <v>212145.51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958041.71</v>
      </c>
      <c r="D92" s="95">
        <f>SUM('DOE25'!G178:G179)</f>
        <v>0</v>
      </c>
      <c r="E92" s="95">
        <f>SUM('DOE25'!H178:H179)</f>
        <v>0</v>
      </c>
      <c r="F92" s="95">
        <f>SUM('DOE25'!I178:I179)</f>
        <v>308663.23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1800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1171987.22</v>
      </c>
      <c r="D95" s="86">
        <f>SUM(D85:D94)</f>
        <v>2964.98</v>
      </c>
      <c r="E95" s="86">
        <f>SUM(E85:E94)</f>
        <v>0</v>
      </c>
      <c r="F95" s="86">
        <f>SUM(F85:F94)</f>
        <v>57182128.82</v>
      </c>
      <c r="G95" s="86">
        <f>SUM(G85:G94)</f>
        <v>1262701.93</v>
      </c>
    </row>
    <row r="96" spans="1:7" ht="12.75" thickTop="1" thickBot="1" x14ac:dyDescent="0.25">
      <c r="A96" s="33" t="s">
        <v>796</v>
      </c>
      <c r="C96" s="86">
        <f>C55+C73+C83+C95</f>
        <v>64166511.63000001</v>
      </c>
      <c r="D96" s="86">
        <f>D55+D73+D83+D95</f>
        <v>1608444.1400000001</v>
      </c>
      <c r="E96" s="86">
        <f>E55+E73+E83+E95</f>
        <v>5134288.2699999996</v>
      </c>
      <c r="F96" s="86">
        <f>F55+F73+F83+F95</f>
        <v>57209633.170000002</v>
      </c>
      <c r="G96" s="86">
        <f>G55+G73+G95</f>
        <v>1305522.8099999998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26092800.969999999</v>
      </c>
      <c r="D101" s="24" t="s">
        <v>312</v>
      </c>
      <c r="E101" s="95">
        <f>('DOE25'!L268)+('DOE25'!L287)+('DOE25'!L306)</f>
        <v>122004.70000000001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10474456.98</v>
      </c>
      <c r="D102" s="24" t="s">
        <v>312</v>
      </c>
      <c r="E102" s="95">
        <f>('DOE25'!L269)+('DOE25'!L288)+('DOE25'!L307)</f>
        <v>2566005.9299999997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1063940.6499999999</v>
      </c>
      <c r="D103" s="24" t="s">
        <v>312</v>
      </c>
      <c r="E103" s="95">
        <f>('DOE25'!L270)+('DOE25'!L289)+('DOE25'!L308)</f>
        <v>239326.24999999997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835397.87000000011</v>
      </c>
      <c r="D104" s="24" t="s">
        <v>312</v>
      </c>
      <c r="E104" s="95">
        <f>+('DOE25'!L271)+('DOE25'!L290)+('DOE25'!L309)</f>
        <v>284223.2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527427.05999999994</v>
      </c>
      <c r="D106" s="24" t="s">
        <v>312</v>
      </c>
      <c r="E106" s="95">
        <f>+ SUM('DOE25'!L325:L327)</f>
        <v>309615.67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38994023.530000001</v>
      </c>
      <c r="D107" s="86">
        <f>SUM(D101:D106)</f>
        <v>0</v>
      </c>
      <c r="E107" s="86">
        <f>SUM(E101:E106)</f>
        <v>3521175.75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4539371.24</v>
      </c>
      <c r="D110" s="24" t="s">
        <v>312</v>
      </c>
      <c r="E110" s="95">
        <f>+('DOE25'!L273)+('DOE25'!L292)+('DOE25'!L311)</f>
        <v>448609.29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2316795.52</v>
      </c>
      <c r="D111" s="24" t="s">
        <v>312</v>
      </c>
      <c r="E111" s="95">
        <f>+('DOE25'!L274)+('DOE25'!L293)+('DOE25'!L312)</f>
        <v>819646.47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848400.84000000008</v>
      </c>
      <c r="D112" s="24" t="s">
        <v>312</v>
      </c>
      <c r="E112" s="95">
        <f>+('DOE25'!L275)+('DOE25'!L294)+('DOE25'!L313)</f>
        <v>109786.86000000002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3575468.34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650736.69999999995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5783533.2000000002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2289541.54</v>
      </c>
      <c r="D116" s="24" t="s">
        <v>312</v>
      </c>
      <c r="E116" s="95">
        <f>+('DOE25'!L279)+('DOE25'!L298)+('DOE25'!L317)</f>
        <v>57172.91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474924.97</v>
      </c>
      <c r="D117" s="24" t="s">
        <v>312</v>
      </c>
      <c r="E117" s="95">
        <f>+('DOE25'!L280)+('DOE25'!L299)+('DOE25'!L318)</f>
        <v>14195.789999999999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1627521.0199999998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20478772.349999998</v>
      </c>
      <c r="D120" s="86">
        <f>SUM(D110:D119)</f>
        <v>1627521.0199999998</v>
      </c>
      <c r="E120" s="86">
        <f>SUM(E110:E119)</f>
        <v>1449411.32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159663.54999999999</v>
      </c>
      <c r="D122" s="24" t="s">
        <v>312</v>
      </c>
      <c r="E122" s="129">
        <f>'DOE25'!L328</f>
        <v>0</v>
      </c>
      <c r="F122" s="129">
        <f>SUM('DOE25'!L366:'DOE25'!L372)</f>
        <v>17573360.259999998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1752399.99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1576617.63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44944.42</v>
      </c>
      <c r="E126" s="95">
        <f>'DOE25'!L336</f>
        <v>167201.18</v>
      </c>
      <c r="F126" s="95">
        <f>'DOE25'!K373</f>
        <v>0</v>
      </c>
      <c r="G126" s="95">
        <f>'DOE25'!K426</f>
        <v>1266704.94</v>
      </c>
    </row>
    <row r="127" spans="1:7" x14ac:dyDescent="0.2">
      <c r="A127" t="s">
        <v>256</v>
      </c>
      <c r="B127" s="32" t="s">
        <v>257</v>
      </c>
      <c r="C127" s="95">
        <f>'DOE25'!L255</f>
        <v>2964.98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1305522.81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-42820.880000000121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4754348.08</v>
      </c>
      <c r="D136" s="141">
        <f>SUM(D122:D135)</f>
        <v>44944.42</v>
      </c>
      <c r="E136" s="141">
        <f>SUM(E122:E135)</f>
        <v>167201.18</v>
      </c>
      <c r="F136" s="141">
        <f>SUM(F122:F135)</f>
        <v>17573360.259999998</v>
      </c>
      <c r="G136" s="141">
        <f>SUM(G122:G135)</f>
        <v>1266704.94</v>
      </c>
    </row>
    <row r="137" spans="1:9" ht="12.75" thickTop="1" thickBot="1" x14ac:dyDescent="0.25">
      <c r="A137" s="33" t="s">
        <v>267</v>
      </c>
      <c r="C137" s="86">
        <f>(C107+C120+C136)</f>
        <v>64227143.959999993</v>
      </c>
      <c r="D137" s="86">
        <f>(D107+D120+D136)</f>
        <v>1672465.4399999997</v>
      </c>
      <c r="E137" s="86">
        <f>(E107+E120+E136)</f>
        <v>5137788.25</v>
      </c>
      <c r="F137" s="86">
        <f>(F107+F120+F136)</f>
        <v>17573360.259999998</v>
      </c>
      <c r="G137" s="86">
        <f>(G107+G120+G136)</f>
        <v>1266704.94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11/91 - 12/10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04/40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33198041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See Attached Page for Details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9913894.9700000007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9913894.9700000007</v>
      </c>
    </row>
    <row r="149" spans="1:7" x14ac:dyDescent="0.2">
      <c r="A149" s="22" t="s">
        <v>33</v>
      </c>
      <c r="B149" s="137">
        <f>'DOE25'!F486</f>
        <v>59347234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59347234</v>
      </c>
    </row>
    <row r="150" spans="1:7" x14ac:dyDescent="0.2">
      <c r="A150" s="22" t="s">
        <v>34</v>
      </c>
      <c r="B150" s="137">
        <f>'DOE25'!F487</f>
        <v>2302399.9900000002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2302399.9900000002</v>
      </c>
    </row>
    <row r="151" spans="1:7" x14ac:dyDescent="0.2">
      <c r="A151" s="22" t="s">
        <v>35</v>
      </c>
      <c r="B151" s="137">
        <f>'DOE25'!F488</f>
        <v>66958728.979999997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66958728.979999997</v>
      </c>
    </row>
    <row r="152" spans="1:7" x14ac:dyDescent="0.2">
      <c r="A152" s="22" t="s">
        <v>36</v>
      </c>
      <c r="B152" s="137">
        <f>'DOE25'!F489</f>
        <v>2302399.9900000002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2302399.9900000002</v>
      </c>
    </row>
    <row r="153" spans="1:7" x14ac:dyDescent="0.2">
      <c r="A153" s="22" t="s">
        <v>37</v>
      </c>
      <c r="B153" s="137">
        <f>'DOE25'!F490</f>
        <v>69261128.969999999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69261128.969999999</v>
      </c>
    </row>
    <row r="154" spans="1:7" x14ac:dyDescent="0.2">
      <c r="A154" s="22" t="s">
        <v>38</v>
      </c>
      <c r="B154" s="137">
        <f>'DOE25'!F491</f>
        <v>2807233.99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2807233.99</v>
      </c>
    </row>
    <row r="155" spans="1:7" x14ac:dyDescent="0.2">
      <c r="A155" s="22" t="s">
        <v>39</v>
      </c>
      <c r="B155" s="137">
        <f>'DOE25'!F492</f>
        <v>3475402.83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3475402.83</v>
      </c>
    </row>
    <row r="156" spans="1:7" x14ac:dyDescent="0.2">
      <c r="A156" s="22" t="s">
        <v>269</v>
      </c>
      <c r="B156" s="137">
        <f>'DOE25'!F493</f>
        <v>6282636.8200000003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6282636.8200000003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C8B9-B432-4816-83D5-51DC53A42B84}">
  <sheetPr codeName="Sheet3">
    <tabColor indexed="43"/>
  </sheetPr>
  <dimension ref="A1:D42"/>
  <sheetViews>
    <sheetView topLeftCell="A16" workbookViewId="0">
      <selection activeCell="B536" sqref="B53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Concord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13481</v>
      </c>
    </row>
    <row r="5" spans="1:4" x14ac:dyDescent="0.2">
      <c r="B5" t="s">
        <v>735</v>
      </c>
      <c r="C5" s="179">
        <f>IF('DOE25'!G655+'DOE25'!G660=0,0,ROUND('DOE25'!G662,0))</f>
        <v>11754</v>
      </c>
    </row>
    <row r="6" spans="1:4" x14ac:dyDescent="0.2">
      <c r="B6" t="s">
        <v>62</v>
      </c>
      <c r="C6" s="179">
        <f>IF('DOE25'!H655+'DOE25'!H660=0,0,ROUND('DOE25'!H662,0))</f>
        <v>11328</v>
      </c>
    </row>
    <row r="7" spans="1:4" x14ac:dyDescent="0.2">
      <c r="B7" t="s">
        <v>736</v>
      </c>
      <c r="C7" s="179">
        <f>IF('DOE25'!I655+'DOE25'!I660=0,0,ROUND('DOE25'!I662,0))</f>
        <v>12265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26214806</v>
      </c>
      <c r="D10" s="182">
        <f>ROUND((C10/$C$28)*100,1)</f>
        <v>39.200000000000003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13040463</v>
      </c>
      <c r="D11" s="182">
        <f>ROUND((C11/$C$28)*100,1)</f>
        <v>19.5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1303267</v>
      </c>
      <c r="D12" s="182">
        <f>ROUND((C12/$C$28)*100,1)</f>
        <v>1.9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1119621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4987981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3136442</v>
      </c>
      <c r="D16" s="182">
        <f t="shared" si="0"/>
        <v>4.7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1447308</v>
      </c>
      <c r="D17" s="182">
        <f t="shared" si="0"/>
        <v>2.2000000000000002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3575468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650737</v>
      </c>
      <c r="D19" s="182">
        <f t="shared" si="0"/>
        <v>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5783533</v>
      </c>
      <c r="D20" s="182">
        <f t="shared" si="0"/>
        <v>8.6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2346714</v>
      </c>
      <c r="D21" s="182">
        <f t="shared" si="0"/>
        <v>3.5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837043</v>
      </c>
      <c r="D24" s="182">
        <f t="shared" si="0"/>
        <v>1.3</v>
      </c>
    </row>
    <row r="25" spans="1:4" x14ac:dyDescent="0.2">
      <c r="A25">
        <v>5120</v>
      </c>
      <c r="B25" t="s">
        <v>751</v>
      </c>
      <c r="C25" s="179">
        <f>ROUND('DOE25'!L253+'DOE25'!L334,0)</f>
        <v>1576618</v>
      </c>
      <c r="D25" s="182">
        <f t="shared" si="0"/>
        <v>2.4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876529.89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66896530.890000001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17733024</v>
      </c>
    </row>
    <row r="30" spans="1:4" x14ac:dyDescent="0.2">
      <c r="B30" s="187" t="s">
        <v>760</v>
      </c>
      <c r="C30" s="180">
        <f>SUM(C28:C29)</f>
        <v>84629554.890000001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1752400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33386542</v>
      </c>
      <c r="D35" s="182">
        <f t="shared" ref="D35:D40" si="1">ROUND((C35/$C$41)*100,1)</f>
        <v>47.1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6948839.6700000092</v>
      </c>
      <c r="D36" s="182">
        <f t="shared" si="1"/>
        <v>9.8000000000000007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21623573</v>
      </c>
      <c r="D37" s="182">
        <f t="shared" si="1"/>
        <v>30.5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2161982</v>
      </c>
      <c r="D38" s="182">
        <f t="shared" si="1"/>
        <v>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6806155</v>
      </c>
      <c r="D39" s="182">
        <f t="shared" si="1"/>
        <v>9.6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1800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70928891.670000017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55000000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CF26-3DB3-4135-B6E2-51FF154260E6}">
  <sheetPr>
    <tabColor indexed="17"/>
  </sheetPr>
  <dimension ref="A1:IV90"/>
  <sheetViews>
    <sheetView workbookViewId="0">
      <pane ySplit="3" topLeftCell="A4" activePane="bottomLeft" state="frozen"/>
      <selection activeCell="B536" sqref="B536"/>
      <selection pane="bottomLeft" activeCell="B536" sqref="B53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Concord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5</v>
      </c>
      <c r="B4" s="220">
        <v>1</v>
      </c>
      <c r="C4" s="280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15</v>
      </c>
      <c r="B5" s="220">
        <v>15</v>
      </c>
      <c r="C5" s="280" t="s">
        <v>895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2011-11-04T17:49:59Z</cp:lastPrinted>
  <dcterms:created xsi:type="dcterms:W3CDTF">1997-12-04T19:04:30Z</dcterms:created>
  <dcterms:modified xsi:type="dcterms:W3CDTF">2025-01-09T20:42:33Z</dcterms:modified>
</cp:coreProperties>
</file>