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1B9523A-5D18-4B4F-857D-CFB6888BE098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1B5BF9F2-FE09-4073-A22E-CE5C58EDA61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11" i="13"/>
  <c r="C11" i="13"/>
  <c r="B28" i="12"/>
  <c r="B31" i="12" s="1"/>
  <c r="B19" i="12"/>
  <c r="B20" i="12"/>
  <c r="B21" i="12"/>
  <c r="J455" i="1"/>
  <c r="I464" i="1"/>
  <c r="F455" i="1"/>
  <c r="F113" i="1"/>
  <c r="F132" i="1" s="1"/>
  <c r="C38" i="10" s="1"/>
  <c r="F128" i="1"/>
  <c r="H235" i="1"/>
  <c r="J225" i="1"/>
  <c r="J239" i="1" s="1"/>
  <c r="J207" i="1"/>
  <c r="J232" i="1"/>
  <c r="J214" i="1"/>
  <c r="J196" i="1"/>
  <c r="J189" i="1"/>
  <c r="H232" i="1"/>
  <c r="H214" i="1"/>
  <c r="H196" i="1"/>
  <c r="H233" i="1"/>
  <c r="F23" i="1"/>
  <c r="C22" i="2"/>
  <c r="C23" i="2"/>
  <c r="C24" i="2"/>
  <c r="C32" i="2" s="1"/>
  <c r="C25" i="2"/>
  <c r="C26" i="2"/>
  <c r="C27" i="2"/>
  <c r="C28" i="2"/>
  <c r="C29" i="2"/>
  <c r="C30" i="2"/>
  <c r="C31" i="2"/>
  <c r="F14" i="1"/>
  <c r="C14" i="2"/>
  <c r="F90" i="1"/>
  <c r="C53" i="2"/>
  <c r="F88" i="1"/>
  <c r="F55" i="1"/>
  <c r="F71" i="1"/>
  <c r="C49" i="2"/>
  <c r="C54" i="2" s="1"/>
  <c r="C50" i="2"/>
  <c r="C51" i="2"/>
  <c r="F49" i="1"/>
  <c r="F52" i="1" s="1"/>
  <c r="F36" i="1"/>
  <c r="F39" i="1"/>
  <c r="F17" i="1"/>
  <c r="C17" i="2"/>
  <c r="F12" i="1"/>
  <c r="C12" i="2" s="1"/>
  <c r="F10" i="1"/>
  <c r="C10" i="2" s="1"/>
  <c r="F9" i="1"/>
  <c r="H603" i="1"/>
  <c r="H602" i="1"/>
  <c r="H601" i="1"/>
  <c r="I603" i="1"/>
  <c r="I604" i="1" s="1"/>
  <c r="I602" i="1"/>
  <c r="I601" i="1"/>
  <c r="F603" i="1"/>
  <c r="G603" i="1" s="1"/>
  <c r="L603" i="1" s="1"/>
  <c r="F602" i="1"/>
  <c r="G602" i="1" s="1"/>
  <c r="L602" i="1" s="1"/>
  <c r="F601" i="1"/>
  <c r="I581" i="1"/>
  <c r="K581" i="1" s="1"/>
  <c r="H581" i="1"/>
  <c r="H588" i="1" s="1"/>
  <c r="H639" i="1" s="1"/>
  <c r="J588" i="1"/>
  <c r="H641" i="1"/>
  <c r="I584" i="1"/>
  <c r="I582" i="1"/>
  <c r="H582" i="1"/>
  <c r="K582" i="1"/>
  <c r="F572" i="1"/>
  <c r="G572" i="1"/>
  <c r="H572" i="1"/>
  <c r="G573" i="1"/>
  <c r="H573" i="1"/>
  <c r="I554" i="1"/>
  <c r="I553" i="1"/>
  <c r="I552" i="1"/>
  <c r="I555" i="1" s="1"/>
  <c r="I561" i="1" s="1"/>
  <c r="H554" i="1"/>
  <c r="H555" i="1" s="1"/>
  <c r="H553" i="1"/>
  <c r="H552" i="1"/>
  <c r="G554" i="1"/>
  <c r="F554" i="1"/>
  <c r="L554" i="1" s="1"/>
  <c r="F553" i="1"/>
  <c r="G553" i="1" s="1"/>
  <c r="L553" i="1" s="1"/>
  <c r="F552" i="1"/>
  <c r="G552" i="1" s="1"/>
  <c r="G522" i="1"/>
  <c r="G521" i="1"/>
  <c r="G518" i="1"/>
  <c r="G517" i="1"/>
  <c r="G516" i="1"/>
  <c r="L516" i="1" s="1"/>
  <c r="G539" i="1" s="1"/>
  <c r="H513" i="1"/>
  <c r="H512" i="1"/>
  <c r="H511" i="1"/>
  <c r="H514" i="1" s="1"/>
  <c r="H533" i="1"/>
  <c r="L533" i="1"/>
  <c r="J541" i="1" s="1"/>
  <c r="H532" i="1"/>
  <c r="L532" i="1" s="1"/>
  <c r="J540" i="1" s="1"/>
  <c r="H531" i="1"/>
  <c r="L531" i="1"/>
  <c r="H528" i="1"/>
  <c r="L528" i="1"/>
  <c r="I541" i="1" s="1"/>
  <c r="H527" i="1"/>
  <c r="L527" i="1" s="1"/>
  <c r="I540" i="1" s="1"/>
  <c r="H526" i="1"/>
  <c r="I518" i="1"/>
  <c r="I517" i="1"/>
  <c r="I516" i="1"/>
  <c r="F518" i="1"/>
  <c r="F517" i="1"/>
  <c r="F516" i="1"/>
  <c r="K518" i="1"/>
  <c r="L518" i="1" s="1"/>
  <c r="G541" i="1" s="1"/>
  <c r="K517" i="1"/>
  <c r="K516" i="1"/>
  <c r="K519" i="1" s="1"/>
  <c r="J512" i="1"/>
  <c r="I513" i="1"/>
  <c r="I512" i="1"/>
  <c r="I511" i="1"/>
  <c r="H518" i="1"/>
  <c r="H517" i="1"/>
  <c r="H516" i="1"/>
  <c r="H523" i="1"/>
  <c r="H522" i="1"/>
  <c r="H521" i="1"/>
  <c r="H524" i="1" s="1"/>
  <c r="F513" i="1"/>
  <c r="G513" i="1" s="1"/>
  <c r="F512" i="1"/>
  <c r="F511" i="1"/>
  <c r="G511" i="1" s="1"/>
  <c r="F523" i="1"/>
  <c r="F522" i="1"/>
  <c r="F521" i="1"/>
  <c r="K513" i="1"/>
  <c r="J513" i="1"/>
  <c r="K511" i="1"/>
  <c r="K514" i="1"/>
  <c r="J511" i="1"/>
  <c r="K225" i="1"/>
  <c r="K239" i="1" s="1"/>
  <c r="K207" i="1"/>
  <c r="K221" i="1"/>
  <c r="K189" i="1"/>
  <c r="G5" i="13" s="1"/>
  <c r="I225" i="1"/>
  <c r="I239" i="1" s="1"/>
  <c r="I207" i="1"/>
  <c r="I189" i="1"/>
  <c r="H225" i="1"/>
  <c r="H207" i="1"/>
  <c r="H221" i="1" s="1"/>
  <c r="H189" i="1"/>
  <c r="G189" i="1"/>
  <c r="L189" i="1" s="1"/>
  <c r="F225" i="1"/>
  <c r="G225" i="1" s="1"/>
  <c r="F207" i="1"/>
  <c r="G207" i="1" s="1"/>
  <c r="F189" i="1"/>
  <c r="F226" i="1"/>
  <c r="G226" i="1"/>
  <c r="F208" i="1"/>
  <c r="F190" i="1"/>
  <c r="G190" i="1" s="1"/>
  <c r="C18" i="12" s="1"/>
  <c r="I226" i="1"/>
  <c r="I190" i="1"/>
  <c r="I208" i="1"/>
  <c r="K226" i="1"/>
  <c r="L226" i="1" s="1"/>
  <c r="K208" i="1"/>
  <c r="K190" i="1"/>
  <c r="J208" i="1"/>
  <c r="H226" i="1"/>
  <c r="H208" i="1"/>
  <c r="H190" i="1"/>
  <c r="J190" i="1"/>
  <c r="H236" i="1"/>
  <c r="L236" i="1"/>
  <c r="H218" i="1"/>
  <c r="H200" i="1"/>
  <c r="G228" i="1"/>
  <c r="L228" i="1" s="1"/>
  <c r="G230" i="1"/>
  <c r="G199" i="1"/>
  <c r="F232" i="1"/>
  <c r="G232" i="1" s="1"/>
  <c r="L232" i="1" s="1"/>
  <c r="F214" i="1"/>
  <c r="G214" i="1" s="1"/>
  <c r="L214" i="1" s="1"/>
  <c r="F196" i="1"/>
  <c r="I195" i="1"/>
  <c r="G217" i="1"/>
  <c r="L217" i="1" s="1"/>
  <c r="G209" i="1"/>
  <c r="L209" i="1" s="1"/>
  <c r="G194" i="1"/>
  <c r="K232" i="1"/>
  <c r="G8" i="13" s="1"/>
  <c r="K214" i="1"/>
  <c r="K196" i="1"/>
  <c r="K195" i="1"/>
  <c r="G7" i="13" s="1"/>
  <c r="J217" i="1"/>
  <c r="F14" i="13"/>
  <c r="J231" i="1"/>
  <c r="J213" i="1"/>
  <c r="J195" i="1"/>
  <c r="F7" i="13" s="1"/>
  <c r="I236" i="1"/>
  <c r="I218" i="1"/>
  <c r="L218" i="1" s="1"/>
  <c r="I200" i="1"/>
  <c r="I232" i="1"/>
  <c r="I214" i="1"/>
  <c r="I196" i="1"/>
  <c r="I235" i="1"/>
  <c r="H195" i="1"/>
  <c r="H213" i="1"/>
  <c r="H194" i="1"/>
  <c r="L194" i="1" s="1"/>
  <c r="H217" i="1"/>
  <c r="H199" i="1"/>
  <c r="H215" i="1"/>
  <c r="H197" i="1"/>
  <c r="H231" i="1"/>
  <c r="H230" i="1"/>
  <c r="H212" i="1"/>
  <c r="F235" i="1"/>
  <c r="G235" i="1" s="1"/>
  <c r="L235" i="1" s="1"/>
  <c r="F217" i="1"/>
  <c r="F231" i="1"/>
  <c r="F213" i="1"/>
  <c r="G213" i="1" s="1"/>
  <c r="F195" i="1"/>
  <c r="G195" i="1" s="1"/>
  <c r="F230" i="1"/>
  <c r="F212" i="1"/>
  <c r="G212" i="1" s="1"/>
  <c r="F194" i="1"/>
  <c r="F199" i="1"/>
  <c r="K233" i="1"/>
  <c r="G12" i="13"/>
  <c r="F12" i="13"/>
  <c r="I233" i="1"/>
  <c r="F233" i="1"/>
  <c r="G233" i="1" s="1"/>
  <c r="L233" i="1" s="1"/>
  <c r="I231" i="1"/>
  <c r="I230" i="1"/>
  <c r="K230" i="1"/>
  <c r="G6" i="13" s="1"/>
  <c r="J230" i="1"/>
  <c r="K228" i="1"/>
  <c r="J228" i="1"/>
  <c r="I228" i="1"/>
  <c r="H228" i="1"/>
  <c r="F228" i="1"/>
  <c r="I227" i="1"/>
  <c r="F227" i="1"/>
  <c r="B27" i="12" s="1"/>
  <c r="H227" i="1"/>
  <c r="H239" i="1" s="1"/>
  <c r="I212" i="1"/>
  <c r="K215" i="1"/>
  <c r="J215" i="1"/>
  <c r="I215" i="1"/>
  <c r="F215" i="1"/>
  <c r="G215" i="1" s="1"/>
  <c r="I217" i="1"/>
  <c r="I213" i="1"/>
  <c r="K210" i="1"/>
  <c r="J210" i="1"/>
  <c r="I210" i="1"/>
  <c r="H210" i="1"/>
  <c r="F210" i="1"/>
  <c r="G210" i="1" s="1"/>
  <c r="I209" i="1"/>
  <c r="H209" i="1"/>
  <c r="F209" i="1"/>
  <c r="J209" i="1"/>
  <c r="F5" i="13" s="1"/>
  <c r="I199" i="1"/>
  <c r="K197" i="1"/>
  <c r="I197" i="1"/>
  <c r="F197" i="1"/>
  <c r="G197" i="1" s="1"/>
  <c r="I194" i="1"/>
  <c r="I192" i="1"/>
  <c r="I203" i="1" s="1"/>
  <c r="H192" i="1"/>
  <c r="F192" i="1"/>
  <c r="G192" i="1" s="1"/>
  <c r="C36" i="12" s="1"/>
  <c r="H23" i="1"/>
  <c r="E22" i="2" s="1"/>
  <c r="E32" i="2" s="1"/>
  <c r="E23" i="2"/>
  <c r="E24" i="2"/>
  <c r="E25" i="2"/>
  <c r="E28" i="2"/>
  <c r="E29" i="2"/>
  <c r="E30" i="2"/>
  <c r="E31" i="2"/>
  <c r="H306" i="1"/>
  <c r="L306" i="1" s="1"/>
  <c r="H268" i="1"/>
  <c r="H287" i="1"/>
  <c r="L287" i="1"/>
  <c r="H307" i="1"/>
  <c r="F268" i="1"/>
  <c r="H288" i="1"/>
  <c r="G268" i="1"/>
  <c r="G282" i="1" s="1"/>
  <c r="G330" i="1" s="1"/>
  <c r="G344" i="1" s="1"/>
  <c r="K307" i="1"/>
  <c r="I288" i="1"/>
  <c r="I301" i="1" s="1"/>
  <c r="K336" i="1"/>
  <c r="L336" i="1" s="1"/>
  <c r="E126" i="2" s="1"/>
  <c r="H269" i="1"/>
  <c r="G307" i="1"/>
  <c r="L307" i="1"/>
  <c r="F307" i="1"/>
  <c r="J307" i="1"/>
  <c r="J288" i="1"/>
  <c r="J301" i="1"/>
  <c r="J268" i="1"/>
  <c r="J282" i="1" s="1"/>
  <c r="G288" i="1"/>
  <c r="G301" i="1"/>
  <c r="G269" i="1"/>
  <c r="F288" i="1"/>
  <c r="F269" i="1"/>
  <c r="L269" i="1"/>
  <c r="E102" i="2" s="1"/>
  <c r="K269" i="1"/>
  <c r="J269" i="1"/>
  <c r="I317" i="1"/>
  <c r="H311" i="1"/>
  <c r="L311" i="1"/>
  <c r="K314" i="1"/>
  <c r="L314" i="1" s="1"/>
  <c r="I325" i="1"/>
  <c r="I329" i="1" s="1"/>
  <c r="H325" i="1"/>
  <c r="H329" i="1" s="1"/>
  <c r="G325" i="1"/>
  <c r="G329" i="1" s="1"/>
  <c r="E122" i="2"/>
  <c r="E136" i="2" s="1"/>
  <c r="E124" i="2"/>
  <c r="E134" i="2"/>
  <c r="E135" i="2"/>
  <c r="F325" i="1"/>
  <c r="L325" i="1" s="1"/>
  <c r="E106" i="2" s="1"/>
  <c r="J308" i="1"/>
  <c r="J320" i="1" s="1"/>
  <c r="F308" i="1"/>
  <c r="F320" i="1" s="1"/>
  <c r="I308" i="1"/>
  <c r="I320" i="1" s="1"/>
  <c r="H308" i="1"/>
  <c r="I276" i="1"/>
  <c r="I282" i="1"/>
  <c r="G276" i="1"/>
  <c r="F276" i="1"/>
  <c r="L276" i="1" s="1"/>
  <c r="E113" i="2" s="1"/>
  <c r="H274" i="1"/>
  <c r="K273" i="1"/>
  <c r="K282" i="1" s="1"/>
  <c r="J273" i="1"/>
  <c r="I273" i="1"/>
  <c r="H273" i="1"/>
  <c r="G273" i="1"/>
  <c r="F273" i="1"/>
  <c r="L273" i="1" s="1"/>
  <c r="E110" i="2" s="1"/>
  <c r="I269" i="1"/>
  <c r="I268" i="1"/>
  <c r="K268" i="1"/>
  <c r="H147" i="1"/>
  <c r="H148" i="1"/>
  <c r="H146" i="1"/>
  <c r="E80" i="2" s="1"/>
  <c r="F359" i="1"/>
  <c r="G359" i="1"/>
  <c r="H359" i="1"/>
  <c r="G455" i="1"/>
  <c r="J350" i="1"/>
  <c r="I350" i="1"/>
  <c r="F360" i="1" s="1"/>
  <c r="I354" i="1"/>
  <c r="G624" i="1"/>
  <c r="H352" i="1"/>
  <c r="H351" i="1"/>
  <c r="H354" i="1" s="1"/>
  <c r="H350" i="1"/>
  <c r="K352" i="1"/>
  <c r="K351" i="1"/>
  <c r="K350" i="1"/>
  <c r="G29" i="13" s="1"/>
  <c r="G352" i="1"/>
  <c r="G351" i="1"/>
  <c r="G350" i="1"/>
  <c r="L350" i="1" s="1"/>
  <c r="G354" i="1"/>
  <c r="F350" i="1"/>
  <c r="F354" i="1" s="1"/>
  <c r="F351" i="1"/>
  <c r="L351" i="1" s="1"/>
  <c r="F352" i="1"/>
  <c r="I351" i="1"/>
  <c r="G360" i="1"/>
  <c r="G361" i="1" s="1"/>
  <c r="J352" i="1"/>
  <c r="I352" i="1"/>
  <c r="H360" i="1" s="1"/>
  <c r="G642" i="1"/>
  <c r="J642" i="1" s="1"/>
  <c r="G150" i="1"/>
  <c r="G154" i="1" s="1"/>
  <c r="G161" i="1" s="1"/>
  <c r="G89" i="1"/>
  <c r="G103" i="1" s="1"/>
  <c r="G104" i="1" s="1"/>
  <c r="G185" i="1" s="1"/>
  <c r="G9" i="1"/>
  <c r="D9" i="2"/>
  <c r="D19" i="2" s="1"/>
  <c r="C37" i="10"/>
  <c r="C60" i="2"/>
  <c r="B2" i="13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L191" i="1"/>
  <c r="F6" i="13"/>
  <c r="G14" i="13"/>
  <c r="F15" i="13"/>
  <c r="G15" i="13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K301" i="1"/>
  <c r="K320" i="1"/>
  <c r="L270" i="1"/>
  <c r="L271" i="1"/>
  <c r="L274" i="1"/>
  <c r="E111" i="2" s="1"/>
  <c r="L275" i="1"/>
  <c r="E112" i="2" s="1"/>
  <c r="L277" i="1"/>
  <c r="L278" i="1"/>
  <c r="E115" i="2" s="1"/>
  <c r="L279" i="1"/>
  <c r="E116" i="2" s="1"/>
  <c r="L280" i="1"/>
  <c r="L289" i="1"/>
  <c r="L290" i="1"/>
  <c r="L292" i="1"/>
  <c r="L293" i="1"/>
  <c r="L294" i="1"/>
  <c r="L295" i="1"/>
  <c r="L296" i="1"/>
  <c r="E114" i="2" s="1"/>
  <c r="L297" i="1"/>
  <c r="L298" i="1"/>
  <c r="L299" i="1"/>
  <c r="L309" i="1"/>
  <c r="E104" i="2" s="1"/>
  <c r="L312" i="1"/>
  <c r="L313" i="1"/>
  <c r="L315" i="1"/>
  <c r="L316" i="1"/>
  <c r="L317" i="1"/>
  <c r="L318" i="1"/>
  <c r="E117" i="2" s="1"/>
  <c r="L326" i="1"/>
  <c r="L327" i="1"/>
  <c r="L252" i="1"/>
  <c r="C123" i="2" s="1"/>
  <c r="L253" i="1"/>
  <c r="L333" i="1"/>
  <c r="E123" i="2" s="1"/>
  <c r="L334" i="1"/>
  <c r="L247" i="1"/>
  <c r="L328" i="1"/>
  <c r="C10" i="13"/>
  <c r="C9" i="13"/>
  <c r="L353" i="1"/>
  <c r="B4" i="12"/>
  <c r="B40" i="12"/>
  <c r="C40" i="12"/>
  <c r="C31" i="12"/>
  <c r="C13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/>
  <c r="G51" i="2"/>
  <c r="G53" i="2"/>
  <c r="G54" i="2" s="1"/>
  <c r="G55" i="2" s="1"/>
  <c r="F2" i="11"/>
  <c r="C40" i="10"/>
  <c r="G52" i="1"/>
  <c r="D48" i="2"/>
  <c r="H52" i="1"/>
  <c r="I52" i="1"/>
  <c r="I104" i="1" s="1"/>
  <c r="F86" i="1"/>
  <c r="H71" i="1"/>
  <c r="E49" i="2" s="1"/>
  <c r="E54" i="2" s="1"/>
  <c r="H86" i="1"/>
  <c r="E50" i="2" s="1"/>
  <c r="H103" i="1"/>
  <c r="I103" i="1"/>
  <c r="J103" i="1"/>
  <c r="J104" i="1"/>
  <c r="J185" i="1" s="1"/>
  <c r="G113" i="1"/>
  <c r="G128" i="1"/>
  <c r="G132" i="1"/>
  <c r="H113" i="1"/>
  <c r="H132" i="1" s="1"/>
  <c r="H128" i="1"/>
  <c r="I113" i="1"/>
  <c r="I132" i="1"/>
  <c r="I128" i="1"/>
  <c r="J113" i="1"/>
  <c r="J128" i="1"/>
  <c r="J132" i="1" s="1"/>
  <c r="F139" i="1"/>
  <c r="C77" i="2" s="1"/>
  <c r="C83" i="2" s="1"/>
  <c r="F154" i="1"/>
  <c r="F161" i="1"/>
  <c r="G139" i="1"/>
  <c r="H139" i="1"/>
  <c r="I139" i="1"/>
  <c r="I154" i="1"/>
  <c r="I161" i="1" s="1"/>
  <c r="L242" i="1"/>
  <c r="C23" i="10" s="1"/>
  <c r="L324" i="1"/>
  <c r="E105" i="2" s="1"/>
  <c r="L246" i="1"/>
  <c r="C24" i="10" s="1"/>
  <c r="C25" i="10"/>
  <c r="L260" i="1"/>
  <c r="C26" i="10" s="1"/>
  <c r="L261" i="1"/>
  <c r="C135" i="2" s="1"/>
  <c r="L341" i="1"/>
  <c r="L342" i="1"/>
  <c r="I655" i="1"/>
  <c r="I660" i="1"/>
  <c r="I659" i="1"/>
  <c r="C42" i="10"/>
  <c r="L366" i="1"/>
  <c r="L367" i="1"/>
  <c r="L368" i="1"/>
  <c r="L369" i="1"/>
  <c r="L370" i="1"/>
  <c r="L371" i="1"/>
  <c r="L372" i="1"/>
  <c r="B2" i="10"/>
  <c r="L337" i="1"/>
  <c r="E127" i="2" s="1"/>
  <c r="L338" i="1"/>
  <c r="E129" i="2" s="1"/>
  <c r="L339" i="1"/>
  <c r="L526" i="1"/>
  <c r="K262" i="1"/>
  <c r="J262" i="1"/>
  <c r="I262" i="1"/>
  <c r="H262" i="1"/>
  <c r="G262" i="1"/>
  <c r="L262" i="1" s="1"/>
  <c r="F262" i="1"/>
  <c r="C124" i="2"/>
  <c r="A1" i="2"/>
  <c r="A2" i="2"/>
  <c r="C9" i="2"/>
  <c r="C19" i="2" s="1"/>
  <c r="C11" i="2"/>
  <c r="C13" i="2"/>
  <c r="C16" i="2"/>
  <c r="C18" i="2"/>
  <c r="E9" i="2"/>
  <c r="F9" i="2"/>
  <c r="F19" i="2" s="1"/>
  <c r="I431" i="1"/>
  <c r="J9" i="1" s="1"/>
  <c r="G9" i="2" s="1"/>
  <c r="D10" i="2"/>
  <c r="E10" i="2"/>
  <c r="E19" i="2" s="1"/>
  <c r="F10" i="2"/>
  <c r="I432" i="1"/>
  <c r="J10" i="1" s="1"/>
  <c r="D12" i="2"/>
  <c r="E12" i="2"/>
  <c r="E13" i="2"/>
  <c r="E14" i="2"/>
  <c r="E16" i="2"/>
  <c r="E17" i="2"/>
  <c r="E18" i="2"/>
  <c r="F12" i="2"/>
  <c r="I433" i="1"/>
  <c r="J12" i="1" s="1"/>
  <c r="G12" i="2" s="1"/>
  <c r="D13" i="2"/>
  <c r="F13" i="2"/>
  <c r="I434" i="1"/>
  <c r="J13" i="1" s="1"/>
  <c r="G13" i="2" s="1"/>
  <c r="D14" i="2"/>
  <c r="F14" i="2"/>
  <c r="I435" i="1"/>
  <c r="J14" i="1"/>
  <c r="G14" i="2"/>
  <c r="F15" i="2"/>
  <c r="D16" i="2"/>
  <c r="F16" i="2"/>
  <c r="D17" i="2"/>
  <c r="F17" i="2"/>
  <c r="F18" i="2"/>
  <c r="I436" i="1"/>
  <c r="J17" i="1" s="1"/>
  <c r="G17" i="2" s="1"/>
  <c r="D18" i="2"/>
  <c r="I437" i="1"/>
  <c r="J18" i="1"/>
  <c r="G18" i="2" s="1"/>
  <c r="D22" i="2"/>
  <c r="F22" i="2"/>
  <c r="F23" i="2"/>
  <c r="F24" i="2"/>
  <c r="F25" i="2"/>
  <c r="F26" i="2"/>
  <c r="F27" i="2"/>
  <c r="F28" i="2"/>
  <c r="F29" i="2"/>
  <c r="F30" i="2"/>
  <c r="F31" i="2"/>
  <c r="F32" i="2" s="1"/>
  <c r="I440" i="1"/>
  <c r="J23" i="1"/>
  <c r="G22" i="2" s="1"/>
  <c r="G32" i="2" s="1"/>
  <c r="D23" i="2"/>
  <c r="D24" i="2"/>
  <c r="D25" i="2"/>
  <c r="D28" i="2"/>
  <c r="D32" i="2" s="1"/>
  <c r="D29" i="2"/>
  <c r="D30" i="2"/>
  <c r="D31" i="2"/>
  <c r="I441" i="1"/>
  <c r="J24" i="1" s="1"/>
  <c r="G23" i="2" s="1"/>
  <c r="I442" i="1"/>
  <c r="J25" i="1" s="1"/>
  <c r="G24" i="2" s="1"/>
  <c r="G31" i="2"/>
  <c r="I443" i="1"/>
  <c r="J32" i="1"/>
  <c r="C34" i="2"/>
  <c r="C35" i="2"/>
  <c r="C36" i="2"/>
  <c r="C37" i="2"/>
  <c r="C38" i="2"/>
  <c r="C40" i="2"/>
  <c r="D34" i="2"/>
  <c r="E34" i="2"/>
  <c r="F34" i="2"/>
  <c r="F35" i="2"/>
  <c r="F36" i="2"/>
  <c r="F37" i="2"/>
  <c r="F38" i="2"/>
  <c r="F40" i="2"/>
  <c r="F41" i="2"/>
  <c r="D35" i="2"/>
  <c r="E35" i="2"/>
  <c r="E36" i="2"/>
  <c r="E37" i="2"/>
  <c r="E38" i="2"/>
  <c r="E42" i="2" s="1"/>
  <c r="E40" i="2"/>
  <c r="E41" i="2"/>
  <c r="D36" i="2"/>
  <c r="I446" i="1"/>
  <c r="J37" i="1"/>
  <c r="D37" i="2"/>
  <c r="I447" i="1"/>
  <c r="J38" i="1" s="1"/>
  <c r="D38" i="2"/>
  <c r="I448" i="1"/>
  <c r="D41" i="2"/>
  <c r="E51" i="2"/>
  <c r="E53" i="2"/>
  <c r="F48" i="2"/>
  <c r="D51" i="2"/>
  <c r="D54" i="2" s="1"/>
  <c r="D55" i="2" s="1"/>
  <c r="D52" i="2"/>
  <c r="D53" i="2"/>
  <c r="D71" i="2"/>
  <c r="D69" i="2"/>
  <c r="D70" i="2"/>
  <c r="D73" i="2" s="1"/>
  <c r="D61" i="2"/>
  <c r="D62" i="2" s="1"/>
  <c r="D77" i="2"/>
  <c r="D83" i="2" s="1"/>
  <c r="D80" i="2"/>
  <c r="D81" i="2"/>
  <c r="D88" i="2"/>
  <c r="D95" i="2" s="1"/>
  <c r="D89" i="2"/>
  <c r="D90" i="2"/>
  <c r="D91" i="2"/>
  <c r="D92" i="2"/>
  <c r="D93" i="2"/>
  <c r="D94" i="2"/>
  <c r="F51" i="2"/>
  <c r="F54" i="2" s="1"/>
  <c r="F55" i="2" s="1"/>
  <c r="F53" i="2"/>
  <c r="C58" i="2"/>
  <c r="C59" i="2"/>
  <c r="C61" i="2"/>
  <c r="C62" i="2"/>
  <c r="E61" i="2"/>
  <c r="E62" i="2" s="1"/>
  <c r="F61" i="2"/>
  <c r="G61" i="2"/>
  <c r="G62" i="2"/>
  <c r="G73" i="2" s="1"/>
  <c r="F62" i="2"/>
  <c r="C64" i="2"/>
  <c r="C70" i="2" s="1"/>
  <c r="F64" i="2"/>
  <c r="F70" i="2" s="1"/>
  <c r="F73" i="2" s="1"/>
  <c r="C65" i="2"/>
  <c r="C66" i="2"/>
  <c r="C67" i="2"/>
  <c r="C68" i="2"/>
  <c r="C69" i="2"/>
  <c r="F65" i="2"/>
  <c r="E68" i="2"/>
  <c r="E70" i="2" s="1"/>
  <c r="E73" i="2" s="1"/>
  <c r="F68" i="2"/>
  <c r="F69" i="2"/>
  <c r="E69" i="2"/>
  <c r="E71" i="2"/>
  <c r="E72" i="2"/>
  <c r="G69" i="2"/>
  <c r="G70" i="2"/>
  <c r="C71" i="2"/>
  <c r="C72" i="2"/>
  <c r="E77" i="2"/>
  <c r="C79" i="2"/>
  <c r="C80" i="2"/>
  <c r="C81" i="2"/>
  <c r="C82" i="2"/>
  <c r="E79" i="2"/>
  <c r="F79" i="2"/>
  <c r="F80" i="2"/>
  <c r="E81" i="2"/>
  <c r="E83" i="2"/>
  <c r="F81" i="2"/>
  <c r="C85" i="2"/>
  <c r="C95" i="2" s="1"/>
  <c r="C86" i="2"/>
  <c r="C89" i="2"/>
  <c r="C90" i="2"/>
  <c r="C91" i="2"/>
  <c r="C92" i="2"/>
  <c r="C93" i="2"/>
  <c r="C94" i="2"/>
  <c r="F85" i="2"/>
  <c r="F86" i="2"/>
  <c r="F95" i="2" s="1"/>
  <c r="F88" i="2"/>
  <c r="F89" i="2"/>
  <c r="F91" i="2"/>
  <c r="F92" i="2"/>
  <c r="F93" i="2"/>
  <c r="F94" i="2"/>
  <c r="E88" i="2"/>
  <c r="G88" i="2"/>
  <c r="E89" i="2"/>
  <c r="G89" i="2"/>
  <c r="G90" i="2"/>
  <c r="G95" i="2" s="1"/>
  <c r="E90" i="2"/>
  <c r="E91" i="2"/>
  <c r="E95" i="2" s="1"/>
  <c r="E92" i="2"/>
  <c r="E93" i="2"/>
  <c r="E94" i="2"/>
  <c r="C105" i="2"/>
  <c r="D107" i="2"/>
  <c r="F107" i="2"/>
  <c r="G107" i="2"/>
  <c r="C117" i="2"/>
  <c r="F120" i="2"/>
  <c r="G120" i="2"/>
  <c r="C122" i="2"/>
  <c r="D126" i="2"/>
  <c r="D136" i="2" s="1"/>
  <c r="F126" i="2"/>
  <c r="K411" i="1"/>
  <c r="K419" i="1"/>
  <c r="K426" i="1" s="1"/>
  <c r="G126" i="2" s="1"/>
  <c r="G136" i="2" s="1"/>
  <c r="G137" i="2" s="1"/>
  <c r="K425" i="1"/>
  <c r="L255" i="1"/>
  <c r="C127" i="2" s="1"/>
  <c r="L256" i="1"/>
  <c r="C128" i="2" s="1"/>
  <c r="L257" i="1"/>
  <c r="C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G149" i="2" s="1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 s="1"/>
  <c r="G490" i="1"/>
  <c r="C153" i="2" s="1"/>
  <c r="H490" i="1"/>
  <c r="D153" i="2" s="1"/>
  <c r="I490" i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 s="1"/>
  <c r="F493" i="1"/>
  <c r="G493" i="1"/>
  <c r="K493" i="1" s="1"/>
  <c r="H493" i="1"/>
  <c r="D156" i="2" s="1"/>
  <c r="I493" i="1"/>
  <c r="E156" i="2" s="1"/>
  <c r="J493" i="1"/>
  <c r="F156" i="2"/>
  <c r="H19" i="1"/>
  <c r="I19" i="1"/>
  <c r="G610" i="1" s="1"/>
  <c r="J610" i="1" s="1"/>
  <c r="G33" i="1"/>
  <c r="I33" i="1"/>
  <c r="H43" i="1"/>
  <c r="G614" i="1" s="1"/>
  <c r="I43" i="1"/>
  <c r="I44" i="1"/>
  <c r="H610" i="1" s="1"/>
  <c r="F169" i="1"/>
  <c r="I169" i="1"/>
  <c r="F175" i="1"/>
  <c r="F184" i="1" s="1"/>
  <c r="H175" i="1"/>
  <c r="I175" i="1"/>
  <c r="J175" i="1"/>
  <c r="J184" i="1"/>
  <c r="F180" i="1"/>
  <c r="G180" i="1"/>
  <c r="H180" i="1"/>
  <c r="H184" i="1"/>
  <c r="I180" i="1"/>
  <c r="I184" i="1" s="1"/>
  <c r="F248" i="1"/>
  <c r="G248" i="1"/>
  <c r="H248" i="1"/>
  <c r="I248" i="1"/>
  <c r="J248" i="1"/>
  <c r="L248" i="1" s="1"/>
  <c r="K248" i="1"/>
  <c r="J329" i="1"/>
  <c r="K329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H400" i="1" s="1"/>
  <c r="H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4" i="1"/>
  <c r="L419" i="1"/>
  <c r="L415" i="1"/>
  <c r="L416" i="1"/>
  <c r="L417" i="1"/>
  <c r="L418" i="1"/>
  <c r="F419" i="1"/>
  <c r="F426" i="1" s="1"/>
  <c r="G419" i="1"/>
  <c r="H419" i="1"/>
  <c r="I419" i="1"/>
  <c r="J419" i="1"/>
  <c r="L421" i="1"/>
  <c r="L422" i="1"/>
  <c r="L425" i="1"/>
  <c r="L423" i="1"/>
  <c r="L424" i="1"/>
  <c r="F425" i="1"/>
  <c r="G425" i="1"/>
  <c r="H425" i="1"/>
  <c r="H426" i="1" s="1"/>
  <c r="I425" i="1"/>
  <c r="J425" i="1"/>
  <c r="F438" i="1"/>
  <c r="G629" i="1"/>
  <c r="G438" i="1"/>
  <c r="G630" i="1" s="1"/>
  <c r="H438" i="1"/>
  <c r="G631" i="1"/>
  <c r="J631" i="1"/>
  <c r="F444" i="1"/>
  <c r="F449" i="1" s="1"/>
  <c r="I449" i="1" s="1"/>
  <c r="J41" i="1" s="1"/>
  <c r="G40" i="2" s="1"/>
  <c r="G444" i="1"/>
  <c r="G451" i="1" s="1"/>
  <c r="H630" i="1" s="1"/>
  <c r="H444" i="1"/>
  <c r="G450" i="1"/>
  <c r="H450" i="1"/>
  <c r="H451" i="1" s="1"/>
  <c r="H631" i="1" s="1"/>
  <c r="I460" i="1"/>
  <c r="I466" i="1" s="1"/>
  <c r="H615" i="1" s="1"/>
  <c r="J615" i="1" s="1"/>
  <c r="K485" i="1"/>
  <c r="K486" i="1"/>
  <c r="K487" i="1"/>
  <c r="K488" i="1"/>
  <c r="K489" i="1"/>
  <c r="K491" i="1"/>
  <c r="K492" i="1"/>
  <c r="F507" i="1"/>
  <c r="G507" i="1"/>
  <c r="H507" i="1"/>
  <c r="I507" i="1"/>
  <c r="J514" i="1"/>
  <c r="J519" i="1"/>
  <c r="I524" i="1"/>
  <c r="J524" i="1"/>
  <c r="K524" i="1"/>
  <c r="F529" i="1"/>
  <c r="G529" i="1"/>
  <c r="I529" i="1"/>
  <c r="J529" i="1"/>
  <c r="K529" i="1"/>
  <c r="F534" i="1"/>
  <c r="G534" i="1"/>
  <c r="I534" i="1"/>
  <c r="J534" i="1"/>
  <c r="K534" i="1"/>
  <c r="L547" i="1"/>
  <c r="L548" i="1"/>
  <c r="L549" i="1"/>
  <c r="F550" i="1"/>
  <c r="G550" i="1"/>
  <c r="H550" i="1"/>
  <c r="H561" i="1" s="1"/>
  <c r="I550" i="1"/>
  <c r="J550" i="1"/>
  <c r="K550" i="1"/>
  <c r="L550" i="1"/>
  <c r="J555" i="1"/>
  <c r="J561" i="1" s="1"/>
  <c r="K555" i="1"/>
  <c r="L557" i="1"/>
  <c r="L558" i="1"/>
  <c r="L559" i="1"/>
  <c r="L560" i="1" s="1"/>
  <c r="F560" i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5" i="1"/>
  <c r="K586" i="1"/>
  <c r="K587" i="1"/>
  <c r="K592" i="1"/>
  <c r="K593" i="1"/>
  <c r="J604" i="1"/>
  <c r="K604" i="1"/>
  <c r="G609" i="1"/>
  <c r="H620" i="1"/>
  <c r="G633" i="1"/>
  <c r="G634" i="1"/>
  <c r="G635" i="1"/>
  <c r="H642" i="1"/>
  <c r="G643" i="1"/>
  <c r="H643" i="1"/>
  <c r="J643" i="1" s="1"/>
  <c r="G644" i="1"/>
  <c r="J644" i="1" s="1"/>
  <c r="H644" i="1"/>
  <c r="G645" i="1"/>
  <c r="J645" i="1" s="1"/>
  <c r="H645" i="1"/>
  <c r="G615" i="1"/>
  <c r="F77" i="2"/>
  <c r="F83" i="2" s="1"/>
  <c r="G19" i="1"/>
  <c r="G608" i="1"/>
  <c r="K354" i="1"/>
  <c r="L352" i="1"/>
  <c r="F29" i="13"/>
  <c r="J354" i="1"/>
  <c r="G175" i="1"/>
  <c r="G184" i="1"/>
  <c r="F301" i="1"/>
  <c r="H282" i="1"/>
  <c r="F282" i="1"/>
  <c r="H33" i="1"/>
  <c r="H44" i="1" s="1"/>
  <c r="H609" i="1" s="1"/>
  <c r="G36" i="2"/>
  <c r="F31" i="13"/>
  <c r="H301" i="1"/>
  <c r="H320" i="1"/>
  <c r="H330" i="1" s="1"/>
  <c r="H344" i="1" s="1"/>
  <c r="L288" i="1"/>
  <c r="L301" i="1" s="1"/>
  <c r="F22" i="13"/>
  <c r="C22" i="13"/>
  <c r="E16" i="13"/>
  <c r="C16" i="13" s="1"/>
  <c r="G41" i="1"/>
  <c r="G43" i="1" s="1"/>
  <c r="K343" i="1"/>
  <c r="G320" i="1"/>
  <c r="D40" i="2"/>
  <c r="L213" i="1"/>
  <c r="L210" i="1"/>
  <c r="H25" i="13"/>
  <c r="H33" i="13" s="1"/>
  <c r="L200" i="1"/>
  <c r="F652" i="1" s="1"/>
  <c r="G641" i="1"/>
  <c r="J641" i="1" s="1"/>
  <c r="H652" i="1"/>
  <c r="L195" i="1"/>
  <c r="L199" i="1"/>
  <c r="D14" i="13" s="1"/>
  <c r="C14" i="13" s="1"/>
  <c r="L230" i="1"/>
  <c r="G639" i="1"/>
  <c r="J639" i="1" s="1"/>
  <c r="C25" i="13"/>
  <c r="K584" i="1"/>
  <c r="I588" i="1"/>
  <c r="H640" i="1" s="1"/>
  <c r="H534" i="1"/>
  <c r="H529" i="1"/>
  <c r="I519" i="1"/>
  <c r="F519" i="1"/>
  <c r="L517" i="1"/>
  <c r="G540" i="1" s="1"/>
  <c r="H519" i="1"/>
  <c r="L522" i="1"/>
  <c r="H540" i="1"/>
  <c r="L521" i="1"/>
  <c r="H539" i="1"/>
  <c r="I514" i="1"/>
  <c r="I535" i="1" s="1"/>
  <c r="F514" i="1"/>
  <c r="L207" i="1"/>
  <c r="I221" i="1"/>
  <c r="G208" i="1"/>
  <c r="B18" i="12"/>
  <c r="A22" i="12" s="1"/>
  <c r="L208" i="1"/>
  <c r="H604" i="1"/>
  <c r="F604" i="1"/>
  <c r="F103" i="1"/>
  <c r="J203" i="1"/>
  <c r="H594" i="1" s="1"/>
  <c r="F8" i="13"/>
  <c r="C115" i="2"/>
  <c r="F33" i="1"/>
  <c r="F19" i="1"/>
  <c r="G607" i="1" s="1"/>
  <c r="G400" i="1"/>
  <c r="H635" i="1" s="1"/>
  <c r="J635" i="1" s="1"/>
  <c r="F450" i="1"/>
  <c r="F451" i="1"/>
  <c r="H629" i="1" s="1"/>
  <c r="J629" i="1" s="1"/>
  <c r="I444" i="1"/>
  <c r="H626" i="1"/>
  <c r="G10" i="2"/>
  <c r="J19" i="1"/>
  <c r="G611" i="1" s="1"/>
  <c r="B156" i="2"/>
  <c r="B22" i="12"/>
  <c r="B13" i="12"/>
  <c r="F96" i="2"/>
  <c r="C73" i="2"/>
  <c r="H595" i="1" l="1"/>
  <c r="C10" i="10"/>
  <c r="F361" i="1"/>
  <c r="I360" i="1"/>
  <c r="E120" i="2"/>
  <c r="G221" i="1"/>
  <c r="G555" i="1"/>
  <c r="G561" i="1"/>
  <c r="D42" i="2"/>
  <c r="D43" i="2" s="1"/>
  <c r="G19" i="2"/>
  <c r="G96" i="2"/>
  <c r="G458" i="1"/>
  <c r="G618" i="1"/>
  <c r="I450" i="1"/>
  <c r="I451" i="1" s="1"/>
  <c r="H632" i="1" s="1"/>
  <c r="J40" i="1"/>
  <c r="G39" i="2" s="1"/>
  <c r="G636" i="1"/>
  <c r="J458" i="1"/>
  <c r="G37" i="2"/>
  <c r="G42" i="2" s="1"/>
  <c r="G43" i="2" s="1"/>
  <c r="H361" i="1"/>
  <c r="C35" i="10"/>
  <c r="F104" i="1"/>
  <c r="F185" i="1" s="1"/>
  <c r="C48" i="2"/>
  <c r="C55" i="2" s="1"/>
  <c r="C96" i="2" s="1"/>
  <c r="G239" i="1"/>
  <c r="I249" i="1"/>
  <c r="I263" i="1" s="1"/>
  <c r="H535" i="1"/>
  <c r="J462" i="1"/>
  <c r="L426" i="1"/>
  <c r="G628" i="1" s="1"/>
  <c r="K330" i="1"/>
  <c r="K344" i="1" s="1"/>
  <c r="G31" i="13"/>
  <c r="H651" i="1"/>
  <c r="J630" i="1"/>
  <c r="L374" i="1"/>
  <c r="G626" i="1" s="1"/>
  <c r="J626" i="1" s="1"/>
  <c r="C29" i="10"/>
  <c r="F122" i="2"/>
  <c r="F136" i="2" s="1"/>
  <c r="F137" i="2" s="1"/>
  <c r="G621" i="1"/>
  <c r="I652" i="1"/>
  <c r="L529" i="1"/>
  <c r="I539" i="1"/>
  <c r="I542" i="1" s="1"/>
  <c r="G652" i="1"/>
  <c r="G640" i="1"/>
  <c r="J640" i="1" s="1"/>
  <c r="C103" i="2"/>
  <c r="G542" i="1"/>
  <c r="H542" i="1"/>
  <c r="L343" i="1"/>
  <c r="J634" i="1"/>
  <c r="J535" i="1"/>
  <c r="D96" i="2"/>
  <c r="I185" i="1"/>
  <c r="G620" i="1" s="1"/>
  <c r="J620" i="1" s="1"/>
  <c r="I330" i="1"/>
  <c r="I344" i="1" s="1"/>
  <c r="L523" i="1"/>
  <c r="H541" i="1" s="1"/>
  <c r="L519" i="1"/>
  <c r="L524" i="1"/>
  <c r="G44" i="1"/>
  <c r="H608" i="1" s="1"/>
  <c r="J608" i="1" s="1"/>
  <c r="G613" i="1"/>
  <c r="J633" i="1"/>
  <c r="K490" i="1"/>
  <c r="E153" i="2"/>
  <c r="G153" i="2" s="1"/>
  <c r="F42" i="2"/>
  <c r="F43" i="2" s="1"/>
  <c r="H104" i="1"/>
  <c r="H185" i="1" s="1"/>
  <c r="G33" i="13"/>
  <c r="L511" i="1"/>
  <c r="E43" i="2"/>
  <c r="L400" i="1"/>
  <c r="C130" i="2"/>
  <c r="C133" i="2" s="1"/>
  <c r="G651" i="1"/>
  <c r="F33" i="13"/>
  <c r="L512" i="1"/>
  <c r="F540" i="1" s="1"/>
  <c r="K540" i="1" s="1"/>
  <c r="K535" i="1"/>
  <c r="K588" i="1"/>
  <c r="G637" i="1" s="1"/>
  <c r="J594" i="1"/>
  <c r="J595" i="1" s="1"/>
  <c r="F651" i="1"/>
  <c r="I651" i="1" s="1"/>
  <c r="D29" i="13"/>
  <c r="C29" i="13" s="1"/>
  <c r="D119" i="2"/>
  <c r="D120" i="2" s="1"/>
  <c r="D137" i="2" s="1"/>
  <c r="L354" i="1"/>
  <c r="F42" i="1"/>
  <c r="C41" i="2" s="1"/>
  <c r="C42" i="2" s="1"/>
  <c r="C43" i="2" s="1"/>
  <c r="J609" i="1"/>
  <c r="J330" i="1"/>
  <c r="J344" i="1" s="1"/>
  <c r="D6" i="13"/>
  <c r="C6" i="13" s="1"/>
  <c r="C15" i="10"/>
  <c r="L534" i="1"/>
  <c r="G523" i="1"/>
  <c r="G524" i="1" s="1"/>
  <c r="J33" i="1"/>
  <c r="H203" i="1"/>
  <c r="H249" i="1" s="1"/>
  <c r="H263" i="1" s="1"/>
  <c r="F239" i="1"/>
  <c r="F524" i="1"/>
  <c r="F535" i="1" s="1"/>
  <c r="L215" i="1"/>
  <c r="H154" i="1"/>
  <c r="H161" i="1" s="1"/>
  <c r="C39" i="10" s="1"/>
  <c r="K203" i="1"/>
  <c r="K249" i="1" s="1"/>
  <c r="K263" i="1" s="1"/>
  <c r="G231" i="1"/>
  <c r="L231" i="1" s="1"/>
  <c r="G196" i="1"/>
  <c r="L196" i="1" s="1"/>
  <c r="G203" i="1"/>
  <c r="G249" i="1" s="1"/>
  <c r="G263" i="1" s="1"/>
  <c r="C20" i="10"/>
  <c r="C21" i="10"/>
  <c r="I359" i="1"/>
  <c r="C106" i="2"/>
  <c r="G512" i="1"/>
  <c r="G514" i="1" s="1"/>
  <c r="G535" i="1" s="1"/>
  <c r="J221" i="1"/>
  <c r="I594" i="1" s="1"/>
  <c r="I595" i="1" s="1"/>
  <c r="I438" i="1"/>
  <c r="G632" i="1" s="1"/>
  <c r="L225" i="1"/>
  <c r="C9" i="12"/>
  <c r="L513" i="1"/>
  <c r="F541" i="1" s="1"/>
  <c r="K541" i="1" s="1"/>
  <c r="G519" i="1"/>
  <c r="H637" i="1"/>
  <c r="L212" i="1"/>
  <c r="L221" i="1" s="1"/>
  <c r="G650" i="1" s="1"/>
  <c r="C32" i="10"/>
  <c r="C156" i="2"/>
  <c r="G156" i="2" s="1"/>
  <c r="E48" i="2"/>
  <c r="E55" i="2" s="1"/>
  <c r="E96" i="2" s="1"/>
  <c r="D15" i="13"/>
  <c r="C15" i="13" s="1"/>
  <c r="L192" i="1"/>
  <c r="L197" i="1"/>
  <c r="G227" i="1"/>
  <c r="L227" i="1" s="1"/>
  <c r="C19" i="10"/>
  <c r="B36" i="12"/>
  <c r="A40" i="12" s="1"/>
  <c r="F203" i="1"/>
  <c r="L190" i="1"/>
  <c r="B9" i="12"/>
  <c r="A13" i="12" s="1"/>
  <c r="C116" i="2"/>
  <c r="C27" i="12"/>
  <c r="A31" i="12" s="1"/>
  <c r="L268" i="1"/>
  <c r="L552" i="1"/>
  <c r="L555" i="1" s="1"/>
  <c r="L561" i="1" s="1"/>
  <c r="L308" i="1"/>
  <c r="E103" i="2" s="1"/>
  <c r="F221" i="1"/>
  <c r="F555" i="1"/>
  <c r="F561" i="1" s="1"/>
  <c r="G601" i="1"/>
  <c r="G604" i="1" s="1"/>
  <c r="J539" i="1"/>
  <c r="J542" i="1" s="1"/>
  <c r="C114" i="2"/>
  <c r="F329" i="1"/>
  <c r="L329" i="1" s="1"/>
  <c r="D7" i="13" l="1"/>
  <c r="C7" i="13" s="1"/>
  <c r="C16" i="10"/>
  <c r="C111" i="2"/>
  <c r="C112" i="2"/>
  <c r="C17" i="10"/>
  <c r="E8" i="13"/>
  <c r="D39" i="10"/>
  <c r="G460" i="1"/>
  <c r="H618" i="1"/>
  <c r="G627" i="1"/>
  <c r="H636" i="1"/>
  <c r="J43" i="1"/>
  <c r="C110" i="2"/>
  <c r="C102" i="2"/>
  <c r="C11" i="10"/>
  <c r="L203" i="1"/>
  <c r="F249" i="1"/>
  <c r="F263" i="1" s="1"/>
  <c r="C136" i="2"/>
  <c r="C12" i="10"/>
  <c r="L239" i="1"/>
  <c r="H650" i="1" s="1"/>
  <c r="H654" i="1" s="1"/>
  <c r="J637" i="1"/>
  <c r="F539" i="1"/>
  <c r="L514" i="1"/>
  <c r="L535" i="1" s="1"/>
  <c r="L320" i="1"/>
  <c r="H621" i="1"/>
  <c r="J621" i="1" s="1"/>
  <c r="H627" i="1"/>
  <c r="J460" i="1"/>
  <c r="J466" i="1" s="1"/>
  <c r="H616" i="1" s="1"/>
  <c r="C28" i="10"/>
  <c r="D19" i="10" s="1"/>
  <c r="F330" i="1"/>
  <c r="F344" i="1" s="1"/>
  <c r="E101" i="2"/>
  <c r="E107" i="2" s="1"/>
  <c r="E137" i="2" s="1"/>
  <c r="L282" i="1"/>
  <c r="J249" i="1"/>
  <c r="C36" i="10"/>
  <c r="C41" i="10"/>
  <c r="D35" i="10"/>
  <c r="J632" i="1"/>
  <c r="J636" i="1"/>
  <c r="H458" i="1"/>
  <c r="G619" i="1"/>
  <c r="F458" i="1"/>
  <c r="G617" i="1"/>
  <c r="D5" i="13"/>
  <c r="H653" i="1"/>
  <c r="F43" i="1"/>
  <c r="G653" i="1"/>
  <c r="G654" i="1" s="1"/>
  <c r="C13" i="10"/>
  <c r="C104" i="2"/>
  <c r="I361" i="1"/>
  <c r="H624" i="1" s="1"/>
  <c r="J624" i="1" s="1"/>
  <c r="H628" i="1"/>
  <c r="J628" i="1" s="1"/>
  <c r="J464" i="1"/>
  <c r="C101" i="2"/>
  <c r="D12" i="13"/>
  <c r="C12" i="13" s="1"/>
  <c r="C113" i="2"/>
  <c r="C18" i="10"/>
  <c r="L601" i="1"/>
  <c r="G462" i="1"/>
  <c r="C27" i="10"/>
  <c r="G625" i="1"/>
  <c r="J618" i="1"/>
  <c r="K594" i="1"/>
  <c r="K595" i="1" s="1"/>
  <c r="G638" i="1" s="1"/>
  <c r="G657" i="1" l="1"/>
  <c r="G662" i="1"/>
  <c r="C5" i="10" s="1"/>
  <c r="D21" i="10"/>
  <c r="D11" i="10"/>
  <c r="H625" i="1"/>
  <c r="G464" i="1"/>
  <c r="G466" i="1" s="1"/>
  <c r="H613" i="1" s="1"/>
  <c r="J613" i="1" s="1"/>
  <c r="H638" i="1"/>
  <c r="J638" i="1" s="1"/>
  <c r="J263" i="1"/>
  <c r="J627" i="1"/>
  <c r="C5" i="13"/>
  <c r="H657" i="1"/>
  <c r="H662" i="1"/>
  <c r="C6" i="10" s="1"/>
  <c r="C107" i="2"/>
  <c r="J617" i="1"/>
  <c r="D12" i="10"/>
  <c r="D31" i="13"/>
  <c r="C31" i="13" s="1"/>
  <c r="L330" i="1"/>
  <c r="L344" i="1" s="1"/>
  <c r="D15" i="10"/>
  <c r="H617" i="1"/>
  <c r="F460" i="1"/>
  <c r="H619" i="1"/>
  <c r="H460" i="1"/>
  <c r="D10" i="10"/>
  <c r="F650" i="1"/>
  <c r="L249" i="1"/>
  <c r="L263" i="1" s="1"/>
  <c r="C120" i="2"/>
  <c r="J619" i="1"/>
  <c r="D17" i="10"/>
  <c r="L604" i="1"/>
  <c r="F653" i="1"/>
  <c r="I653" i="1" s="1"/>
  <c r="D16" i="10"/>
  <c r="D22" i="10"/>
  <c r="C30" i="10"/>
  <c r="D25" i="10"/>
  <c r="D23" i="10"/>
  <c r="D24" i="10"/>
  <c r="D26" i="10"/>
  <c r="J625" i="1"/>
  <c r="D27" i="10"/>
  <c r="D13" i="10"/>
  <c r="D20" i="10"/>
  <c r="G612" i="1"/>
  <c r="F44" i="1"/>
  <c r="H607" i="1" s="1"/>
  <c r="J607" i="1" s="1"/>
  <c r="E33" i="13"/>
  <c r="D35" i="13" s="1"/>
  <c r="C8" i="13"/>
  <c r="D40" i="10"/>
  <c r="D37" i="10"/>
  <c r="D38" i="10"/>
  <c r="D36" i="10"/>
  <c r="D41" i="10" s="1"/>
  <c r="G616" i="1"/>
  <c r="J616" i="1" s="1"/>
  <c r="J44" i="1"/>
  <c r="H611" i="1" s="1"/>
  <c r="J611" i="1" s="1"/>
  <c r="D18" i="10"/>
  <c r="F542" i="1"/>
  <c r="K539" i="1"/>
  <c r="K542" i="1" s="1"/>
  <c r="H462" i="1" l="1"/>
  <c r="G623" i="1"/>
  <c r="D33" i="13"/>
  <c r="D36" i="13" s="1"/>
  <c r="G622" i="1"/>
  <c r="F462" i="1"/>
  <c r="F654" i="1"/>
  <c r="I650" i="1"/>
  <c r="I654" i="1" s="1"/>
  <c r="C137" i="2"/>
  <c r="D28" i="10"/>
  <c r="F657" i="1" l="1"/>
  <c r="F662" i="1"/>
  <c r="C4" i="10" s="1"/>
  <c r="I657" i="1"/>
  <c r="I662" i="1"/>
  <c r="C7" i="10" s="1"/>
  <c r="F464" i="1"/>
  <c r="F466" i="1" s="1"/>
  <c r="H612" i="1" s="1"/>
  <c r="J612" i="1" s="1"/>
  <c r="H622" i="1"/>
  <c r="J622" i="1" s="1"/>
  <c r="H623" i="1"/>
  <c r="J623" i="1" s="1"/>
  <c r="H464" i="1"/>
  <c r="H466" i="1" s="1"/>
  <c r="H614" i="1" s="1"/>
  <c r="J614" i="1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9C7FDD0-A0F0-4B50-A4D7-863337339C0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5457778-F6CB-4925-A7E6-480E8CA419B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1E49B63-9E84-4504-8710-9944D2AC506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4E97CA4-2A15-46CC-964C-17180DC4CBB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BE31594-1575-4BC2-BAB6-FA1DC618A9F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0EF936A-7CC2-4D1E-BCC1-04848C3BB4C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7EB5A69-429E-40A0-9927-FD4A8FBA911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D427D3E-D87E-4DA9-9E81-F678AF59AC8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618DD11-B6FB-49E9-B5B9-ED3AF5E21A6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D678268-988E-4ED3-9C22-0A899C1E8FA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3402436-84B3-4814-BA38-A080203658F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204893F-2C09-4B64-A1EB-8F7DD01A7DB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<sst xmlns="http://schemas.openxmlformats.org/spreadsheetml/2006/main" count="3862" uniqueCount="899">
  <si>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</si>
  <si>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</si>
  <si>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</si>
  <si>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</si>
  <si>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</si>
  <si>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</si>
  <si>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</si>
  <si>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</si>
  <si>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</si>
  <si>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</si>
  <si>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</si>
  <si>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</si>
  <si>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</si>
  <si>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</si>
  <si>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</si>
  <si>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</si>
  <si>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</si>
  <si>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</si>
  <si>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</si>
  <si>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</si>
  <si>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</si>
  <si>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</si>
  <si>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</si>
  <si>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</si>
  <si>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</si>
  <si>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</si>
  <si>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</si>
  <si>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</si>
  <si>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</si>
  <si>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</si>
  <si>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</si>
  <si>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</si>
  <si>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</si>
  <si>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</si>
  <si>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</si>
  <si>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</si>
  <si>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</si>
  <si>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</si>
  <si>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</si>
  <si>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</si>
  <si>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</si>
  <si>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</si>
  <si>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</si>
  <si>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</si>
  <si>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</si>
  <si>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</si>
  <si>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</si>
  <si>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</si>
  <si>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</si>
  <si>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</si>
  <si>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</si>
  <si>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</si>
  <si>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</si>
  <si>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</si>
  <si>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</si>
  <si>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</si>
  <si>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</si>
  <si>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</si>
  <si>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</si>
  <si>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</si>
  <si>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</si>
  <si>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</si>
  <si>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</si>
  <si>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</si>
  <si>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</si>
  <si>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</si>
  <si>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</si>
  <si>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</si>
  <si>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</si>
  <si>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</si>
  <si>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</si>
  <si>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</si>
  <si>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</si>
  <si>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</si>
  <si>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</si>
  <si>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</si>
  <si>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</si>
  <si>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</si>
  <si>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</si>
  <si>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</si>
  <si>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</si>
  <si>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</si>
  <si>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</si>
  <si>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</si>
  <si>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</si>
  <si>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</si>
  <si>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</si>
  <si>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</si>
  <si>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</si>
  <si>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</si>
  <si>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</si>
  <si>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</si>
  <si>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</si>
  <si>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</si>
  <si>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</si>
  <si>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</si>
  <si>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</si>
  <si>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</si>
  <si>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</si>
  <si>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</si>
  <si>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</si>
  <si>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</si>
  <si>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</si>
  <si>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</si>
  <si>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</si>
  <si>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</si>
  <si>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</si>
  <si>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</si>
  <si>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</si>
  <si>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</si>
  <si>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</si>
  <si>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</si>
  <si>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</si>
  <si>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</si>
  <si>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</si>
  <si>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</si>
  <si>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</si>
  <si>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</si>
  <si>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</si>
  <si>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</si>
  <si>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</si>
  <si>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</si>
  <si>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</si>
  <si>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</si>
  <si>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</si>
  <si>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</si>
  <si>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</si>
  <si>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</si>
  <si>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</si>
  <si>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</si>
  <si>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</si>
  <si>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</si>
  <si>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</si>
  <si>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</si>
  <si>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</si>
  <si>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</si>
  <si>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</si>
  <si>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</si>
  <si>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</si>
  <si>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</si>
  <si>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</si>
  <si>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</si>
  <si>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</si>
  <si>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</si>
  <si>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</si>
  <si>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</si>
  <si>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</si>
  <si>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</si>
  <si>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</si>
  <si>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</si>
  <si>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</si>
  <si>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</si>
  <si>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</si>
  <si>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</si>
  <si>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</si>
  <si>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</si>
  <si>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</si>
  <si>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</si>
  <si>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</si>
  <si>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</si>
  <si>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</si>
  <si>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</si>
  <si>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</si>
  <si>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</si>
  <si>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</si>
  <si>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</si>
  <si>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</si>
  <si>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</si>
  <si>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</si>
  <si>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</si>
  <si>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</si>
  <si>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</si>
  <si>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</si>
  <si>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</si>
  <si>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</si>
  <si>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</si>
  <si>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</si>
  <si>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</si>
  <si>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</si>
  <si>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</si>
  <si>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</si>
  <si>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</si>
  <si>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</si>
  <si>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</si>
  <si>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</si>
  <si>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</si>
  <si>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</si>
  <si>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</si>
  <si>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</si>
  <si>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</si>
  <si>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</si>
  <si>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</si>
  <si>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</si>
  <si>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</si>
  <si>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</si>
  <si>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</si>
  <si>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</si>
  <si>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</si>
  <si>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</si>
  <si>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</si>
  <si>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</si>
  <si>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</si>
  <si>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</si>
  <si>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</si>
  <si>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</si>
  <si>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</si>
  <si>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</si>
  <si>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</si>
  <si>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</si>
  <si>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</si>
  <si>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</si>
  <si>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</si>
  <si>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</si>
  <si>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</si>
  <si>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</si>
  <si>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</si>
  <si>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</si>
  <si>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</si>
  <si>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</si>
  <si>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</si>
  <si>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</si>
  <si>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</si>
  <si>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</si>
  <si>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</si>
  <si>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</si>
  <si>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</si>
  <si>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</si>
  <si>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</si>
  <si>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</si>
  <si>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</si>
  <si>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</si>
  <si>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</si>
  <si>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</si>
  <si>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</si>
  <si>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</si>
  <si>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</si>
  <si>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</si>
  <si>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</si>
  <si>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</si>
  <si>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</si>
  <si>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</si>
  <si>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</si>
  <si>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</si>
  <si>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</si>
  <si>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</si>
  <si>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</si>
  <si>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</si>
  <si>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</si>
  <si>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</si>
  <si>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</si>
  <si>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</si>
  <si>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</si>
  <si>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</si>
  <si>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</si>
  <si>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</si>
  <si>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</si>
  <si>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</si>
  <si>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</si>
  <si>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</si>
  <si>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</si>
  <si>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</si>
  <si>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</si>
  <si>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</si>
  <si>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</si>
  <si>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</si>
  <si>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</si>
  <si>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</si>
  <si>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</si>
  <si>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</si>
  <si>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</si>
  <si>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</si>
  <si>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</si>
  <si>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</si>
  <si>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</si>
  <si>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</si>
  <si>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</si>
  <si>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</si>
  <si>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</si>
  <si>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</si>
  <si>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</si>
  <si>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</si>
  <si>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</si>
  <si>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</si>
  <si>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</si>
  <si>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</si>
  <si>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</si>
  <si>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</si>
  <si>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</si>
  <si>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</si>
  <si>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</si>
  <si>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</si>
  <si>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</si>
  <si>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</si>
  <si>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</si>
  <si>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</si>
  <si>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</si>
  <si>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</si>
  <si>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</si>
  <si>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</si>
  <si>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</si>
  <si>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</si>
  <si>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</si>
  <si>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</si>
  <si>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</si>
  <si>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</si>
  <si>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</si>
  <si>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</si>
  <si>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</si>
  <si>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</si>
  <si>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</si>
  <si>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</si>
  <si>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</si>
  <si>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</si>
  <si>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</si>
  <si>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</si>
  <si>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</si>
  <si>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</si>
  <si>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</si>
  <si>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</si>
  <si>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</si>
  <si>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</si>
  <si>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</si>
  <si>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</si>
  <si>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</si>
  <si>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</si>
  <si>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</si>
  <si>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</si>
  <si>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</si>
  <si>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</si>
  <si>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</si>
  <si>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</si>
  <si>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</si>
  <si>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</si>
  <si>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</si>
  <si>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</si>
  <si>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</si>
  <si>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</si>
  <si>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</si>
  <si>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</si>
  <si>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</si>
  <si>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</si>
  <si>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</si>
  <si>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</si>
  <si>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</si>
  <si>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</si>
  <si>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</si>
  <si>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</si>
  <si>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</si>
  <si>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</si>
  <si>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</si>
  <si>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</si>
  <si>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</si>
  <si>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</si>
  <si>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</si>
  <si>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</si>
  <si>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</si>
  <si>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</si>
  <si>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</si>
  <si>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</si>
  <si>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</si>
  <si>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</si>
  <si>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</si>
  <si>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</si>
  <si>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</si>
  <si>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</si>
  <si>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</si>
  <si>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</si>
  <si>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</si>
  <si>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</si>
  <si>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</si>
  <si>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</si>
  <si>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</si>
  <si>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</si>
  <si>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</si>
  <si>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</si>
  <si>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</si>
  <si>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</si>
  <si>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</si>
  <si>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</si>
  <si>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</si>
  <si>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</si>
  <si>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</si>
  <si>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</si>
  <si>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</si>
  <si>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</si>
  <si>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</si>
  <si>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</si>
  <si>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</si>
  <si>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</si>
  <si>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</si>
  <si>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</si>
  <si>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</si>
  <si>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</si>
  <si>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</si>
  <si>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</si>
  <si>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</si>
  <si>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</si>
  <si>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</si>
  <si>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</si>
  <si>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</si>
  <si>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</si>
  <si>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</si>
  <si>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</si>
  <si>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</si>
  <si>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</si>
  <si>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</si>
  <si>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</si>
  <si>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</si>
  <si>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</si>
  <si>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</si>
  <si>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</si>
  <si>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</si>
  <si>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</si>
  <si>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</si>
  <si>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</si>
  <si>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</si>
  <si>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</si>
  <si>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</si>
  <si>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</si>
  <si>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</si>
  <si>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</si>
  <si>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</si>
  <si>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</si>
  <si>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</si>
  <si>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</si>
  <si>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</si>
  <si>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</si>
  <si>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</si>
  <si>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</si>
  <si>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</si>
  <si>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</si>
  <si>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</si>
  <si>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</si>
  <si>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</si>
  <si>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</si>
  <si>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</si>
  <si>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</si>
  <si>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</si>
  <si>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</si>
  <si>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</si>
  <si>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</si>
  <si>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</si>
  <si>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</si>
  <si>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</si>
  <si>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</si>
  <si>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</si>
  <si>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</si>
  <si>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</si>
  <si>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</si>
  <si>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</si>
  <si>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</si>
  <si>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</si>
  <si>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</si>
  <si>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</si>
  <si>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</si>
  <si>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</si>
  <si>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</si>
  <si>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</si>
  <si>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</si>
  <si>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</si>
  <si>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</si>
  <si>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</si>
  <si>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</si>
  <si>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</si>
  <si>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</si>
  <si>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</si>
  <si>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</si>
  <si>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</si>
  <si>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</si>
  <si>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</si>
  <si>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</si>
  <si>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</si>
  <si>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</si>
  <si>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</si>
  <si>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</si>
  <si>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</si>
  <si>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</si>
  <si>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</si>
  <si>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</si>
  <si>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</si>
  <si>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</si>
  <si>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</si>
  <si>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</si>
  <si>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</si>
  <si>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</si>
  <si>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</si>
  <si>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</si>
  <si>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</si>
  <si>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</si>
  <si>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</si>
  <si>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</si>
  <si>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</si>
  <si>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</si>
  <si>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</si>
  <si>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</si>
  <si>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</si>
  <si>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</si>
  <si>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</si>
  <si>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</si>
  <si>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</si>
  <si>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</si>
  <si>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</si>
  <si>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</si>
  <si>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</si>
  <si>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</si>
  <si>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</si>
  <si>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</si>
  <si>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</si>
  <si>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</si>
  <si>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</si>
  <si>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</si>
  <si>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</si>
  <si>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</si>
  <si>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</si>
  <si>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</si>
  <si>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</si>
  <si>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</si>
  <si>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</si>
  <si>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</si>
  <si>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</si>
  <si>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</si>
  <si>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</si>
  <si>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</si>
  <si>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</si>
  <si>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</si>
  <si>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</si>
  <si>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</si>
  <si>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</si>
  <si>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</si>
  <si>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</si>
  <si>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</si>
  <si>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</si>
  <si>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</si>
  <si>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</si>
  <si>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</si>
  <si>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</si>
  <si>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</si>
  <si>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</si>
  <si>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</si>
  <si>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</si>
  <si>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</si>
  <si>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</si>
  <si>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</si>
  <si>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</si>
  <si>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</si>
  <si>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</si>
  <si>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</si>
  <si>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</si>
  <si>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</si>
  <si>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</si>
  <si>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</si>
  <si>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</si>
  <si>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</si>
  <si>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</si>
  <si>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</si>
  <si>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</si>
  <si>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</si>
  <si>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</si>
  <si>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</si>
  <si>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</si>
  <si>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</si>
  <si>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</si>
  <si>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</si>
  <si>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</si>
  <si>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</si>
  <si>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</si>
  <si>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</si>
  <si>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</si>
  <si>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</si>
  <si>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</si>
  <si>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</si>
  <si>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</si>
  <si>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</si>
  <si>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</si>
  <si>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</si>
  <si>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</si>
  <si>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</si>
  <si>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</si>
  <si>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</si>
  <si>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</si>
  <si>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</si>
  <si>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</si>
  <si>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</si>
  <si>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</si>
  <si>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</si>
  <si>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</si>
  <si>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</si>
  <si>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</si>
  <si>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</si>
  <si>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</si>
  <si>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</si>
  <si>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</si>
  <si>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</si>
  <si>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</si>
  <si>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</si>
  <si>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</si>
  <si>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</si>
  <si>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</si>
  <si>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</si>
  <si>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</si>
  <si>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</si>
  <si>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</si>
  <si>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</si>
  <si>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</si>
  <si>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</si>
  <si>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</si>
  <si>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</si>
  <si>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</si>
  <si>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</si>
  <si>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</si>
  <si>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</si>
  <si>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</si>
  <si>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</si>
  <si>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</si>
  <si>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</si>
  <si>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</si>
  <si>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</si>
  <si>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</si>
  <si>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</si>
  <si>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</si>
  <si>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</si>
  <si>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</si>
  <si>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</si>
  <si>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</si>
  <si>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</si>
  <si>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</si>
  <si>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</si>
  <si>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</si>
  <si>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</si>
  <si>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</si>
  <si>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</si>
  <si>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</si>
  <si>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</si>
  <si>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</si>
  <si>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</si>
  <si>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</si>
  <si>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</si>
  <si>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</si>
  <si>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</si>
  <si>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</si>
  <si>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</si>
  <si>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</si>
  <si>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</si>
  <si>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</si>
  <si>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</si>
  <si>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</si>
  <si>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</si>
  <si>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</si>
  <si>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</si>
  <si>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</si>
  <si>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</si>
  <si>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</si>
  <si>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</si>
  <si>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</si>
  <si>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</si>
  <si>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</si>
  <si>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</si>
  <si>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</si>
  <si>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</si>
  <si>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</si>
  <si>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</si>
  <si>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</si>
  <si>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</si>
  <si>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</si>
  <si>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</si>
  <si>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</si>
  <si>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</si>
  <si>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</si>
  <si>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</si>
  <si>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</si>
  <si>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</si>
  <si>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</si>
  <si>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</si>
  <si>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</si>
  <si>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</si>
  <si>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</si>
  <si>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</si>
  <si>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</si>
  <si>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</si>
  <si>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</si>
  <si>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</si>
  <si>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</si>
  <si>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</si>
  <si>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</si>
  <si>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</si>
  <si>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</si>
  <si>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</si>
  <si>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</si>
  <si>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</si>
  <si>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</si>
  <si>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</si>
  <si>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</si>
  <si>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</si>
  <si>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</si>
  <si>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</si>
  <si>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</si>
  <si>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</si>
  <si>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</si>
  <si>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</si>
  <si>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</si>
  <si>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</si>
  <si>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</si>
  <si>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</si>
  <si>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</si>
  <si>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</si>
  <si>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</si>
  <si>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</si>
  <si>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</si>
  <si>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</si>
  <si>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</si>
  <si>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</si>
  <si>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</si>
  <si>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</si>
  <si>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</si>
  <si>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</si>
  <si>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</si>
  <si>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</si>
  <si>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</si>
  <si>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</si>
  <si>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</si>
  <si>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</si>
  <si>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</si>
  <si>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</si>
  <si>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</si>
  <si>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</si>
  <si>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</si>
  <si>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</si>
  <si>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</si>
  <si>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</si>
  <si>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</si>
  <si>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</si>
  <si>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</si>
  <si>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</si>
  <si>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</si>
  <si>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</si>
  <si>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</si>
  <si>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</si>
  <si>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</si>
  <si>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</si>
  <si>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</si>
  <si>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</si>
  <si>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</si>
  <si>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</si>
  <si>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</si>
  <si>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</si>
  <si>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</si>
  <si>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</si>
  <si>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</si>
  <si>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</si>
  <si>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</si>
  <si>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</si>
  <si>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</si>
  <si>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</si>
  <si>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</si>
  <si>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</si>
  <si>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</si>
  <si>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</si>
  <si>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</si>
  <si>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</si>
  <si>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</si>
  <si>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</si>
  <si>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</si>
  <si>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</si>
  <si>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</si>
  <si>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</si>
  <si>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</si>
  <si>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</si>
  <si>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</si>
  <si>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</si>
  <si>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</si>
  <si>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</si>
  <si>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</si>
  <si>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</si>
  <si>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</si>
  <si>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</si>
  <si>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</si>
  <si>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</si>
  <si>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</si>
  <si>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</si>
  <si>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</si>
  <si>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</si>
  <si>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</si>
  <si>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</si>
  <si>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</si>
  <si>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</si>
  <si>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</si>
  <si>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</si>
  <si>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</si>
  <si>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</si>
  <si>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</si>
  <si>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</si>
  <si>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</si>
  <si>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</si>
  <si>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</si>
  <si>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</si>
  <si>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</si>
  <si>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</si>
  <si>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</si>
  <si>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</si>
  <si>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</si>
  <si>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</si>
  <si>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</si>
  <si>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</si>
  <si>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</si>
  <si>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</si>
  <si>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</si>
  <si>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</si>
  <si>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</si>
  <si>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</si>
  <si>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</si>
  <si>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</si>
  <si>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</si>
  <si>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</si>
  <si>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</si>
  <si>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</si>
  <si>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</si>
  <si>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</si>
  <si>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</si>
  <si>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</si>
  <si>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</si>
  <si>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</si>
  <si>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</si>
  <si>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</si>
  <si>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</si>
  <si>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</si>
  <si>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</si>
  <si>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</si>
  <si>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</si>
  <si>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</si>
  <si>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</si>
  <si>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</si>
  <si>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</si>
  <si>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</si>
  <si>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</si>
  <si>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</si>
  <si>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</si>
  <si>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</si>
  <si>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</si>
  <si>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</si>
  <si>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</si>
  <si>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</si>
  <si>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</si>
  <si>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</si>
  <si>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</si>
  <si>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</si>
  <si>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</si>
  <si>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</si>
  <si>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</si>
  <si>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</si>
  <si>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</si>
  <si>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</si>
  <si>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</si>
  <si>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</si>
  <si>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</si>
  <si>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</si>
  <si>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</si>
  <si>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</si>
  <si>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</si>
  <si>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</si>
  <si>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</si>
  <si>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</si>
  <si>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</si>
  <si>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</si>
  <si>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</si>
  <si>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</si>
  <si>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</si>
  <si>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</si>
  <si>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</si>
  <si>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</si>
  <si>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</si>
  <si>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</si>
  <si>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</si>
  <si>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</si>
  <si>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</si>
  <si>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</si>
  <si>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</si>
  <si>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</si>
  <si>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</si>
  <si>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</si>
  <si>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</si>
  <si>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</si>
  <si>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</si>
  <si>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</si>
  <si>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</si>
  <si>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</si>
  <si>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</si>
  <si>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</si>
  <si>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</si>
  <si>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</si>
  <si>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</si>
  <si>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</si>
  <si>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</si>
  <si>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</si>
  <si>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</si>
  <si>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03/2002</t>
  </si>
  <si>
    <t>07/2012</t>
  </si>
  <si>
    <t>10/1998</t>
  </si>
  <si>
    <t>10/2012</t>
  </si>
  <si>
    <t>Contoocook Valley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</si>
</sst>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5EBA-838C-4C0E-9214-B9073397268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13" sqref="F11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112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1039060.53+6940</f>
        <v>1046000.53</v>
      </c>
      <c r="G9" s="18">
        <f>72493.4+300+708</f>
        <v>73501.399999999994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f>5811.82</f>
        <v>5811.82</v>
      </c>
      <c r="G10" s="18"/>
      <c r="H10" s="18"/>
      <c r="I10" s="18"/>
      <c r="J10" s="67">
        <f>SUM(I432)</f>
        <v>182827.28999999998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H23+G23</f>
        <v>637035.58000000007</v>
      </c>
      <c r="G12" s="18"/>
      <c r="H12" s="18"/>
      <c r="I12" s="18"/>
      <c r="J12" s="67">
        <f>SUM(I433)</f>
        <v>200000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68578.53</v>
      </c>
      <c r="H13" s="18">
        <f>367582.74+0.12</f>
        <v>367582.86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384193.09</f>
        <v>384193.09</v>
      </c>
      <c r="G14" s="18">
        <v>39205.65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31821.26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f>52290.88</f>
        <v>52290.879999999997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2125331.9000000004</v>
      </c>
      <c r="G19" s="41">
        <f>SUM(G9:G18)</f>
        <v>213106.84</v>
      </c>
      <c r="H19" s="41">
        <f>SUM(H9:H18)</f>
        <v>367582.86</v>
      </c>
      <c r="I19" s="41">
        <f>SUM(I9:I18)</f>
        <v>0</v>
      </c>
      <c r="J19" s="41">
        <f>SUM(J9:J18)</f>
        <v>382827.29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275640.42</f>
        <v>275640.42</v>
      </c>
      <c r="G23" s="18">
        <v>322698.69</v>
      </c>
      <c r="H23" s="18">
        <f>314336.89</f>
        <v>314336.89</v>
      </c>
      <c r="I23" s="18"/>
      <c r="J23" s="67">
        <f>SUM(I440)</f>
        <v>137100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361106.41</v>
      </c>
      <c r="G25" s="18"/>
      <c r="H25" s="18">
        <v>46198.559999999998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6322.97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636746.82999999996</v>
      </c>
      <c r="G33" s="41">
        <f>SUM(G23:G32)</f>
        <v>322698.69</v>
      </c>
      <c r="H33" s="41">
        <f>SUM(H23:H32)</f>
        <v>366858.42</v>
      </c>
      <c r="I33" s="41">
        <f>SUM(I23:I32)</f>
        <v>0</v>
      </c>
      <c r="J33" s="41">
        <f>SUM(J23:J32)</f>
        <v>137100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f>F17</f>
        <v>52290.879999999997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661235.34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f>100000+50000</f>
        <v>150000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G19-G23</f>
        <v>-109591.85</v>
      </c>
      <c r="H41" s="18">
        <v>724.44</v>
      </c>
      <c r="I41" s="18"/>
      <c r="J41" s="13">
        <f>SUM(I449)</f>
        <v>245727.29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F19-F23-F25-F37-F39-F36</f>
        <v>625058.85000000056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1488585.0700000005</v>
      </c>
      <c r="G43" s="41">
        <f>SUM(G35:G42)</f>
        <v>-109591.85</v>
      </c>
      <c r="H43" s="41">
        <f>SUM(H35:H42)</f>
        <v>724.44</v>
      </c>
      <c r="I43" s="41">
        <f>SUM(I35:I42)</f>
        <v>0</v>
      </c>
      <c r="J43" s="41">
        <f>SUM(J35:J42)</f>
        <v>245727.29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2125331.9000000004</v>
      </c>
      <c r="G44" s="41">
        <f>G43+G33</f>
        <v>213106.84</v>
      </c>
      <c r="H44" s="41">
        <f>H43+H33</f>
        <v>367582.86</v>
      </c>
      <c r="I44" s="41">
        <f>I43+I33</f>
        <v>0</v>
      </c>
      <c r="J44" s="41">
        <f>J43+J33</f>
        <v>382827.29000000004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24844361</f>
        <v>24844361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24844361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45552.34+34358.28</f>
        <v>79910.62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265178.09000000003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345088.71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28045.82</v>
      </c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28045.82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20110.76</f>
        <v>20110.759999999998</v>
      </c>
      <c r="G88" s="18">
        <v>133.66</v>
      </c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647882.5+23501.86+5415.13</f>
        <v>676799.49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36733.69</f>
        <v>36733.69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>
        <v>82.72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56844.45</v>
      </c>
      <c r="G103" s="41">
        <f>SUM(G88:G102)</f>
        <v>677015.87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25274339.98</v>
      </c>
      <c r="G104" s="41">
        <f>G52+G103</f>
        <v>677015.87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8549789.5500000007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5156125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310098.45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1856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14017869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1238416.94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710750.07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77438.86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3003.7400000000052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71781.73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2029609.6099999999</v>
      </c>
      <c r="G128" s="41">
        <f>SUM(G115:G127)</f>
        <v>71781.73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16047478.609999999</v>
      </c>
      <c r="G132" s="41">
        <f>G113+SUM(G128:G129)</f>
        <v>71781.73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365612.27+2760.56+19249.15+9925.47+223181.63</f>
        <v>620729.08000000007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733.38+99908.55+16699.96+125147.24</f>
        <v>242489.13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8452.11+124222.17+105822</f>
        <v>238496.28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11006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276703.81+18553.7</f>
        <v>295257.51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793305.73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372312.73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372312.73</v>
      </c>
      <c r="G154" s="41">
        <f>SUM(G142:G153)</f>
        <v>295257.51</v>
      </c>
      <c r="H154" s="41">
        <f>SUM(H142:H153)</f>
        <v>1906026.22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372312.73</v>
      </c>
      <c r="G161" s="41">
        <f>G139+G154+SUM(G155:G160)</f>
        <v>295257.51</v>
      </c>
      <c r="H161" s="41">
        <f>H139+H154+SUM(H155:H160)</f>
        <v>1906026.22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261136.08</v>
      </c>
      <c r="H171" s="18"/>
      <c r="I171" s="18"/>
      <c r="J171" s="18">
        <v>200000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261136.08</v>
      </c>
      <c r="H175" s="41">
        <f>SUM(H171:H174)</f>
        <v>0</v>
      </c>
      <c r="I175" s="41">
        <f>SUM(I171:I174)</f>
        <v>0</v>
      </c>
      <c r="J175" s="41">
        <f>SUM(J171:J174)</f>
        <v>200000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261136.08</v>
      </c>
      <c r="H184" s="41">
        <f>+H175+SUM(H180:H183)</f>
        <v>0</v>
      </c>
      <c r="I184" s="41">
        <f>I169+I175+SUM(I180:I183)</f>
        <v>0</v>
      </c>
      <c r="J184" s="41">
        <f>J175</f>
        <v>200000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41694131.32</v>
      </c>
      <c r="G185" s="47">
        <f>G104+G132+G161+G184</f>
        <v>1305191.19</v>
      </c>
      <c r="H185" s="47">
        <f>H104+H132+H161+H184</f>
        <v>1906026.22</v>
      </c>
      <c r="I185" s="47">
        <f>I104+I132+I161+I184</f>
        <v>0</v>
      </c>
      <c r="J185" s="47">
        <f>J104+J132+J184</f>
        <v>200000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2617555.54+112869.44+32972.77+8392.5+0.3*313504.54+0.3*284465+0.3*234883.92</f>
        <v>3021646.2880000002</v>
      </c>
      <c r="G189" s="18">
        <f>699900.85+(F189*7.65%)+(0.33*0.3*2149415)+0.3*1645405.58+(F189*8.07%)-0.3*160033.03</f>
        <v>1833307.4964736002</v>
      </c>
      <c r="H189" s="18">
        <f>7939.55+45410.48+288.98+943+1689.34+17545.26+0.3*42504.75+2230.15+953.64+0.3*197989.01</f>
        <v>149148.52799999999</v>
      </c>
      <c r="I189" s="18">
        <f>123463.12+12744.33+412.27+11080.81+2188.84+2405.88+322.79+0.3*31850.19</f>
        <v>162173.09699999998</v>
      </c>
      <c r="J189" s="18">
        <f>1012.87+9622.29+1516.99+4700.96+90546.04+8211.96+1483+539+240</f>
        <v>117873.10999999999</v>
      </c>
      <c r="K189" s="18">
        <f>126+0.3*137668.02</f>
        <v>41426.405999999995</v>
      </c>
      <c r="L189" s="19">
        <f>SUM(F189:K189)</f>
        <v>5325574.9254736006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610187.26+437684.67+0.3*76618.77+0.5*125924+0.5*276735.12+76493.26+87287.26+(87833*0.3)+0.3*140916+0.3*24210+0.3*355674+0.3*239811</f>
        <v>1690500.841</v>
      </c>
      <c r="G190" s="18">
        <f>331848.74+(F190*0.0765)+(3*0.3*227207.81)+0.3*40291+(F190*0.0807)</f>
        <v>814169.80120520003</v>
      </c>
      <c r="H190" s="18">
        <f>1893.12+339.07+36326.3+((52256+8997)*0.3)+0.3*31451</f>
        <v>66369.69</v>
      </c>
      <c r="I190" s="18">
        <f>4371.72+591.85+653.28+0.5*3004.21+1885.08+102.33+132.47+1000+0.3*9326+0.3*3389.64+0.3*1905</f>
        <v>14625.026999999998</v>
      </c>
      <c r="J190" s="18">
        <f>3832.99</f>
        <v>3832.99</v>
      </c>
      <c r="K190" s="18">
        <f>0.3*4353.85+0.3*700</f>
        <v>1516.155</v>
      </c>
      <c r="L190" s="19">
        <f>SUM(F190:K190)</f>
        <v>2591014.5042051999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24250</f>
        <v>24250</v>
      </c>
      <c r="G192" s="18">
        <f>F192*0.0765</f>
        <v>1855.125</v>
      </c>
      <c r="H192" s="18">
        <f>4262</f>
        <v>4262</v>
      </c>
      <c r="I192" s="18">
        <f>840.61</f>
        <v>840.61</v>
      </c>
      <c r="J192" s="18"/>
      <c r="K192" s="18"/>
      <c r="L192" s="19">
        <f>SUM(F192:K192)</f>
        <v>31207.735000000001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120170+131574+1008.96+0.3*56244.58+0.3*60488+0.3*78708</f>
        <v>311385.13400000002</v>
      </c>
      <c r="G194" s="18">
        <f>45881.42+(F194*0.0765)+0.3*18090+(F194*0.0807)</f>
        <v>100258.1630648</v>
      </c>
      <c r="H194" s="18">
        <f>361.5+497.15+0.3*46876+2028.15+162.38</f>
        <v>17111.98</v>
      </c>
      <c r="I194" s="18">
        <f>457.95+227.81+2096.46+186.83</f>
        <v>2969.05</v>
      </c>
      <c r="J194" s="18"/>
      <c r="K194" s="18"/>
      <c r="L194" s="19">
        <f t="shared" ref="L194:L200" si="0">SUM(F194:K194)</f>
        <v>431724.32706480002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116748.8+111507.5+0.3*70993</f>
        <v>249554.19999999998</v>
      </c>
      <c r="G195" s="18">
        <f>21589.22+(F195*0.0765)+(F195*0.0807)</f>
        <v>60819.140239999993</v>
      </c>
      <c r="H195" s="18">
        <f>1261.62+7041+0.3*99935.61+0.3*58329+1074.01</f>
        <v>56856.012999999999</v>
      </c>
      <c r="I195" s="18">
        <f>1558.11+17273.81+2301.47+448.94+256055.13+764.07+0.3*92550.55+2541.33</f>
        <v>308708.02500000002</v>
      </c>
      <c r="J195" s="18">
        <f>1000.52+0.3*16160.61</f>
        <v>5848.7029999999995</v>
      </c>
      <c r="K195" s="18">
        <f>99</f>
        <v>99</v>
      </c>
      <c r="L195" s="19">
        <f t="shared" si="0"/>
        <v>681885.08123999997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0.3*312391.54+0.3*430596+2000+(82271.76+164992)*0.3</f>
        <v>299075.39</v>
      </c>
      <c r="G196" s="18">
        <f>F196*0.0765+0.3*104578+(F196*0.0807)+0.3*38847</f>
        <v>90042.151308</v>
      </c>
      <c r="H196" s="18">
        <f>0.3*12750+0.3*93403+0.3*22716+559.8+1327.68+0.3*12816.64+0.3*12020.72+0.3*31670.2+0.3*4782.64+0.3*11000+6000</f>
        <v>68235.239999999991</v>
      </c>
      <c r="I196" s="18">
        <f>0.3*5270.19+28541.86+105.89</f>
        <v>30228.807000000001</v>
      </c>
      <c r="J196" s="18">
        <f>1639.99+0.3*4711.05</f>
        <v>3053.3050000000003</v>
      </c>
      <c r="K196" s="18">
        <f>0.3*8669.15+0.3*12517.76</f>
        <v>6356.0730000000003</v>
      </c>
      <c r="L196" s="19">
        <f t="shared" si="0"/>
        <v>496990.96630799997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239402.83+352808.15</f>
        <v>592210.98</v>
      </c>
      <c r="G197" s="18">
        <f>147011.86+(F197*0.0765)+0.3*55647</f>
        <v>209010.09996999998</v>
      </c>
      <c r="H197" s="18">
        <f>827.21+35430.9+269.7+2577.35+906.75+3007.01+0.3*47983.46</f>
        <v>57413.957999999999</v>
      </c>
      <c r="I197" s="18">
        <f>1711.77+653.66+103.99</f>
        <v>2469.4199999999996</v>
      </c>
      <c r="J197" s="18"/>
      <c r="K197" s="18">
        <f>5012.14+3479.8</f>
        <v>8491.94</v>
      </c>
      <c r="L197" s="19">
        <f t="shared" si="0"/>
        <v>869596.39796999993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223939.03+1052.5+12854.75+0.3*21971+0.3*80600</f>
        <v>268617.57999999996</v>
      </c>
      <c r="G199" s="18">
        <f>73421.77+(F199*0.0765)+0.3*58661</f>
        <v>111569.31487</v>
      </c>
      <c r="H199" s="18">
        <f>208477.82+6657.67+19659.04+988.18+143265.37+17603.04+18132.14+63872.95+14683.65+29628.09+0.3*159168.93+0.3*9305.4</f>
        <v>573510.24900000007</v>
      </c>
      <c r="I199" s="18">
        <f>29125.2+157534.42+192681.43+161.5</f>
        <v>379502.55000000005</v>
      </c>
      <c r="J199" s="18"/>
      <c r="K199" s="18"/>
      <c r="L199" s="19">
        <f t="shared" si="0"/>
        <v>1333199.6938700001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17504.38+0.36*1531562.16+0.36*75634+0.36*407141.75</f>
        <v>742666.02760000003</v>
      </c>
      <c r="I200" s="18">
        <f>0.36*309537.55</f>
        <v>111433.518</v>
      </c>
      <c r="J200" s="18"/>
      <c r="K200" s="18"/>
      <c r="L200" s="19">
        <f t="shared" si="0"/>
        <v>854099.54560000007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6457240.4130000006</v>
      </c>
      <c r="G203" s="41">
        <f t="shared" si="1"/>
        <v>3221031.2921316004</v>
      </c>
      <c r="H203" s="41">
        <f t="shared" si="1"/>
        <v>1735573.6856</v>
      </c>
      <c r="I203" s="41">
        <f t="shared" si="1"/>
        <v>1012950.1040000002</v>
      </c>
      <c r="J203" s="41">
        <f t="shared" si="1"/>
        <v>130608.10799999998</v>
      </c>
      <c r="K203" s="41">
        <f t="shared" si="1"/>
        <v>57889.573999999993</v>
      </c>
      <c r="L203" s="41">
        <f t="shared" si="1"/>
        <v>12615293.176731601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2877618.29+54799.36+77000+0.34*313504.94+0.34*284463+0.34*234883.92</f>
        <v>3292587.2823999999</v>
      </c>
      <c r="G207" s="18">
        <f>701189.48+(F207*0.0765)+(0.34*0.34*2149415.96)+0.34*1645405.58+(F207*0.0807)-0.34*160033.03</f>
        <v>1972283.3527692801</v>
      </c>
      <c r="H207" s="18">
        <f>16909.85+41339.55+3335.97+0.34*42504.75+0.34*197989.01</f>
        <v>143353.24840000001</v>
      </c>
      <c r="I207" s="18">
        <f>91278.18+16700.88+3003.4+2220+13568.53+0.34*31850.19</f>
        <v>137600.0546</v>
      </c>
      <c r="J207" s="18">
        <f>900+18998.41+856.93+37635.18+19672.02+1244</f>
        <v>79306.540000000008</v>
      </c>
      <c r="K207" s="18">
        <f>708+4100.46+0.34*137668.02</f>
        <v>51615.586799999997</v>
      </c>
      <c r="L207" s="19">
        <f>SUM(F207:K207)</f>
        <v>5676746.0649692798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416426.4+394314.46+42866.64+0.34*78616.77+0.5*125924+0.5*27673.512+((88382+9331)*0.3)+((147607+26736)*0.34)+0.34*344674+0.34*239811</f>
        <v>1244451.3778000001</v>
      </c>
      <c r="G208" s="18">
        <f>302112.83+(F208*0.0765)+(0.3*0.3*227207)+0.34*40291+(F208*0.0807)</f>
        <v>531888.15659015998</v>
      </c>
      <c r="H208" s="18">
        <f>128833.53+171+59762.76+39100.05+((52256+8997)*0.34)+0.34*31451</f>
        <v>259386.7</v>
      </c>
      <c r="I208" s="18">
        <f>4616.77+1227.95+465.78+0.5*3004.21+0.34*9326+0.34*3389.64+0.34*1905</f>
        <v>12783.622600000001</v>
      </c>
      <c r="J208" s="18">
        <f>84.94+100+498+945.99</f>
        <v>1628.93</v>
      </c>
      <c r="K208" s="18">
        <f>0.34*4353.85+0.34*700</f>
        <v>1718.3090000000002</v>
      </c>
      <c r="L208" s="19">
        <f>SUM(F208:K208)</f>
        <v>2051857.0959901598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f>108838.02+53149.1</f>
        <v>161987.12</v>
      </c>
      <c r="G209" s="18">
        <f>F209*0.0765+(F209*0.0807)</f>
        <v>25464.375263999998</v>
      </c>
      <c r="H209" s="18">
        <f>940.35+586.17+750+1400+173.74</f>
        <v>3850.26</v>
      </c>
      <c r="I209" s="18">
        <f>5414.1+6780.5</f>
        <v>12194.6</v>
      </c>
      <c r="J209" s="18">
        <f>2140.03</f>
        <v>2140.0300000000002</v>
      </c>
      <c r="K209" s="18"/>
      <c r="L209" s="19">
        <f>SUM(F209:K209)</f>
        <v>205636.38526400001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100474.28</f>
        <v>100474.28</v>
      </c>
      <c r="G210" s="18">
        <f>F210*0.0765+(F210*0.0807)</f>
        <v>15794.556815999998</v>
      </c>
      <c r="H210" s="18">
        <f>9440+2024.18</f>
        <v>11464.18</v>
      </c>
      <c r="I210" s="18">
        <f>14524.51</f>
        <v>14524.51</v>
      </c>
      <c r="J210" s="18">
        <f>1741.57</f>
        <v>1741.57</v>
      </c>
      <c r="K210" s="18">
        <f>10779+2539.64</f>
        <v>13318.64</v>
      </c>
      <c r="L210" s="19">
        <f>SUM(F210:K210)</f>
        <v>157317.73681600002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161869.3+111733.67+0.34*56244.58+0.34*60498+0.34*78708</f>
        <v>340056.16720000003</v>
      </c>
      <c r="G212" s="18">
        <f>22668.86+22668.86+(F212*0.0765)+0.34*18090+(F212*0.0807)</f>
        <v>104945.14948384001</v>
      </c>
      <c r="H212" s="18">
        <f>0.34*48876</f>
        <v>16617.84</v>
      </c>
      <c r="I212" s="18">
        <f>498.97+89.89+2252.53+155.78+223.8</f>
        <v>3220.9700000000007</v>
      </c>
      <c r="J212" s="18"/>
      <c r="K212" s="18"/>
      <c r="L212" s="19">
        <f t="shared" ref="L212:L218" si="2">SUM(F212:K212)</f>
        <v>464840.12668384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103463.02+0.34*70993</f>
        <v>127600.64000000001</v>
      </c>
      <c r="G213" s="18">
        <f>26635.77+(F213*0.0765)+(F213*0.0807)</f>
        <v>46694.590607999999</v>
      </c>
      <c r="H213" s="18">
        <f>1000+1516+210.54+0.34*99935+0.34*58329+977.61+2110.18</f>
        <v>59624.090000000004</v>
      </c>
      <c r="I213" s="18">
        <f>2115.9+21643.97+2274.89+1348.54+2804.8</f>
        <v>30188.100000000002</v>
      </c>
      <c r="J213" s="18">
        <f>0.34*16160.81</f>
        <v>5494.6754000000001</v>
      </c>
      <c r="K213" s="18">
        <v>1745.51</v>
      </c>
      <c r="L213" s="19">
        <f t="shared" si="2"/>
        <v>271347.60600800003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0.34*312391.34+0.34*430596+(82271.78+164692.89)*0.34</f>
        <v>336583.68340000004</v>
      </c>
      <c r="G214" s="18">
        <f>F214*0.0765+0.34*104579+(F214*0.0807)+0.34*38847</f>
        <v>101675.79503048</v>
      </c>
      <c r="H214" s="18">
        <f>0.34*12750+0.34*93403+0.34*22716+0.34*12816.64+0.34*12020.72+0.34*31670.2+0.34*4782.64+0.34*5270.16+0.34*11000+6000</f>
        <v>76185.982400000008</v>
      </c>
      <c r="I214" s="18">
        <f>0.34*5270.19+0.34*28541.86+0.36*92550.45</f>
        <v>44814.258999999998</v>
      </c>
      <c r="J214" s="18">
        <f>1691+0.34*4711.05</f>
        <v>3292.7570000000005</v>
      </c>
      <c r="K214" s="18">
        <f>0.34*8669.15+0.34*12517.76</f>
        <v>7203.5493999999999</v>
      </c>
      <c r="L214" s="19">
        <f t="shared" si="2"/>
        <v>569756.02623048006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114780.61+335956.41+13689.18</f>
        <v>464426.19999999995</v>
      </c>
      <c r="G215" s="18">
        <f>99252.82+(F215*0.0765)+0.34*55647+(0.0807*F215)</f>
        <v>191180.59864000001</v>
      </c>
      <c r="H215" s="18">
        <f>12488.42+3987.64+3131.95+1037.59+0.34*47983.46</f>
        <v>36959.9764</v>
      </c>
      <c r="I215" s="18">
        <f>2805.18+1293.7+161.48</f>
        <v>4260.3599999999997</v>
      </c>
      <c r="J215" s="18">
        <f>3620</f>
        <v>3620</v>
      </c>
      <c r="K215" s="18">
        <f>4000+5876.99</f>
        <v>9876.99</v>
      </c>
      <c r="L215" s="19">
        <f t="shared" si="2"/>
        <v>710324.12503999996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207516.85+7047.12+0.34*219171+0.34*80600+0.5*23353</f>
        <v>328162.61</v>
      </c>
      <c r="G217" s="18">
        <f>54195.06+(F217*0.0765)+0.34*58661+(F217*0.0807)</f>
        <v>125726.962292</v>
      </c>
      <c r="H217" s="18">
        <f>41971.72+12317.96+2171+16312.55+2436.42+14285.47+14432.83+14845.38+28924.8+7669.42+933.95+9648.03+0.34*159168.93+0.34*9305.4</f>
        <v>223230.80220000003</v>
      </c>
      <c r="I217" s="18">
        <f>25402.52+131120.82+4450.97+115053.88</f>
        <v>276028.19</v>
      </c>
      <c r="J217" s="18">
        <f>9500</f>
        <v>9500</v>
      </c>
      <c r="K217" s="18"/>
      <c r="L217" s="19">
        <f t="shared" si="2"/>
        <v>962648.56449200003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387.8+18279.78+28146.66+0.34*1531562.16+0.34*75634+0.34*407141.75</f>
        <v>731689.12939999998</v>
      </c>
      <c r="I218" s="18">
        <f>0.34*309537.53</f>
        <v>105242.76020000002</v>
      </c>
      <c r="J218" s="18"/>
      <c r="K218" s="18"/>
      <c r="L218" s="19">
        <f t="shared" si="2"/>
        <v>836931.88959999999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6396329.3608000008</v>
      </c>
      <c r="G221" s="41">
        <f t="shared" si="3"/>
        <v>3115653.5374937598</v>
      </c>
      <c r="H221" s="41">
        <f t="shared" si="3"/>
        <v>1562362.2088000001</v>
      </c>
      <c r="I221" s="41">
        <f t="shared" si="3"/>
        <v>640857.4264</v>
      </c>
      <c r="J221" s="41">
        <f t="shared" si="3"/>
        <v>106724.50240000001</v>
      </c>
      <c r="K221" s="41">
        <f t="shared" si="3"/>
        <v>85478.585200000001</v>
      </c>
      <c r="L221" s="41">
        <f t="shared" si="3"/>
        <v>11907405.621093761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2162641.39+69964.23+43285+0.36*313504.34+0.36*284463+0.36*234883.92</f>
        <v>2575717.0736000002</v>
      </c>
      <c r="G225" s="18">
        <f>F225*7.65%+513508.24+(0.36*0.36*2149415)+0.36*1645405.58+(F225*0.0807)-0.36*160033.03</f>
        <v>1731709.26596992</v>
      </c>
      <c r="H225" s="18">
        <f>23897+31440.62+2000+591.44+0.36*42504.75+0.36*197989.01</f>
        <v>144506.81359999999</v>
      </c>
      <c r="I225" s="18">
        <f>68268.36+239.31+33733.06+1047.55+3602.55+0.36*31850.19</f>
        <v>118356.89840000001</v>
      </c>
      <c r="J225" s="18">
        <f>1071.34+54514.26+8806+20099.31+2845.18+539</f>
        <v>87875.09</v>
      </c>
      <c r="K225" s="18">
        <f>1410+0.36*137668.02</f>
        <v>50970.487199999996</v>
      </c>
      <c r="L225" s="19">
        <f>SUM(F225:K225)</f>
        <v>4709135.6287699211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214647+181773.25+21755.7+67634.95+310222.96+373319.96+0.36*78618.77+((88382+9331)*0.34)+((0.36*147604+26736))+0.36*355674+0.36*239811</f>
        <v>1525127.0371999999</v>
      </c>
      <c r="G226" s="18">
        <f>F226*0.0765+174082.16+(0.3*0.3*227207)+0.36*40291+(F226*0.0807)+0.7*129777.86</f>
        <v>539630.02224783995</v>
      </c>
      <c r="H226" s="18">
        <f>679.58+8607.85+141890.21+51363+36900+42145.39+32644.04+19118.79+5261.16+36433.14+315297.95+42132.57+93500.35+17952+31274.36+150719.14+56431.2+548+29810+((52256+8997)*0.36)+0.36*31451</f>
        <v>1146082.17</v>
      </c>
      <c r="I226" s="18">
        <f>2640.39+289.18+314.5+399.8+2482.16+1827.04+206+410.97+0.36*9326+0.36*3389.64+0.36*1905</f>
        <v>13833.470399999997</v>
      </c>
      <c r="J226" s="18"/>
      <c r="K226" s="18">
        <f>0.36*4353.85+0.36*700</f>
        <v>1819.386</v>
      </c>
      <c r="L226" s="19">
        <f>SUM(F226:K226)</f>
        <v>3226492.0858478397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38914.96+53068+149062+49280+45393+54810+48647+58962</f>
        <v>498136.95999999996</v>
      </c>
      <c r="G227" s="18">
        <f>F227*0.0765+10098.9+(F227*0.0807)</f>
        <v>88406.030111999993</v>
      </c>
      <c r="H227" s="18">
        <f>2517.14</f>
        <v>2517.14</v>
      </c>
      <c r="I227" s="18">
        <f>1944.54+7917.43+4135.53+308.52+1018.87+491.33+1280.7+4400+550.09+1702.96+4713.02</f>
        <v>28462.99</v>
      </c>
      <c r="J227" s="18"/>
      <c r="K227" s="18"/>
      <c r="L227" s="19">
        <f>SUM(F227:K227)</f>
        <v>617523.12011199992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26597.36+67991.09+185569.54</f>
        <v>280157.99</v>
      </c>
      <c r="G228" s="18">
        <f>F228*0.0765+23808.23</f>
        <v>45240.316234999998</v>
      </c>
      <c r="H228" s="18">
        <f>43812.37+4366.82+10666.4</f>
        <v>58845.590000000004</v>
      </c>
      <c r="I228" s="18">
        <f>19569.36</f>
        <v>19569.36</v>
      </c>
      <c r="J228" s="18">
        <f>13429.57+2827.87</f>
        <v>16257.439999999999</v>
      </c>
      <c r="K228" s="18">
        <f>46751.18+8020.28</f>
        <v>54771.46</v>
      </c>
      <c r="L228" s="19">
        <f>SUM(F228:K228)</f>
        <v>474842.156235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244477.41+56040.01+79739.41+45457.74+24209.56+0.36*56244.58+0.36*60498+0.36*78708</f>
        <v>520286.33879999991</v>
      </c>
      <c r="G230" s="18">
        <f>F230*0.0765+111652.41+30602.88+0.36*18090</f>
        <v>188569.59491819999</v>
      </c>
      <c r="H230" s="18">
        <f>96495+651.69+0.36*48875</f>
        <v>114741.69</v>
      </c>
      <c r="I230" s="18">
        <f>627.73+246.78+59+199+2455.29+172.4</f>
        <v>3760.2000000000003</v>
      </c>
      <c r="J230" s="18">
        <f>1099.99</f>
        <v>1099.99</v>
      </c>
      <c r="K230" s="18">
        <f>5985</f>
        <v>5985</v>
      </c>
      <c r="L230" s="19">
        <f t="shared" ref="L230:L236" si="4">SUM(F230:K230)</f>
        <v>834442.81371819973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44555+22841.49+0.36*70993</f>
        <v>92953.97</v>
      </c>
      <c r="G231" s="18">
        <f>F231*0.0765+(F231*0.0807)</f>
        <v>14612.364083999999</v>
      </c>
      <c r="H231" s="18">
        <f>2590.21+0.36*99935.61+0.36*58328</f>
        <v>59565.109599999996</v>
      </c>
      <c r="I231" s="18">
        <f>1955.95+13644.81+8047.65+617.67</f>
        <v>24266.079999999998</v>
      </c>
      <c r="J231" s="18">
        <f>1457.68+2908.97+0.36*16160.81</f>
        <v>10184.5416</v>
      </c>
      <c r="K231" s="18"/>
      <c r="L231" s="19">
        <f t="shared" si="4"/>
        <v>201582.06528399998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0.36*312391.34+0.36*430596+(82871.72+164692.59)*0.36</f>
        <v>356598.59399999998</v>
      </c>
      <c r="G232" s="18">
        <f>F232*0.0765+0.36*104578+(F232*0.0807)+0.36*38847</f>
        <v>107690.2989768</v>
      </c>
      <c r="H232" s="18">
        <f>0.36*12750+0.36*93403+0.36*22718+0.36*12816.64+0.36*12020.72+0.36*31670.2+0.36*4782.64+0.36*11000+6000</f>
        <v>78418.032000000007</v>
      </c>
      <c r="I232" s="18">
        <f>0.36*5270.18+0.36*28541.86+0.36*92550.55</f>
        <v>45490.532399999996</v>
      </c>
      <c r="J232" s="18">
        <f>0.36*4711.05</f>
        <v>1695.9780000000001</v>
      </c>
      <c r="K232" s="18">
        <f>0.36*8669.15+0.36*12517.76</f>
        <v>7627.2875999999997</v>
      </c>
      <c r="L232" s="19">
        <f t="shared" si="4"/>
        <v>597520.72297680005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38696.18+97317.21+246410.75+22841.49+20497.95+73272.76+85690</f>
        <v>584726.34000000008</v>
      </c>
      <c r="G233" s="18">
        <f>F233*0.0765+42883.56+23712.15+0.36*55647</f>
        <v>131360.19501000002</v>
      </c>
      <c r="H233" s="18">
        <f>8440+1900+29804.44+8164.86+803.8+27725.33+655.2+0.36*47983.46+20573.5</f>
        <v>115341.1756</v>
      </c>
      <c r="I233" s="18">
        <f>2039.28+49+65.02</f>
        <v>2153.2999999999997</v>
      </c>
      <c r="J233" s="18"/>
      <c r="K233" s="18">
        <f>6876.19+16032.34+160.6</f>
        <v>23069.129999999997</v>
      </c>
      <c r="L233" s="19">
        <f t="shared" si="4"/>
        <v>856650.14061000012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187587.51+7929.21+75696+3720.73+0.36*218171+0.36*80600+0.5*23352</f>
        <v>394167.00999999995</v>
      </c>
      <c r="G235" s="18">
        <f>F235*0.0765+42790.37+0.36*58661+(F235*0.0807)</f>
        <v>125871.38397200001</v>
      </c>
      <c r="H235" s="18">
        <f>14200.25+24107.7+1276.71+28696.43+8439.18+24262.22+18492.02+10173.5+1573+21420+15992.96+9668.49+199.5+0.36*159168.93+0.36*9305.4+5500+15264.5+990.72</f>
        <v>260907.93879999997</v>
      </c>
      <c r="I235" s="18">
        <f>26905.67+176431.59+16701.72+84394.92+1925.5+636.49</f>
        <v>306995.89</v>
      </c>
      <c r="J235" s="18">
        <v>14117.99</v>
      </c>
      <c r="K235" s="18"/>
      <c r="L235" s="19">
        <f t="shared" si="4"/>
        <v>1102060.2127719999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69667.78+239.2+13895.1+1350.54+0.3*1531562.16+0.3*75634+0.3*407141.75</f>
        <v>689453.9929999999</v>
      </c>
      <c r="I236" s="18">
        <f>0.3*309537.83</f>
        <v>92861.349000000002</v>
      </c>
      <c r="J236" s="18"/>
      <c r="K236" s="18"/>
      <c r="L236" s="19">
        <f t="shared" si="4"/>
        <v>782315.34199999995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6827871.3135999991</v>
      </c>
      <c r="G239" s="41">
        <f t="shared" si="5"/>
        <v>2973089.471525759</v>
      </c>
      <c r="H239" s="41">
        <f t="shared" si="5"/>
        <v>2670379.6525999997</v>
      </c>
      <c r="I239" s="41">
        <f t="shared" si="5"/>
        <v>655750.07020000007</v>
      </c>
      <c r="J239" s="41">
        <f t="shared" si="5"/>
        <v>131231.02960000001</v>
      </c>
      <c r="K239" s="41">
        <f t="shared" si="5"/>
        <v>144242.75079999998</v>
      </c>
      <c r="L239" s="41">
        <f t="shared" si="5"/>
        <v>13402564.288325762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19681441.087400001</v>
      </c>
      <c r="G249" s="41">
        <f t="shared" si="8"/>
        <v>9309774.3011511192</v>
      </c>
      <c r="H249" s="41">
        <f t="shared" si="8"/>
        <v>5968315.5470000003</v>
      </c>
      <c r="I249" s="41">
        <f t="shared" si="8"/>
        <v>2309557.6006</v>
      </c>
      <c r="J249" s="41">
        <f t="shared" si="8"/>
        <v>368563.64</v>
      </c>
      <c r="K249" s="41">
        <f t="shared" si="8"/>
        <v>287610.90999999997</v>
      </c>
      <c r="L249" s="41">
        <f t="shared" si="8"/>
        <v>37925263.086151123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1498071.26</v>
      </c>
      <c r="L252" s="19">
        <f>SUM(F252:K252)</f>
        <v>1498071.26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584247</v>
      </c>
      <c r="L253" s="19">
        <f>SUM(F253:K253)</f>
        <v>584247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261136.08</v>
      </c>
      <c r="L255" s="19">
        <f>SUM(F255:K255)</f>
        <v>261136.08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200000</v>
      </c>
      <c r="L258" s="19">
        <f t="shared" si="9"/>
        <v>200000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2543454.34</v>
      </c>
      <c r="L262" s="41">
        <f t="shared" si="9"/>
        <v>2543454.34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19681441.087400001</v>
      </c>
      <c r="G263" s="42">
        <f t="shared" si="11"/>
        <v>9309774.3011511192</v>
      </c>
      <c r="H263" s="42">
        <f t="shared" si="11"/>
        <v>5968315.5470000003</v>
      </c>
      <c r="I263" s="42">
        <f t="shared" si="11"/>
        <v>2309557.6006</v>
      </c>
      <c r="J263" s="42">
        <f t="shared" si="11"/>
        <v>368563.64</v>
      </c>
      <c r="K263" s="42">
        <f t="shared" si="11"/>
        <v>2831065.25</v>
      </c>
      <c r="L263" s="42">
        <f t="shared" si="11"/>
        <v>40468717.426151127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372170.19+253.75+8027+20425+1000+17545.5+733.38+222.44</f>
        <v>420377.26</v>
      </c>
      <c r="G268" s="18">
        <f>83331.93+2894.58+534.18+944.87+28247.75+27912.72+22.07+614.07+722.53+1562.61+1417.44+1423.91</f>
        <v>149628.65999999997</v>
      </c>
      <c r="H268" s="18">
        <f>11815.5+4802.75+(0.3*5686)+25485.16+58541.97+157.71+3850+(0.3*32916.04)</f>
        <v>116233.702</v>
      </c>
      <c r="I268" s="18">
        <f>14111.73+877.82+5723.59</f>
        <v>20713.14</v>
      </c>
      <c r="J268" s="18">
        <f>2175+(0.3*7784)</f>
        <v>4510.2</v>
      </c>
      <c r="K268" s="18">
        <f>3991.8</f>
        <v>3991.8</v>
      </c>
      <c r="L268" s="19">
        <f>SUM(F268:K268)</f>
        <v>715454.76199999999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6421.42+2112.16+14183.4+4052.43+16209.72+12570.39+26791.04+30618.28+25856.17+(0.3*20000)+7654.57+8807.74+1889.78</f>
        <v>163167.1</v>
      </c>
      <c r="G269" s="18">
        <f>167.13+164.26+7024.5+5748.74+5829.12+5829.12+5829.12+1165.84+2649.76+3508.31+9472.32+9472.32+2158.96+281.19+281.19+281.19+173.04+8487.01+6675.73+8807+977.35+192.43+104.44+1215.37</f>
        <v>86495.439999999988</v>
      </c>
      <c r="H269" s="18">
        <f>725+(0.33*28869.7)+(0.3*17440)+9498+1500+(0.3*12087.66)</f>
        <v>30108.298999999999</v>
      </c>
      <c r="I269" s="18">
        <f>273.75</f>
        <v>273.75</v>
      </c>
      <c r="J269" s="18">
        <f>219.78+5200</f>
        <v>5419.78</v>
      </c>
      <c r="K269" s="18">
        <f>911.98+247.1</f>
        <v>1159.08</v>
      </c>
      <c r="L269" s="19">
        <f>SUM(F269:K269)</f>
        <v>286623.44900000002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5000+2000</f>
        <v>7000</v>
      </c>
      <c r="G273" s="18">
        <f>512.05+183.21+400.96</f>
        <v>1096.22</v>
      </c>
      <c r="H273" s="18">
        <f>897.72</f>
        <v>897.72</v>
      </c>
      <c r="I273" s="18">
        <f>218.8</f>
        <v>218.8</v>
      </c>
      <c r="J273" s="18">
        <f>964</f>
        <v>964</v>
      </c>
      <c r="K273" s="18">
        <f>3890.49</f>
        <v>3890.49</v>
      </c>
      <c r="L273" s="19">
        <f t="shared" ref="L273:L279" si="12">SUM(F273:K273)</f>
        <v>14067.23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445.54+5506.58</f>
        <v>5952.12</v>
      </c>
      <c r="I274" s="18"/>
      <c r="J274" s="18"/>
      <c r="K274" s="18"/>
      <c r="L274" s="19">
        <f t="shared" si="12"/>
        <v>5952.12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f>9591.23</f>
        <v>9591.23</v>
      </c>
      <c r="G276" s="18">
        <f>13.75+656.43+789.77+13.29</f>
        <v>1473.2399999999998</v>
      </c>
      <c r="H276" s="18"/>
      <c r="I276" s="18">
        <f>178.06</f>
        <v>178.06</v>
      </c>
      <c r="J276" s="18"/>
      <c r="K276" s="18"/>
      <c r="L276" s="19">
        <f t="shared" si="12"/>
        <v>11242.529999999999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600135.59</v>
      </c>
      <c r="G282" s="42">
        <f t="shared" si="13"/>
        <v>238693.55999999997</v>
      </c>
      <c r="H282" s="42">
        <f t="shared" si="13"/>
        <v>153191.84099999999</v>
      </c>
      <c r="I282" s="42">
        <f t="shared" si="13"/>
        <v>21383.75</v>
      </c>
      <c r="J282" s="42">
        <f t="shared" si="13"/>
        <v>10893.98</v>
      </c>
      <c r="K282" s="42">
        <f t="shared" si="13"/>
        <v>9041.369999999999</v>
      </c>
      <c r="L282" s="41">
        <f t="shared" si="13"/>
        <v>1033340.091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f>3116+23751+(0.3*32916.04)</f>
        <v>36741.811999999998</v>
      </c>
      <c r="I287" s="18"/>
      <c r="J287" s="18"/>
      <c r="K287" s="18"/>
      <c r="L287" s="19">
        <f>SUM(F287:K287)</f>
        <v>36741.811999999998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35347+(0.3*20000)+13268.61</f>
        <v>54615.61</v>
      </c>
      <c r="G288" s="18">
        <f>9222.72+15301.44+2649.76+2834.79+8472.32+215.55+1378.59</f>
        <v>40075.17</v>
      </c>
      <c r="H288" s="18">
        <f>0.33*(28869.7)+(0.3*17440)+(0.3*5686.9)+9000+1500+(0.3*12087.66)+11181+21844+590+5000+1905+5211</f>
        <v>76322.369000000006</v>
      </c>
      <c r="I288" s="18">
        <f>1994</f>
        <v>1994</v>
      </c>
      <c r="J288" s="18">
        <f>4197.64+(0.3*7794)</f>
        <v>6535.84</v>
      </c>
      <c r="K288" s="18"/>
      <c r="L288" s="19">
        <f>SUM(F288:K288)</f>
        <v>179542.989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54615.61</v>
      </c>
      <c r="G301" s="42">
        <f t="shared" si="15"/>
        <v>40075.17</v>
      </c>
      <c r="H301" s="42">
        <f t="shared" si="15"/>
        <v>113064.18100000001</v>
      </c>
      <c r="I301" s="42">
        <f t="shared" si="15"/>
        <v>1994</v>
      </c>
      <c r="J301" s="42">
        <f t="shared" si="15"/>
        <v>6535.84</v>
      </c>
      <c r="K301" s="42">
        <f t="shared" si="15"/>
        <v>0</v>
      </c>
      <c r="L301" s="41">
        <f t="shared" si="15"/>
        <v>216284.80100000001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>
        <f>5592.2+58000+(0.34*32916.04)</f>
        <v>74783.653599999991</v>
      </c>
      <c r="I306" s="18"/>
      <c r="J306" s="18"/>
      <c r="K306" s="18"/>
      <c r="L306" s="19">
        <f>SUM(F306:K306)</f>
        <v>74783.653599999991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31821+33587+3671.64+(0.34*20000)+34648+38212.4+4462.5</f>
        <v>153202.54</v>
      </c>
      <c r="G307" s="18">
        <f>5667.27+2185.92+15301.44+1165.84+1427.38+2649.76+2552.15+2693.63+3994.23+15301.44+454.23+2650.43+2778.73+13493.98+449.97+2923.3+3500.24+241.57+357.91</f>
        <v>79789.420000000027</v>
      </c>
      <c r="H307" s="18">
        <f>4800+(0.34*28869.7)+(0.34*17440)+(0.34*5686.9)+1500+(0.34*12087.66)+8150+16372.122</f>
        <v>52610.770400000009</v>
      </c>
      <c r="I307" s="18">
        <v>1083.07</v>
      </c>
      <c r="J307" s="18">
        <f>(0.34*7994)+224+1121.9</f>
        <v>4063.86</v>
      </c>
      <c r="K307" s="18">
        <f>2104</f>
        <v>2104</v>
      </c>
      <c r="L307" s="19">
        <f>SUM(F307:K307)</f>
        <v>292853.66039999999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8102+2371.11</f>
        <v>10473.11</v>
      </c>
      <c r="G308" s="18">
        <v>294.48</v>
      </c>
      <c r="H308" s="18">
        <f>15975+94500+641.45+52.8+717.4</f>
        <v>111886.65</v>
      </c>
      <c r="I308" s="18">
        <f>1485+706.88</f>
        <v>2191.88</v>
      </c>
      <c r="J308" s="18">
        <f>54498.97+6368.97+18671.69+1248+3199+6023.18+909.36</f>
        <v>90919.17</v>
      </c>
      <c r="K308" s="18"/>
      <c r="L308" s="19">
        <f>SUM(F308:K308)</f>
        <v>215765.28999999998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2271.44</f>
        <v>2271.44</v>
      </c>
      <c r="I311" s="18"/>
      <c r="J311" s="18"/>
      <c r="K311" s="18"/>
      <c r="L311" s="19">
        <f t="shared" ref="L311:L317" si="16">SUM(F311:K311)</f>
        <v>2271.44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>
        <f>5529.74+7281.31</f>
        <v>12811.05</v>
      </c>
      <c r="L314" s="19">
        <f t="shared" si="16"/>
        <v>12811.05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>
        <f>437.52</f>
        <v>437.52</v>
      </c>
      <c r="J317" s="18"/>
      <c r="K317" s="18"/>
      <c r="L317" s="19">
        <f t="shared" si="16"/>
        <v>437.52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163675.65000000002</v>
      </c>
      <c r="G320" s="42">
        <f t="shared" si="17"/>
        <v>80083.900000000023</v>
      </c>
      <c r="H320" s="42">
        <f t="shared" si="17"/>
        <v>241552.514</v>
      </c>
      <c r="I320" s="42">
        <f t="shared" si="17"/>
        <v>3712.47</v>
      </c>
      <c r="J320" s="42">
        <f t="shared" si="17"/>
        <v>94983.03</v>
      </c>
      <c r="K320" s="42">
        <f t="shared" si="17"/>
        <v>14915.05</v>
      </c>
      <c r="L320" s="41">
        <f t="shared" si="17"/>
        <v>598922.61400000006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8625</f>
        <v>8625</v>
      </c>
      <c r="G325" s="18">
        <f>23.68+659.81+691.73</f>
        <v>1375.2199999999998</v>
      </c>
      <c r="H325" s="18">
        <f>500</f>
        <v>500</v>
      </c>
      <c r="I325" s="18">
        <f>174.55</f>
        <v>174.55</v>
      </c>
      <c r="J325" s="18"/>
      <c r="K325" s="18"/>
      <c r="L325" s="19">
        <f t="shared" si="18"/>
        <v>10674.769999999999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8625</v>
      </c>
      <c r="G329" s="41">
        <f t="shared" si="19"/>
        <v>1375.2199999999998</v>
      </c>
      <c r="H329" s="41">
        <f t="shared" si="19"/>
        <v>500</v>
      </c>
      <c r="I329" s="41">
        <f t="shared" si="19"/>
        <v>174.55</v>
      </c>
      <c r="J329" s="41">
        <f t="shared" si="19"/>
        <v>0</v>
      </c>
      <c r="K329" s="41">
        <f t="shared" si="19"/>
        <v>0</v>
      </c>
      <c r="L329" s="41">
        <f t="shared" si="18"/>
        <v>10674.769999999999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827051.85</v>
      </c>
      <c r="G330" s="41">
        <f t="shared" si="20"/>
        <v>360227.85</v>
      </c>
      <c r="H330" s="41">
        <f t="shared" si="20"/>
        <v>508308.53599999996</v>
      </c>
      <c r="I330" s="41">
        <f t="shared" si="20"/>
        <v>27264.77</v>
      </c>
      <c r="J330" s="41">
        <f t="shared" si="20"/>
        <v>112412.85</v>
      </c>
      <c r="K330" s="41">
        <f t="shared" si="20"/>
        <v>23956.42</v>
      </c>
      <c r="L330" s="41">
        <f t="shared" si="20"/>
        <v>1859222.2760000001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18402.26+7487.94+16085.85+4827.89</f>
        <v>46803.939999999995</v>
      </c>
      <c r="L336" s="19">
        <f t="shared" ref="L336:L342" si="21">SUM(F336:K336)</f>
        <v>46803.939999999995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46803.939999999995</v>
      </c>
      <c r="L343" s="41">
        <f>SUM(L333:L342)</f>
        <v>46803.939999999995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827051.85</v>
      </c>
      <c r="G344" s="41">
        <f>G330</f>
        <v>360227.85</v>
      </c>
      <c r="H344" s="41">
        <f>H330</f>
        <v>508308.53599999996</v>
      </c>
      <c r="I344" s="41">
        <f>I330</f>
        <v>27264.77</v>
      </c>
      <c r="J344" s="41">
        <f>J330</f>
        <v>112412.85</v>
      </c>
      <c r="K344" s="47">
        <f>K330+K343</f>
        <v>70760.359999999986</v>
      </c>
      <c r="L344" s="41">
        <f>L330+L343</f>
        <v>1906026.216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64750.86+(0.2*108754.59)</f>
        <v>86501.778000000006</v>
      </c>
      <c r="G350" s="18">
        <f>0.25*266538.85</f>
        <v>66634.712499999994</v>
      </c>
      <c r="H350" s="18">
        <f>0.25*19071.9</f>
        <v>4767.9750000000004</v>
      </c>
      <c r="I350" s="18">
        <f>52.96+265+15213.85+3.99+(82116.14+118518.56)*0.4+8683.41</f>
        <v>104473.09000000001</v>
      </c>
      <c r="J350" s="18">
        <f>3676.15</f>
        <v>3676.15</v>
      </c>
      <c r="K350" s="18">
        <f>0.25*3803.89</f>
        <v>950.97249999999997</v>
      </c>
      <c r="L350" s="13">
        <f>SUM(F350:K350)</f>
        <v>267004.67800000001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61059.75+70616.53+(108754.59*0.21)</f>
        <v>154514.7439</v>
      </c>
      <c r="G351" s="18">
        <f>0.34*266538.85</f>
        <v>90623.209000000003</v>
      </c>
      <c r="H351" s="18">
        <f>0.34*19071.9</f>
        <v>6484.4460000000008</v>
      </c>
      <c r="I351" s="18">
        <f>6485.21+(82116.14*0.6)+13311.05+1300.85+1186.18+9546.81+(118518.56*0.6)+15713.5+1734.39+802.49-423.25-318.1</f>
        <v>169719.94999999998</v>
      </c>
      <c r="J351" s="18"/>
      <c r="K351" s="18">
        <f>0.34*3803.89</f>
        <v>1293.3226</v>
      </c>
      <c r="L351" s="19">
        <f>SUM(F351:K351)</f>
        <v>422635.6715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135746.41+(108754.59*0.6)</f>
        <v>200999.16399999999</v>
      </c>
      <c r="G352" s="18">
        <f>0.41*266538.85</f>
        <v>109280.92849999998</v>
      </c>
      <c r="H352" s="18">
        <f>0.41*19071.9</f>
        <v>7819.4790000000003</v>
      </c>
      <c r="I352" s="18">
        <f>15359.12+191966.59+35811.67+2696.13+1671.29</f>
        <v>247504.80000000002</v>
      </c>
      <c r="J352" s="18">
        <f>2535.67</f>
        <v>2535.67</v>
      </c>
      <c r="K352" s="18">
        <f>0.41*3803.69</f>
        <v>1559.5128999999999</v>
      </c>
      <c r="L352" s="19">
        <f>SUM(F352:K352)</f>
        <v>569699.55440000002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442015.68589999998</v>
      </c>
      <c r="G354" s="47">
        <f t="shared" si="22"/>
        <v>266538.84999999998</v>
      </c>
      <c r="H354" s="47">
        <f t="shared" si="22"/>
        <v>19071.900000000001</v>
      </c>
      <c r="I354" s="47">
        <f t="shared" si="22"/>
        <v>521697.83999999997</v>
      </c>
      <c r="J354" s="47">
        <f t="shared" si="22"/>
        <v>6211.82</v>
      </c>
      <c r="K354" s="47">
        <f t="shared" si="22"/>
        <v>3803.808</v>
      </c>
      <c r="L354" s="47">
        <f t="shared" si="22"/>
        <v>1259339.9039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265+15213.85+(0.4*82116.14)+(0.4*118518.56)</f>
        <v>95732.73</v>
      </c>
      <c r="G359" s="18">
        <f>(82116.14*0.6)+13311.05+(118518.56*0.6)+15713.5+1734.39+1300.85</f>
        <v>152440.61000000002</v>
      </c>
      <c r="H359" s="18">
        <f>191966.59+35811.67+2696.13</f>
        <v>230474.39</v>
      </c>
      <c r="I359" s="56">
        <f>SUM(F359:H359)</f>
        <v>478647.73000000004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I350-F359</f>
        <v>8740.3600000000151</v>
      </c>
      <c r="G360" s="63">
        <f>I351-G359</f>
        <v>17279.339999999967</v>
      </c>
      <c r="H360" s="63">
        <f>I352-H359</f>
        <v>17030.410000000003</v>
      </c>
      <c r="I360" s="56">
        <f>SUM(F360:H360)</f>
        <v>43050.109999999986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104473.09000000001</v>
      </c>
      <c r="G361" s="47">
        <f>SUM(G359:G360)</f>
        <v>169719.94999999998</v>
      </c>
      <c r="H361" s="47">
        <f>SUM(H359:H360)</f>
        <v>247504.80000000002</v>
      </c>
      <c r="I361" s="47">
        <f>SUM(I359:I360)</f>
        <v>521697.84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/>
      <c r="I381" s="18"/>
      <c r="J381" s="24" t="s">
        <v>312</v>
      </c>
      <c r="K381" s="24" t="s">
        <v>312</v>
      </c>
      <c r="L381" s="56">
        <f t="shared" si="25"/>
        <v>50000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150000</v>
      </c>
      <c r="H389" s="18"/>
      <c r="I389" s="18"/>
      <c r="J389" s="24" t="s">
        <v>312</v>
      </c>
      <c r="K389" s="24" t="s">
        <v>312</v>
      </c>
      <c r="L389" s="56">
        <f t="shared" si="26"/>
        <v>150000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137100</v>
      </c>
      <c r="I407" s="18"/>
      <c r="J407" s="18"/>
      <c r="K407" s="18"/>
      <c r="L407" s="56">
        <f t="shared" si="27"/>
        <v>137100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137100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137100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137100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137100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146107.15</v>
      </c>
      <c r="G432" s="18">
        <v>36720.14</v>
      </c>
      <c r="H432" s="18"/>
      <c r="I432" s="56">
        <f t="shared" si="33"/>
        <v>182827.28999999998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50000</v>
      </c>
      <c r="G433" s="18">
        <v>150000</v>
      </c>
      <c r="H433" s="18"/>
      <c r="I433" s="56">
        <f t="shared" si="33"/>
        <v>200000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196107.15</v>
      </c>
      <c r="G438" s="13">
        <f>SUM(G431:G437)</f>
        <v>186720.14</v>
      </c>
      <c r="H438" s="13">
        <f>SUM(H431:H437)</f>
        <v>0</v>
      </c>
      <c r="I438" s="13">
        <f>SUM(I431:I437)</f>
        <v>382827.29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137100</v>
      </c>
      <c r="G440" s="18"/>
      <c r="H440" s="18"/>
      <c r="I440" s="56">
        <f>SUM(F440:H440)</f>
        <v>137100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137100</v>
      </c>
      <c r="G444" s="72">
        <f>SUM(G440:G443)</f>
        <v>0</v>
      </c>
      <c r="H444" s="72">
        <f>SUM(H440:H443)</f>
        <v>0</v>
      </c>
      <c r="I444" s="72">
        <f>SUM(I440:I443)</f>
        <v>137100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F432+F433-F444</f>
        <v>59007.149999999994</v>
      </c>
      <c r="G449" s="18">
        <v>186720.14</v>
      </c>
      <c r="H449" s="18"/>
      <c r="I449" s="56">
        <f>SUM(F449:H449)</f>
        <v>245727.29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59007.149999999994</v>
      </c>
      <c r="G450" s="83">
        <f>SUM(G446:G449)</f>
        <v>186720.14</v>
      </c>
      <c r="H450" s="83">
        <f>SUM(H446:H449)</f>
        <v>0</v>
      </c>
      <c r="I450" s="83">
        <f>SUM(I446:I449)</f>
        <v>245727.29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196107.15</v>
      </c>
      <c r="G451" s="42">
        <f>G444+G450</f>
        <v>186720.14</v>
      </c>
      <c r="H451" s="42">
        <f>H444+H450</f>
        <v>0</v>
      </c>
      <c r="I451" s="42">
        <f>I444+I450</f>
        <v>382827.29000000004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271026.52</f>
        <v>271026.52</v>
      </c>
      <c r="G455" s="18">
        <f>-158316.18-550.04</f>
        <v>-158866.22</v>
      </c>
      <c r="H455" s="18">
        <v>0</v>
      </c>
      <c r="I455" s="18"/>
      <c r="J455" s="18">
        <f>182827.29</f>
        <v>182827.29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41694131.32</v>
      </c>
      <c r="G458" s="18">
        <f>G185</f>
        <v>1305191.19</v>
      </c>
      <c r="H458" s="18">
        <f>H185</f>
        <v>1906026.22</v>
      </c>
      <c r="I458" s="18"/>
      <c r="J458" s="18">
        <f>J185</f>
        <v>200000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1113.77</v>
      </c>
      <c r="G459" s="18">
        <v>3423.08</v>
      </c>
      <c r="H459" s="18">
        <v>724.44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41695245.090000004</v>
      </c>
      <c r="G460" s="53">
        <f>SUM(G458:G459)</f>
        <v>1308614.27</v>
      </c>
      <c r="H460" s="53">
        <f>SUM(H458:H459)</f>
        <v>1906750.66</v>
      </c>
      <c r="I460" s="53">
        <f>SUM(I458:I459)</f>
        <v>0</v>
      </c>
      <c r="J460" s="53">
        <f>SUM(J458:J459)</f>
        <v>200000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40468717.426151127</v>
      </c>
      <c r="G462" s="18">
        <f>L354</f>
        <v>1259339.9039</v>
      </c>
      <c r="H462" s="18">
        <f>L344</f>
        <v>1906026.216</v>
      </c>
      <c r="I462" s="18"/>
      <c r="J462" s="18">
        <f>L411</f>
        <v>137100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8969.11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40477686.536151126</v>
      </c>
      <c r="G464" s="53">
        <f>SUM(G462:G463)</f>
        <v>1259339.9039</v>
      </c>
      <c r="H464" s="53">
        <f>SUM(H462:H463)</f>
        <v>1906026.216</v>
      </c>
      <c r="I464" s="53">
        <f>SUM(I462:I463)</f>
        <v>0</v>
      </c>
      <c r="J464" s="53">
        <f>SUM(J462:J463)</f>
        <v>137100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1488585.0738488808</v>
      </c>
      <c r="G466" s="53">
        <f>(G455+G460)- G464</f>
        <v>-109591.85389999999</v>
      </c>
      <c r="H466" s="53">
        <f>(H455+H460)- H464</f>
        <v>724.44399999990128</v>
      </c>
      <c r="I466" s="53">
        <f>(I455+I460)- I464</f>
        <v>0</v>
      </c>
      <c r="J466" s="53">
        <f>(J455+J460)- J464</f>
        <v>245727.29000000004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9000000</v>
      </c>
      <c r="G483" s="18">
        <v>14475000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4.87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2700297.99</v>
      </c>
      <c r="G485" s="18">
        <v>1404489.95</v>
      </c>
      <c r="H485" s="18"/>
      <c r="I485" s="18"/>
      <c r="J485" s="18"/>
      <c r="K485" s="53">
        <f>SUM(F485:J485)</f>
        <v>4104787.9400000004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1002745.32</v>
      </c>
      <c r="G487" s="18">
        <v>495324.85</v>
      </c>
      <c r="H487" s="18"/>
      <c r="I487" s="18"/>
      <c r="J487" s="18"/>
      <c r="K487" s="53">
        <f t="shared" si="34"/>
        <v>1498070.17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1697552.67</v>
      </c>
      <c r="G488" s="205">
        <v>909165.1</v>
      </c>
      <c r="H488" s="205"/>
      <c r="I488" s="205"/>
      <c r="J488" s="205"/>
      <c r="K488" s="206">
        <f t="shared" si="34"/>
        <v>2606717.77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76424.72</v>
      </c>
      <c r="G489" s="18">
        <v>1020834.9</v>
      </c>
      <c r="H489" s="18"/>
      <c r="I489" s="18"/>
      <c r="J489" s="18"/>
      <c r="K489" s="53">
        <f t="shared" si="34"/>
        <v>1097259.6200000001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1773977.39</v>
      </c>
      <c r="G490" s="42">
        <f>SUM(G488:G489)</f>
        <v>1930000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3703977.3899999997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1052173.57</v>
      </c>
      <c r="G491" s="205">
        <v>467793.4</v>
      </c>
      <c r="H491" s="205"/>
      <c r="I491" s="205"/>
      <c r="J491" s="205"/>
      <c r="K491" s="206">
        <f t="shared" si="34"/>
        <v>1519966.9700000002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63224.69</v>
      </c>
      <c r="G492" s="18">
        <v>497206.6</v>
      </c>
      <c r="H492" s="18"/>
      <c r="I492" s="18"/>
      <c r="J492" s="18"/>
      <c r="K492" s="53">
        <f t="shared" si="34"/>
        <v>560431.29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1115398.26</v>
      </c>
      <c r="G493" s="42">
        <f>SUM(G491:G492)</f>
        <v>965000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2080398.26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610187.26+437684.67+163167.1+79493.28+87287.26+0.3*78618.77+((125924+276735.12)*0.4)+((88382+9331)*0.3)</f>
        <v>1591782.7490000001</v>
      </c>
      <c r="G511" s="18">
        <f>F511*7.65%+331848.74+86495.44+F511*9.07%+0.3*41848.31</f>
        <v>697044.74863280007</v>
      </c>
      <c r="H511" s="18">
        <f>30108.9+0.3*52256.64+0.3*8997+36326.3</f>
        <v>84811.292000000001</v>
      </c>
      <c r="I511" s="18">
        <f>4371.72+591.85+273.75+132.47+1885.05+102.33+1893.12+0.4*3004.21+0.3*9326</f>
        <v>13249.773999999999</v>
      </c>
      <c r="J511" s="18">
        <f>5419.78</f>
        <v>5419.78</v>
      </c>
      <c r="K511" s="18">
        <f>1159.08</f>
        <v>1159.08</v>
      </c>
      <c r="L511" s="88">
        <f>SUM(F511:K511)</f>
        <v>2393467.4236328001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438426.4+394314.48+42866.64+54615.61+0.34*78618.77+((125824+278735.12)*0.6)+((88382+9331)*0.34)</f>
        <v>1232911.4038</v>
      </c>
      <c r="G512" s="18">
        <f>F512*7.65%+302112.83+40075.17+F512*0.0907+0.34*41848.31</f>
        <v>562559.21211535996</v>
      </c>
      <c r="H512" s="18">
        <f>76322.37+339.07+0.34*52256.64+0.34*8997+128833.53+171+59762.76+39100.05</f>
        <v>325355.01759999996</v>
      </c>
      <c r="I512" s="18">
        <f>4616.77+1227.95+465.76+1994+2541.33+0.6*3004.21+0.34*9326</f>
        <v>15819.175999999999</v>
      </c>
      <c r="J512" s="18">
        <f>84.94+100+6535.84+498</f>
        <v>7218.78</v>
      </c>
      <c r="K512" s="18"/>
      <c r="L512" s="88">
        <f>SUM(F512:K512)</f>
        <v>2143863.5895153596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314647+181773.25+21755.7+310322.96+373319.95+153202.54+0.36*78618.77+((88382+9331)*0.36)</f>
        <v>1418500.8372000002</v>
      </c>
      <c r="G513" s="18">
        <f>F513*7.65%+174082.16+79789.42+F513*0.0907+0.36*41848.31</f>
        <v>506110.31157984002</v>
      </c>
      <c r="H513" s="18">
        <f>679.58+2640.39+8607.85+52610.77+29810+0.36*52256.34+0.36*8997+141890.21+51363+36900+42145.39+32644.04+19118.79+5261.16+36433.14+315297.95+42132.57+93500.35+17952+31274.36+150719.14+56431.2+548</f>
        <v>1190011.0923999997</v>
      </c>
      <c r="I513" s="18">
        <f>2640.39+289.18+314.5+399.8+2482.16+1827.04+206+410.97+1083.07+653.28+0.36*9326</f>
        <v>13663.75</v>
      </c>
      <c r="J513" s="18">
        <f>4063.88</f>
        <v>4063.88</v>
      </c>
      <c r="K513" s="18">
        <f>2104</f>
        <v>2104</v>
      </c>
      <c r="L513" s="88">
        <f>SUM(F513:K513)</f>
        <v>3134453.8711798396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4243194.99</v>
      </c>
      <c r="G514" s="108">
        <f t="shared" ref="G514:L514" si="35">SUM(G511:G513)</f>
        <v>1765714.2723280001</v>
      </c>
      <c r="H514" s="108">
        <f t="shared" si="35"/>
        <v>1600177.4019999998</v>
      </c>
      <c r="I514" s="108">
        <f t="shared" si="35"/>
        <v>42732.7</v>
      </c>
      <c r="J514" s="108">
        <f t="shared" si="35"/>
        <v>16702.439999999999</v>
      </c>
      <c r="K514" s="108">
        <f t="shared" si="35"/>
        <v>3263.08</v>
      </c>
      <c r="L514" s="89">
        <f t="shared" si="35"/>
        <v>7671784.8843279993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0.3*174347+0.34*355674+0.3*237290.8</f>
        <v>244420.5</v>
      </c>
      <c r="G516" s="18">
        <f>F516*0.0765+F516*0.0907</f>
        <v>40867.107600000003</v>
      </c>
      <c r="H516" s="18">
        <f>0.3*32591.9</f>
        <v>9777.57</v>
      </c>
      <c r="I516" s="18">
        <f>0.3*3389.64+0.3*1904.73+0.3*2520.72</f>
        <v>2344.527</v>
      </c>
      <c r="J516" s="18"/>
      <c r="K516" s="18">
        <f>0.3*4353.85+0.3*700</f>
        <v>1516.155</v>
      </c>
      <c r="L516" s="88">
        <f>SUM(F516:K516)</f>
        <v>298925.85960000003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0.34*174347+0.34*355674+0.34*237290.8</f>
        <v>260886.01200000002</v>
      </c>
      <c r="G517" s="18">
        <f>F517*0.0765+F517*0.0907</f>
        <v>43620.141206400003</v>
      </c>
      <c r="H517" s="18">
        <f>0.34*32591.94</f>
        <v>11081.259600000001</v>
      </c>
      <c r="I517" s="18">
        <f>0.34*3389.64+0.34*1904.73+0.34*2520.72</f>
        <v>2657.1306</v>
      </c>
      <c r="J517" s="18">
        <v>945.99</v>
      </c>
      <c r="K517" s="18">
        <f>0.34*4353.85+0.34*700</f>
        <v>1718.3090000000002</v>
      </c>
      <c r="L517" s="88">
        <f>SUM(F517:K517)</f>
        <v>320908.84240639996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0.36*174347+0.36*355674+0.36*237290.8</f>
        <v>276232.24800000002</v>
      </c>
      <c r="G518" s="18">
        <f>F518*0.0765+F518*0.0907</f>
        <v>46186.031865600002</v>
      </c>
      <c r="H518" s="18">
        <f>0.36*32591.96</f>
        <v>11733.105599999999</v>
      </c>
      <c r="I518" s="18">
        <f>0.36*3389.64+0.36*1904.73+0.36*2520.72</f>
        <v>2813.4323999999997</v>
      </c>
      <c r="J518" s="18"/>
      <c r="K518" s="18">
        <f>0.36*4353.85+0.36*700</f>
        <v>1819.386</v>
      </c>
      <c r="L518" s="88">
        <f>SUM(F518:K518)</f>
        <v>338784.20386560005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781538.76</v>
      </c>
      <c r="G519" s="89">
        <f t="shared" ref="G519:L519" si="36">SUM(G516:G518)</f>
        <v>130673.28067200001</v>
      </c>
      <c r="H519" s="89">
        <f t="shared" si="36"/>
        <v>32591.9352</v>
      </c>
      <c r="I519" s="89">
        <f t="shared" si="36"/>
        <v>7815.09</v>
      </c>
      <c r="J519" s="89">
        <f t="shared" si="36"/>
        <v>945.99</v>
      </c>
      <c r="K519" s="89">
        <f t="shared" si="36"/>
        <v>5053.8500000000004</v>
      </c>
      <c r="L519" s="89">
        <f t="shared" si="36"/>
        <v>958618.90587200003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(82271.76+164692.59)*0.3</f>
        <v>74089.304999999993</v>
      </c>
      <c r="G521" s="18">
        <f>F521*0.0765+0.3*38847.48+F521*0.11</f>
        <v>25471.8993825</v>
      </c>
      <c r="H521" s="18">
        <f>0.3*9019.891+0.3*536.6+0.3*1445+0.3*1000</f>
        <v>3600.4472999999998</v>
      </c>
      <c r="I521" s="18"/>
      <c r="J521" s="18"/>
      <c r="K521" s="18"/>
      <c r="L521" s="88">
        <f>SUM(F521:K521)</f>
        <v>103161.6516825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(82271.76+164692.59)*0.34</f>
        <v>83967.879000000001</v>
      </c>
      <c r="G522" s="18">
        <f>F522*0.0765+0.34*38847.48+F522*0.11</f>
        <v>28868.152633500002</v>
      </c>
      <c r="H522" s="18">
        <f>0.3*9019.891+0.34*536.6+0.34*1445+0.34*1000</f>
        <v>3719.7112999999999</v>
      </c>
      <c r="I522" s="18"/>
      <c r="J522" s="18"/>
      <c r="K522" s="18"/>
      <c r="L522" s="88">
        <f>SUM(F522:K522)</f>
        <v>116555.74293350001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67634.95+(82271.78+164692.59)*0.36</f>
        <v>156542.12319999997</v>
      </c>
      <c r="G523" s="18">
        <f>F523*0.0765+0.36*38847.48+F523*0.11</f>
        <v>43180.198776799996</v>
      </c>
      <c r="H523" s="18">
        <f>0.36*9019.891+0.36*536.6+0.36*1445+0.36*1000</f>
        <v>4320.536759999999</v>
      </c>
      <c r="I523" s="18"/>
      <c r="J523" s="18"/>
      <c r="K523" s="18"/>
      <c r="L523" s="88">
        <f>SUM(F523:K523)</f>
        <v>204042.85873679997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314599.30719999998</v>
      </c>
      <c r="G524" s="89">
        <f t="shared" ref="G524:L524" si="37">SUM(G521:G523)</f>
        <v>97520.250792799998</v>
      </c>
      <c r="H524" s="89">
        <f t="shared" si="37"/>
        <v>11640.695359999998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423760.25335279998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0.3*92289.63</f>
        <v>27686.888999999999</v>
      </c>
      <c r="I526" s="18"/>
      <c r="J526" s="18"/>
      <c r="K526" s="18"/>
      <c r="L526" s="88">
        <f>SUM(F526:K526)</f>
        <v>27686.888999999999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0.34*92289.63</f>
        <v>31378.474200000004</v>
      </c>
      <c r="I527" s="18"/>
      <c r="J527" s="18"/>
      <c r="K527" s="18"/>
      <c r="L527" s="88">
        <f>SUM(F527:K527)</f>
        <v>31378.474200000004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0.36*92289.63</f>
        <v>33224.266799999998</v>
      </c>
      <c r="I528" s="18"/>
      <c r="J528" s="18"/>
      <c r="K528" s="18"/>
      <c r="L528" s="88">
        <f>SUM(F528:K528)</f>
        <v>33224.266799999998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92289.63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92289.63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(75634+407141.75)*0.36</f>
        <v>173799.27</v>
      </c>
      <c r="I531" s="18"/>
      <c r="J531" s="18"/>
      <c r="K531" s="18"/>
      <c r="L531" s="88">
        <f>SUM(F531:K531)</f>
        <v>173799.27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(75634+407141.75)*0.34</f>
        <v>164143.755</v>
      </c>
      <c r="I532" s="18"/>
      <c r="J532" s="18"/>
      <c r="K532" s="18"/>
      <c r="L532" s="88">
        <f>SUM(F532:K532)</f>
        <v>164143.755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(75634+407141.75)*0.3</f>
        <v>144832.72500000001</v>
      </c>
      <c r="I533" s="18"/>
      <c r="J533" s="18"/>
      <c r="K533" s="18"/>
      <c r="L533" s="88">
        <f>SUM(F533:K533)</f>
        <v>144832.72500000001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482775.75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482775.75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5339333.0571999997</v>
      </c>
      <c r="G535" s="89">
        <f t="shared" ref="G535:L535" si="40">G514+G519+G524+G529+G534</f>
        <v>1993907.8037928001</v>
      </c>
      <c r="H535" s="89">
        <f t="shared" si="40"/>
        <v>2219475.4125599996</v>
      </c>
      <c r="I535" s="89">
        <f t="shared" si="40"/>
        <v>50547.789999999994</v>
      </c>
      <c r="J535" s="89">
        <f t="shared" si="40"/>
        <v>17648.43</v>
      </c>
      <c r="K535" s="89">
        <f t="shared" si="40"/>
        <v>8316.93</v>
      </c>
      <c r="L535" s="89">
        <f t="shared" si="40"/>
        <v>9629229.4235528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2393467.4236328001</v>
      </c>
      <c r="G539" s="87">
        <f>L516</f>
        <v>298925.85960000003</v>
      </c>
      <c r="H539" s="87">
        <f>L521</f>
        <v>103161.6516825</v>
      </c>
      <c r="I539" s="87">
        <f>L526</f>
        <v>27686.888999999999</v>
      </c>
      <c r="J539" s="87">
        <f>L531</f>
        <v>173799.27</v>
      </c>
      <c r="K539" s="87">
        <f>SUM(F539:J539)</f>
        <v>2997041.0939153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2143863.5895153596</v>
      </c>
      <c r="G540" s="87">
        <f>L517</f>
        <v>320908.84240639996</v>
      </c>
      <c r="H540" s="87">
        <f>L522</f>
        <v>116555.74293350001</v>
      </c>
      <c r="I540" s="87">
        <f>L527</f>
        <v>31378.474200000004</v>
      </c>
      <c r="J540" s="87">
        <f>L532</f>
        <v>164143.755</v>
      </c>
      <c r="K540" s="87">
        <f>SUM(F540:J540)</f>
        <v>2776850.4040552597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3134453.8711798396</v>
      </c>
      <c r="G541" s="87">
        <f>L518</f>
        <v>338784.20386560005</v>
      </c>
      <c r="H541" s="87">
        <f>L523</f>
        <v>204042.85873679997</v>
      </c>
      <c r="I541" s="87">
        <f>L528</f>
        <v>33224.266799999998</v>
      </c>
      <c r="J541" s="87">
        <f>L533</f>
        <v>144832.72500000001</v>
      </c>
      <c r="K541" s="87">
        <f>SUM(F541:J541)</f>
        <v>3855337.9255822394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7671784.8843279993</v>
      </c>
      <c r="G542" s="89">
        <f t="shared" si="41"/>
        <v>958618.90587200003</v>
      </c>
      <c r="H542" s="89">
        <f t="shared" si="41"/>
        <v>423760.25335279998</v>
      </c>
      <c r="I542" s="89">
        <f t="shared" si="41"/>
        <v>92289.63</v>
      </c>
      <c r="J542" s="89">
        <f t="shared" si="41"/>
        <v>482775.75</v>
      </c>
      <c r="K542" s="89">
        <f t="shared" si="41"/>
        <v>9629229.4235528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69352*0.3</f>
        <v>20805.599999999999</v>
      </c>
      <c r="G552" s="18">
        <f>F552*0.2016</f>
        <v>4194.4089599999998</v>
      </c>
      <c r="H552" s="18">
        <f>2230.15*0.3</f>
        <v>669.04499999999996</v>
      </c>
      <c r="I552" s="18">
        <f>(953.84+322.79)*0.3</f>
        <v>382.98900000000003</v>
      </c>
      <c r="J552" s="18"/>
      <c r="K552" s="18"/>
      <c r="L552" s="88">
        <f>SUM(F552:K552)</f>
        <v>26052.042959999999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69352*0.34</f>
        <v>23579.68</v>
      </c>
      <c r="G553" s="18">
        <f>F553*0.2016</f>
        <v>4753.6634880000001</v>
      </c>
      <c r="H553" s="18">
        <f>2230.15*0.34</f>
        <v>758.25100000000009</v>
      </c>
      <c r="I553" s="18">
        <f>(953.84+322.79)*0.34</f>
        <v>434.05420000000009</v>
      </c>
      <c r="J553" s="18"/>
      <c r="K553" s="18"/>
      <c r="L553" s="88">
        <f>SUM(F553:K553)</f>
        <v>29525.648687999997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69352*0.36</f>
        <v>24966.719999999998</v>
      </c>
      <c r="G554" s="18">
        <f>F554*0.2016</f>
        <v>5033.2907519999999</v>
      </c>
      <c r="H554" s="18">
        <f>2230.15*0.36</f>
        <v>802.85400000000004</v>
      </c>
      <c r="I554" s="18">
        <f>(953.84+322.79)*0.36</f>
        <v>459.58680000000004</v>
      </c>
      <c r="J554" s="18"/>
      <c r="K554" s="18"/>
      <c r="L554" s="88">
        <f>SUM(F554:K554)</f>
        <v>31262.451551999999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69352</v>
      </c>
      <c r="G555" s="89">
        <f t="shared" si="43"/>
        <v>13981.3632</v>
      </c>
      <c r="H555" s="89">
        <f t="shared" si="43"/>
        <v>2230.15</v>
      </c>
      <c r="I555" s="89">
        <f t="shared" si="43"/>
        <v>1276.6300000000001</v>
      </c>
      <c r="J555" s="89">
        <f t="shared" si="43"/>
        <v>0</v>
      </c>
      <c r="K555" s="89">
        <f t="shared" si="43"/>
        <v>0</v>
      </c>
      <c r="L555" s="89">
        <f t="shared" si="43"/>
        <v>86840.143199999991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69352</v>
      </c>
      <c r="G561" s="89">
        <f t="shared" ref="G561:L561" si="45">G550+G555+G560</f>
        <v>13981.3632</v>
      </c>
      <c r="H561" s="89">
        <f t="shared" si="45"/>
        <v>2230.15</v>
      </c>
      <c r="I561" s="89">
        <f t="shared" si="45"/>
        <v>1276.6300000000001</v>
      </c>
      <c r="J561" s="89">
        <f t="shared" si="45"/>
        <v>0</v>
      </c>
      <c r="K561" s="89">
        <f t="shared" si="45"/>
        <v>0</v>
      </c>
      <c r="L561" s="89">
        <f t="shared" si="45"/>
        <v>86840.143199999991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36626.3</f>
        <v>36626.300000000003</v>
      </c>
      <c r="G572" s="18">
        <f>171+59762.76+39100.05</f>
        <v>99033.81</v>
      </c>
      <c r="H572" s="18">
        <f>141890.21+51363+36900+19118.79+42132.57+14952+31274.36+150719.14+56431.2+548</f>
        <v>545329.27</v>
      </c>
      <c r="I572" s="87">
        <f t="shared" si="46"/>
        <v>680989.38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f>128833.53</f>
        <v>128833.53</v>
      </c>
      <c r="H573" s="18">
        <f>42145.39+32644.04+5261.16+36433.14+315297.95+93500.35</f>
        <v>525282.03</v>
      </c>
      <c r="I573" s="87">
        <f t="shared" si="46"/>
        <v>654115.56000000006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27725.33</v>
      </c>
      <c r="I574" s="87">
        <f t="shared" si="46"/>
        <v>27725.33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0.36*1531562.15+0.36*325022.49</f>
        <v>668370.47039999999</v>
      </c>
      <c r="I581" s="18">
        <f>0.34*1531562.16+0.34*325022.49</f>
        <v>631238.78099999996</v>
      </c>
      <c r="J581" s="18">
        <v>564324.875</v>
      </c>
      <c r="K581" s="104">
        <f t="shared" ref="K581:K587" si="47">SUM(H581:J581)</f>
        <v>1863934.1264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482775.75*0.36</f>
        <v>173799.27</v>
      </c>
      <c r="I582" s="18">
        <f>482775.75*0.34+387.8</f>
        <v>164531.55499999999</v>
      </c>
      <c r="J582" s="18">
        <v>144832.72500000001</v>
      </c>
      <c r="K582" s="104">
        <f t="shared" si="47"/>
        <v>483163.54999999993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3489.96</v>
      </c>
      <c r="K583" s="104">
        <f t="shared" si="47"/>
        <v>3489.96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6625.2+11654.56</f>
        <v>18279.759999999998</v>
      </c>
      <c r="J584" s="18">
        <v>69667.78</v>
      </c>
      <c r="K584" s="104">
        <f t="shared" si="47"/>
        <v>87947.54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11929.81</v>
      </c>
      <c r="I585" s="18">
        <v>22881.79</v>
      </c>
      <c r="J585" s="18"/>
      <c r="K585" s="104">
        <f t="shared" si="47"/>
        <v>34811.599999999999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854099.55040000007</v>
      </c>
      <c r="I588" s="108">
        <f>SUM(I581:I587)</f>
        <v>836931.88599999994</v>
      </c>
      <c r="J588" s="108">
        <f>SUM(J581:J587)</f>
        <v>782315.34</v>
      </c>
      <c r="K588" s="108">
        <f>SUM(K581:K587)</f>
        <v>2473346.7763999999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141502.08799999999</v>
      </c>
      <c r="I594" s="18">
        <f>J221+J301</f>
        <v>113260.34240000001</v>
      </c>
      <c r="J594" s="18">
        <f>J239+J320</f>
        <v>226214.05960000001</v>
      </c>
      <c r="K594" s="104">
        <f>SUM(H594:J594)</f>
        <v>480976.49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141502.08799999999</v>
      </c>
      <c r="I595" s="108">
        <f>SUM(I592:I594)</f>
        <v>113260.34240000001</v>
      </c>
      <c r="J595" s="108">
        <f>SUM(J592:J594)</f>
        <v>226214.05960000001</v>
      </c>
      <c r="K595" s="108">
        <f>SUM(K592:K594)</f>
        <v>480976.49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78618.77*0.3</f>
        <v>23585.631000000001</v>
      </c>
      <c r="G601" s="18">
        <f>F601*0.16</f>
        <v>3773.7009600000001</v>
      </c>
      <c r="H601" s="18">
        <f>1893.12*0.3+0.3*339.07+75634*0.36</f>
        <v>27897.896999999997</v>
      </c>
      <c r="I601" s="18">
        <f>653.28*0.3</f>
        <v>195.98399999999998</v>
      </c>
      <c r="J601" s="18"/>
      <c r="K601" s="18"/>
      <c r="L601" s="88">
        <f>SUM(F601:K601)</f>
        <v>55453.212959999997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78618.77*0.34</f>
        <v>26730.381800000003</v>
      </c>
      <c r="G602" s="18">
        <f>F602*0.16</f>
        <v>4276.8610880000006</v>
      </c>
      <c r="H602" s="18">
        <f>1893.12*0.34+0.34*339.07+75634*0.34</f>
        <v>26474.5046</v>
      </c>
      <c r="I602" s="18">
        <f>653.28*0.34</f>
        <v>222.11520000000002</v>
      </c>
      <c r="J602" s="18"/>
      <c r="K602" s="18"/>
      <c r="L602" s="88">
        <f>SUM(F602:K602)</f>
        <v>57703.862688000008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78618.77*0.36</f>
        <v>28302.7572</v>
      </c>
      <c r="G603" s="18">
        <f>F603*0.16</f>
        <v>4528.4411520000003</v>
      </c>
      <c r="H603" s="18">
        <f>1893.12*0.36+0.36*339.07+75634*0.3</f>
        <v>23493.788400000001</v>
      </c>
      <c r="I603" s="18">
        <f>653.28*0.36</f>
        <v>235.18079999999998</v>
      </c>
      <c r="J603" s="18"/>
      <c r="K603" s="18"/>
      <c r="L603" s="88">
        <f>SUM(F603:K603)</f>
        <v>56560.167551999999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78618.77</v>
      </c>
      <c r="G604" s="108">
        <f t="shared" si="48"/>
        <v>12579.003200000001</v>
      </c>
      <c r="H604" s="108">
        <f t="shared" si="48"/>
        <v>77866.19</v>
      </c>
      <c r="I604" s="108">
        <f t="shared" si="48"/>
        <v>653.28</v>
      </c>
      <c r="J604" s="108">
        <f t="shared" si="48"/>
        <v>0</v>
      </c>
      <c r="K604" s="108">
        <f t="shared" si="48"/>
        <v>0</v>
      </c>
      <c r="L604" s="89">
        <f t="shared" si="48"/>
        <v>169717.2432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2125331.9000000004</v>
      </c>
      <c r="H607" s="109">
        <f>SUM(F44)</f>
        <v>2125331.9000000004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213106.84</v>
      </c>
      <c r="H608" s="109">
        <f>SUM(G44)</f>
        <v>213106.84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367582.86</v>
      </c>
      <c r="H609" s="109">
        <f>SUM(H44)</f>
        <v>367582.86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382827.29</v>
      </c>
      <c r="H611" s="109">
        <f>SUM(J44)</f>
        <v>382827.29000000004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1488585.0700000005</v>
      </c>
      <c r="H612" s="109">
        <f>F466</f>
        <v>1488585.0738488808</v>
      </c>
      <c r="I612" s="121" t="s">
        <v>106</v>
      </c>
      <c r="J612" s="109">
        <f t="shared" ref="J612:J645" si="49">G612-H612</f>
        <v>-3.8488802965730429E-3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-109591.85</v>
      </c>
      <c r="H613" s="109">
        <f>G466</f>
        <v>-109591.85389999999</v>
      </c>
      <c r="I613" s="121" t="s">
        <v>108</v>
      </c>
      <c r="J613" s="109">
        <f t="shared" si="49"/>
        <v>3.8999999815132469E-3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724.44</v>
      </c>
      <c r="H614" s="109">
        <f>H466</f>
        <v>724.44399999990128</v>
      </c>
      <c r="I614" s="121" t="s">
        <v>110</v>
      </c>
      <c r="J614" s="109">
        <f t="shared" si="49"/>
        <v>-3.9999999012252374E-3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245727.29</v>
      </c>
      <c r="H616" s="109">
        <f>J466</f>
        <v>245727.29000000004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41694131.32</v>
      </c>
      <c r="H617" s="104">
        <f>SUM(F458)</f>
        <v>41694131.32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1305191.19</v>
      </c>
      <c r="H618" s="104">
        <f>SUM(G458)</f>
        <v>1305191.19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1906026.22</v>
      </c>
      <c r="H619" s="104">
        <f>SUM(H458)</f>
        <v>1906026.22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200000</v>
      </c>
      <c r="H621" s="104">
        <f>SUM(J458)</f>
        <v>200000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40468717.426151127</v>
      </c>
      <c r="H622" s="104">
        <f>SUM(F462)</f>
        <v>40468717.426151127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1906026.216</v>
      </c>
      <c r="H623" s="104">
        <f>SUM(H462)</f>
        <v>1906026.216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521697.83999999997</v>
      </c>
      <c r="H624" s="104">
        <f>I361</f>
        <v>521697.84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1259339.9039</v>
      </c>
      <c r="H625" s="104">
        <f>SUM(G462)</f>
        <v>1259339.9039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200000</v>
      </c>
      <c r="H627" s="164">
        <f>SUM(J458)</f>
        <v>200000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137100</v>
      </c>
      <c r="H628" s="164">
        <f>SUM(J462)</f>
        <v>137100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196107.15</v>
      </c>
      <c r="H629" s="104">
        <f>SUM(F451)</f>
        <v>196107.15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186720.14</v>
      </c>
      <c r="H630" s="104">
        <f>SUM(G451)</f>
        <v>186720.14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382827.29</v>
      </c>
      <c r="H632" s="104">
        <f>SUM(I451)</f>
        <v>382827.29000000004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200000</v>
      </c>
      <c r="H635" s="104">
        <f>G400</f>
        <v>200000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200000</v>
      </c>
      <c r="H636" s="104">
        <f>L400</f>
        <v>200000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2473346.7763999999</v>
      </c>
      <c r="H637" s="104">
        <f>L200+L218+L236</f>
        <v>2473346.7772000004</v>
      </c>
      <c r="I637" s="140" t="s">
        <v>420</v>
      </c>
      <c r="J637" s="109">
        <f t="shared" si="49"/>
        <v>-8.0000050365924835E-4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480976.49</v>
      </c>
      <c r="H638" s="104">
        <f>(J249+J330)-(J247+J328)</f>
        <v>480976.49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854099.54560000007</v>
      </c>
      <c r="H639" s="104">
        <f>H588</f>
        <v>854099.55040000007</v>
      </c>
      <c r="I639" s="140" t="s">
        <v>412</v>
      </c>
      <c r="J639" s="109">
        <f t="shared" si="49"/>
        <v>-4.7999999951571226E-3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836931.88959999999</v>
      </c>
      <c r="H640" s="104">
        <f>I588</f>
        <v>836931.88599999994</v>
      </c>
      <c r="I640" s="140" t="s">
        <v>413</v>
      </c>
      <c r="J640" s="109">
        <f t="shared" si="49"/>
        <v>3.6000000545755029E-3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782315.34199999995</v>
      </c>
      <c r="H641" s="104">
        <f>J588</f>
        <v>782315.34</v>
      </c>
      <c r="I641" s="140" t="s">
        <v>414</v>
      </c>
      <c r="J641" s="109">
        <f t="shared" si="49"/>
        <v>1.9999999785795808E-3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261136.08</v>
      </c>
      <c r="H642" s="104">
        <f>K255+K337</f>
        <v>261136.08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200000</v>
      </c>
      <c r="H645" s="104">
        <f>K258+K339</f>
        <v>200000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-3.948897123336792E-3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13915637.945731601</v>
      </c>
      <c r="G650" s="19">
        <f>(L221+L301+L351)</f>
        <v>12546326.093593761</v>
      </c>
      <c r="H650" s="19">
        <f>(L239+L320+L352)</f>
        <v>14571186.456725763</v>
      </c>
      <c r="I650" s="19">
        <f>SUM(F650:H650)</f>
        <v>41033150.496051125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143512.26064169058</v>
      </c>
      <c r="G651" s="19">
        <f>(L351/IF(SUM(L350:L352)=0,1,SUM(L350:L352))*(SUM(G89:G102)))</f>
        <v>227162.31452987471</v>
      </c>
      <c r="H651" s="19">
        <f>(L352/IF(SUM(L350:L352)=0,1,SUM(L350:L352))*(SUM(G89:G102)))</f>
        <v>306207.63482843468</v>
      </c>
      <c r="I651" s="19">
        <f>SUM(F651:H651)</f>
        <v>676882.21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854099.54560000007</v>
      </c>
      <c r="G652" s="19">
        <f>(L218+L298)-(J218+J298)</f>
        <v>836931.88959999999</v>
      </c>
      <c r="H652" s="19">
        <f>(L236+L317)-(J236+J317)</f>
        <v>782752.86199999996</v>
      </c>
      <c r="I652" s="19">
        <f>SUM(F652:H652)</f>
        <v>2473784.2971999999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233581.60095999998</v>
      </c>
      <c r="G653" s="200">
        <f>SUM(G565:G577)+SUM(I592:I594)+L602</f>
        <v>398831.54508800001</v>
      </c>
      <c r="H653" s="200">
        <f>SUM(H565:H577)+SUM(J592:J594)+L603</f>
        <v>1381110.8571520001</v>
      </c>
      <c r="I653" s="19">
        <f>SUM(F653:H653)</f>
        <v>2013524.0032000002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12684444.53852991</v>
      </c>
      <c r="G654" s="19">
        <f>G650-SUM(G651:G653)</f>
        <v>11083400.344375886</v>
      </c>
      <c r="H654" s="19">
        <f>H650-SUM(H651:H653)</f>
        <v>12101115.102745328</v>
      </c>
      <c r="I654" s="19">
        <f>I650-SUM(I651:I653)</f>
        <v>35868959.985651128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755.54</v>
      </c>
      <c r="G655" s="249">
        <v>789.4</v>
      </c>
      <c r="H655" s="249">
        <v>930.05</v>
      </c>
      <c r="I655" s="19">
        <f>SUM(F655:H655)</f>
        <v>2474.9899999999998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16788.580000000002</v>
      </c>
      <c r="G657" s="19">
        <f>ROUND(G654/G655,2)</f>
        <v>14040.28</v>
      </c>
      <c r="H657" s="19">
        <f>ROUND(H654/H655,2)</f>
        <v>13011.25</v>
      </c>
      <c r="I657" s="19">
        <f>ROUND(I654/I655,2)</f>
        <v>14492.57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-0.04</v>
      </c>
      <c r="I660" s="19">
        <f>SUM(F660:H660)</f>
        <v>-0.04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16788.580000000002</v>
      </c>
      <c r="G662" s="19">
        <f>ROUND((G654+G659)/(G655+G660),2)</f>
        <v>14040.28</v>
      </c>
      <c r="H662" s="19">
        <f>ROUND((H654+H659)/(H655+H660),2)</f>
        <v>13011.81</v>
      </c>
      <c r="I662" s="19">
        <f>ROUND((I654+I659)/(I655+I660),2)</f>
        <v>14492.8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BE2-D029-40CB-8BB4-265803E65E14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Contoocook Valley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9310327.9039999992</v>
      </c>
      <c r="C9" s="230">
        <f>'DOE25'!G189+'DOE25'!G207+'DOE25'!G225+'DOE25'!G268+'DOE25'!G287+'DOE25'!G306</f>
        <v>5686928.7752128001</v>
      </c>
    </row>
    <row r="10" spans="1:3" x14ac:dyDescent="0.2">
      <c r="A10" t="s">
        <v>810</v>
      </c>
      <c r="B10" s="241">
        <v>9072694.8699999992</v>
      </c>
      <c r="C10" s="241">
        <v>5573190.21</v>
      </c>
    </row>
    <row r="11" spans="1:3" x14ac:dyDescent="0.2">
      <c r="A11" t="s">
        <v>811</v>
      </c>
      <c r="B11" s="241">
        <v>237633.03</v>
      </c>
      <c r="C11" s="241">
        <v>113738.57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9310327.8999999985</v>
      </c>
      <c r="C13" s="232">
        <f>SUM(C10:C12)</f>
        <v>5686928.7800000003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4831064.5060000001</v>
      </c>
      <c r="C18" s="230">
        <f>'DOE25'!G190+'DOE25'!G208+'DOE25'!G226+'DOE25'!G269+'DOE25'!G288+'DOE25'!G307</f>
        <v>2092048.0100431999</v>
      </c>
    </row>
    <row r="19" spans="1:3" x14ac:dyDescent="0.2">
      <c r="A19" t="s">
        <v>810</v>
      </c>
      <c r="B19" s="241">
        <f>2443392.83+155907.88+11707.1+2112.16+4462.5+310222.96-147607.84-278812.6-237290.8+91266.96</f>
        <v>2355361.1500000004</v>
      </c>
      <c r="C19" s="241">
        <v>1025103.53</v>
      </c>
    </row>
    <row r="20" spans="1:3" x14ac:dyDescent="0.2">
      <c r="A20" t="s">
        <v>811</v>
      </c>
      <c r="B20" s="241">
        <f>1394106.32+44565.85+373319.95</f>
        <v>1811992.12</v>
      </c>
      <c r="C20" s="241">
        <v>794978.24</v>
      </c>
    </row>
    <row r="21" spans="1:3" x14ac:dyDescent="0.2">
      <c r="A21" t="s">
        <v>812</v>
      </c>
      <c r="B21" s="241">
        <f>147607.84+278812.6+237290.8</f>
        <v>663711.24</v>
      </c>
      <c r="C21" s="241">
        <v>271966.24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4831064.5100000007</v>
      </c>
      <c r="C22" s="232">
        <f>SUM(C19:C21)</f>
        <v>2092048.01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670597.18999999994</v>
      </c>
      <c r="C27" s="235">
        <f>'DOE25'!G191+'DOE25'!G209+'DOE25'!G227+'DOE25'!G270+'DOE25'!G289+'DOE25'!G308</f>
        <v>114164.88537599999</v>
      </c>
    </row>
    <row r="28" spans="1:3" x14ac:dyDescent="0.2">
      <c r="A28" t="s">
        <v>810</v>
      </c>
      <c r="B28" s="241">
        <f>8102+38914.96+108838.02+106217.1+149062+49280+45393+54810+48647+58962+2371.11</f>
        <v>670597.19000000006</v>
      </c>
      <c r="C28" s="241">
        <v>114164.89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Error</v>
      </c>
      <c r="B31" s="232">
        <f>SUM(B28:B30)</f>
        <v>670597.19000000006</v>
      </c>
      <c r="C31" s="232">
        <f>SUM(C28:C30)</f>
        <v>114164.89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404882.27</v>
      </c>
      <c r="C36" s="236">
        <f>'DOE25'!G192+'DOE25'!G210+'DOE25'!G228+'DOE25'!G271+'DOE25'!G290+'DOE25'!G309</f>
        <v>62889.998050999995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404882.27</v>
      </c>
      <c r="C39" s="241">
        <v>62890</v>
      </c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404882.27</v>
      </c>
      <c r="C40" s="232">
        <f>SUM(C37:C39)</f>
        <v>62890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513D-E440-4AE7-B87D-9DFD5D357C10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Contoocook Valley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25067347.438683003</v>
      </c>
      <c r="D5" s="20">
        <f>SUM('DOE25'!L189:L192)+SUM('DOE25'!L207:L210)+SUM('DOE25'!L225:L228)-F5-G5</f>
        <v>24539535.308683004</v>
      </c>
      <c r="E5" s="244"/>
      <c r="F5" s="256">
        <f>SUM('DOE25'!J189:J192)+SUM('DOE25'!J207:J210)+SUM('DOE25'!J225:J228)</f>
        <v>310655.69999999995</v>
      </c>
      <c r="G5" s="53">
        <f>SUM('DOE25'!K189:K192)+SUM('DOE25'!K207:K210)+SUM('DOE25'!K225:K228)</f>
        <v>217156.43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1731007.2674668399</v>
      </c>
      <c r="D6" s="20">
        <f>'DOE25'!L194+'DOE25'!L212+'DOE25'!L230-F6-G6</f>
        <v>1723922.2774668399</v>
      </c>
      <c r="E6" s="244"/>
      <c r="F6" s="256">
        <f>'DOE25'!J194+'DOE25'!J212+'DOE25'!J230</f>
        <v>1099.99</v>
      </c>
      <c r="G6" s="53">
        <f>'DOE25'!K194+'DOE25'!K212+'DOE25'!K230</f>
        <v>5985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1154814.752532</v>
      </c>
      <c r="D7" s="20">
        <f>'DOE25'!L195+'DOE25'!L213+'DOE25'!L231-F7-G7</f>
        <v>1131442.322532</v>
      </c>
      <c r="E7" s="244"/>
      <c r="F7" s="256">
        <f>'DOE25'!J195+'DOE25'!J213+'DOE25'!J231</f>
        <v>21527.919999999998</v>
      </c>
      <c r="G7" s="53">
        <f>'DOE25'!K195+'DOE25'!K213+'DOE25'!K231</f>
        <v>1844.51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1018126.7855152803</v>
      </c>
      <c r="D8" s="244"/>
      <c r="E8" s="20">
        <f>'DOE25'!L196+'DOE25'!L214+'DOE25'!L232-F8-G8-D9-D11</f>
        <v>988897.83551528025</v>
      </c>
      <c r="F8" s="256">
        <f>'DOE25'!J196+'DOE25'!J214+'DOE25'!J232</f>
        <v>8042.0400000000009</v>
      </c>
      <c r="G8" s="53">
        <f>'DOE25'!K196+'DOE25'!K214+'DOE25'!K232</f>
        <v>21186.91</v>
      </c>
      <c r="H8" s="260"/>
    </row>
    <row r="9" spans="1:9" x14ac:dyDescent="0.2">
      <c r="A9" s="32">
        <v>2310</v>
      </c>
      <c r="B9" t="s">
        <v>849</v>
      </c>
      <c r="C9" s="246">
        <f t="shared" si="0"/>
        <v>396617.91</v>
      </c>
      <c r="D9" s="245">
        <v>396617.91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29529</v>
      </c>
      <c r="D10" s="244"/>
      <c r="E10" s="245">
        <v>29529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249523.02000000002</v>
      </c>
      <c r="D11" s="245">
        <f>73146.86+176376.16</f>
        <v>249523.02000000002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2436570.6636199998</v>
      </c>
      <c r="D12" s="20">
        <f>'DOE25'!L197+'DOE25'!L215+'DOE25'!L233-F12-G12</f>
        <v>2391512.6036199997</v>
      </c>
      <c r="E12" s="244"/>
      <c r="F12" s="256">
        <f>'DOE25'!J197+'DOE25'!J215+'DOE25'!J233</f>
        <v>3620</v>
      </c>
      <c r="G12" s="53">
        <f>'DOE25'!K197+'DOE25'!K215+'DOE25'!K233</f>
        <v>41438.06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3397908.4711339995</v>
      </c>
      <c r="D14" s="20">
        <f>'DOE25'!L199+'DOE25'!L217+'DOE25'!L235-F14-G14</f>
        <v>3374290.4811339993</v>
      </c>
      <c r="E14" s="244"/>
      <c r="F14" s="256">
        <f>'DOE25'!J199+'DOE25'!J217+'DOE25'!J235</f>
        <v>23617.989999999998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2473346.7772000004</v>
      </c>
      <c r="D15" s="20">
        <f>'DOE25'!L200+'DOE25'!L218+'DOE25'!L236-F15-G15</f>
        <v>2473346.7772000004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2082318.26</v>
      </c>
      <c r="D25" s="244"/>
      <c r="E25" s="244"/>
      <c r="F25" s="259"/>
      <c r="G25" s="257"/>
      <c r="H25" s="258">
        <f>'DOE25'!L252+'DOE25'!L253+'DOE25'!L333+'DOE25'!L334</f>
        <v>2082318.26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780692.17390000005</v>
      </c>
      <c r="D29" s="20">
        <f>'DOE25'!L350+'DOE25'!L351+'DOE25'!L352-'DOE25'!I359-F29-G29</f>
        <v>770676.54590000014</v>
      </c>
      <c r="E29" s="244"/>
      <c r="F29" s="256">
        <f>'DOE25'!J350+'DOE25'!J351+'DOE25'!J352</f>
        <v>6211.82</v>
      </c>
      <c r="G29" s="53">
        <f>'DOE25'!K350+'DOE25'!K351+'DOE25'!K352</f>
        <v>3803.808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1859222.2760000001</v>
      </c>
      <c r="D31" s="20">
        <f>'DOE25'!L282+'DOE25'!L301+'DOE25'!L320+'DOE25'!L325+'DOE25'!L326+'DOE25'!L327-F31-G31</f>
        <v>1722853.0060000001</v>
      </c>
      <c r="E31" s="244"/>
      <c r="F31" s="256">
        <f>'DOE25'!J282+'DOE25'!J301+'DOE25'!J320+'DOE25'!J325+'DOE25'!J326+'DOE25'!J327</f>
        <v>112412.85</v>
      </c>
      <c r="G31" s="53">
        <f>'DOE25'!K282+'DOE25'!K301+'DOE25'!K320+'DOE25'!K325+'DOE25'!K326+'DOE25'!K327</f>
        <v>23956.42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38773720.252535842</v>
      </c>
      <c r="E33" s="247">
        <f>SUM(E5:E31)</f>
        <v>1018426.8355152803</v>
      </c>
      <c r="F33" s="247">
        <f>SUM(F5:F31)</f>
        <v>487188.30999999994</v>
      </c>
      <c r="G33" s="247">
        <f>SUM(G5:G31)</f>
        <v>315371.13800000004</v>
      </c>
      <c r="H33" s="247">
        <f>SUM(H5:H31)</f>
        <v>2082318.26</v>
      </c>
    </row>
    <row r="35" spans="2:8" ht="12" thickBot="1" x14ac:dyDescent="0.25">
      <c r="B35" s="254" t="s">
        <v>878</v>
      </c>
      <c r="D35" s="255">
        <f>E33</f>
        <v>1018426.8355152803</v>
      </c>
      <c r="E35" s="250"/>
    </row>
    <row r="36" spans="2:8" ht="12" thickTop="1" x14ac:dyDescent="0.2">
      <c r="B36" t="s">
        <v>846</v>
      </c>
      <c r="D36" s="20">
        <f>D33</f>
        <v>38773720.252535842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10E2-28D0-41FE-B2D4-D9D1DEE76988}">
  <sheetPr transitionEvaluation="1" codeName="Sheet2">
    <tabColor indexed="10"/>
  </sheetPr>
  <dimension ref="A1:I156"/>
  <sheetViews>
    <sheetView zoomScale="75" workbookViewId="0">
      <pane ySplit="2" topLeftCell="A177" activePane="bottomLeft" state="frozen"/>
      <selection pane="bottomLeft" activeCell="D9" sqref="D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Contoocook Valley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1046000.53</v>
      </c>
      <c r="D9" s="95">
        <f>'DOE25'!G9</f>
        <v>73501.399999999994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5811.82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182827.28999999998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637035.58000000007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200000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68578.53</v>
      </c>
      <c r="E13" s="95">
        <f>'DOE25'!H13</f>
        <v>367582.86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384193.09</v>
      </c>
      <c r="D14" s="95">
        <f>'DOE25'!G14</f>
        <v>39205.65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31821.26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52290.879999999997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2125331.9000000004</v>
      </c>
      <c r="D19" s="41">
        <f>SUM(D9:D18)</f>
        <v>213106.84</v>
      </c>
      <c r="E19" s="41">
        <f>SUM(E9:E18)</f>
        <v>367582.86</v>
      </c>
      <c r="F19" s="41">
        <f>SUM(F9:F18)</f>
        <v>0</v>
      </c>
      <c r="G19" s="41">
        <f>SUM(G9:G18)</f>
        <v>382827.29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275640.42</v>
      </c>
      <c r="D22" s="95">
        <f>'DOE25'!G23</f>
        <v>322698.69</v>
      </c>
      <c r="E22" s="95">
        <f>'DOE25'!H23</f>
        <v>314336.89</v>
      </c>
      <c r="F22" s="95">
        <f>'DOE25'!I23</f>
        <v>0</v>
      </c>
      <c r="G22" s="95">
        <f>'DOE25'!J23</f>
        <v>137100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361106.41</v>
      </c>
      <c r="D24" s="95">
        <f>'DOE25'!G25</f>
        <v>0</v>
      </c>
      <c r="E24" s="95">
        <f>'DOE25'!H25</f>
        <v>46198.559999999998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6322.97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636746.82999999996</v>
      </c>
      <c r="D32" s="41">
        <f>SUM(D22:D31)</f>
        <v>322698.69</v>
      </c>
      <c r="E32" s="41">
        <f>SUM(E22:E31)</f>
        <v>366858.42</v>
      </c>
      <c r="F32" s="41">
        <f>SUM(F22:F31)</f>
        <v>0</v>
      </c>
      <c r="G32" s="41">
        <f>SUM(G22:G31)</f>
        <v>137100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52290.879999999997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661235.34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-109591.85</v>
      </c>
      <c r="E40" s="95">
        <f>'DOE25'!H41</f>
        <v>724.44</v>
      </c>
      <c r="F40" s="95">
        <f>'DOE25'!I41</f>
        <v>0</v>
      </c>
      <c r="G40" s="95">
        <f>'DOE25'!J41</f>
        <v>245727.29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625058.85000000056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1488585.0700000005</v>
      </c>
      <c r="D42" s="41">
        <f>SUM(D34:D41)</f>
        <v>-109591.85</v>
      </c>
      <c r="E42" s="41">
        <f>SUM(E34:E41)</f>
        <v>724.44</v>
      </c>
      <c r="F42" s="41">
        <f>SUM(F34:F41)</f>
        <v>0</v>
      </c>
      <c r="G42" s="41">
        <f>SUM(G34:G41)</f>
        <v>245727.29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2125331.9000000004</v>
      </c>
      <c r="D43" s="41">
        <f>D42+D32</f>
        <v>213106.84</v>
      </c>
      <c r="E43" s="41">
        <f>E42+E32</f>
        <v>367582.86</v>
      </c>
      <c r="F43" s="41">
        <f>F42+F32</f>
        <v>0</v>
      </c>
      <c r="G43" s="41">
        <f>G42+G32</f>
        <v>382827.29000000004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24844361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345088.71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28045.82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20110.759999999998</v>
      </c>
      <c r="D51" s="95">
        <f>'DOE25'!G88</f>
        <v>133.66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676799.49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36733.69</v>
      </c>
      <c r="D53" s="95">
        <f>SUM('DOE25'!G90:G102)</f>
        <v>82.72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429978.98000000004</v>
      </c>
      <c r="D54" s="130">
        <f>SUM(D49:D53)</f>
        <v>677015.87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25274339.98</v>
      </c>
      <c r="D55" s="22">
        <f>D48+D54</f>
        <v>677015.87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8549789.5500000007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5156125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310098.45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1856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14017869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1238416.94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710750.07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80442.600000000006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71781.73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2029609.6099999999</v>
      </c>
      <c r="D70" s="130">
        <f>SUM(D64:D69)</f>
        <v>71781.73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16047478.609999999</v>
      </c>
      <c r="D73" s="130">
        <f>SUM(D71:D72)+D70+D62</f>
        <v>71781.73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372312.73</v>
      </c>
      <c r="D80" s="95">
        <f>SUM('DOE25'!G145:G153)</f>
        <v>295257.51</v>
      </c>
      <c r="E80" s="95">
        <f>SUM('DOE25'!H145:H153)</f>
        <v>1906026.22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372312.73</v>
      </c>
      <c r="D83" s="131">
        <f>SUM(D77:D82)</f>
        <v>295257.51</v>
      </c>
      <c r="E83" s="131">
        <f>SUM(E77:E82)</f>
        <v>1906026.22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261136.08</v>
      </c>
      <c r="E88" s="95">
        <f>'DOE25'!H171</f>
        <v>0</v>
      </c>
      <c r="F88" s="95">
        <f>'DOE25'!I171</f>
        <v>0</v>
      </c>
      <c r="G88" s="95">
        <f>'DOE25'!J171</f>
        <v>200000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261136.08</v>
      </c>
      <c r="E95" s="86">
        <f>SUM(E85:E94)</f>
        <v>0</v>
      </c>
      <c r="F95" s="86">
        <f>SUM(F85:F94)</f>
        <v>0</v>
      </c>
      <c r="G95" s="86">
        <f>SUM(G85:G94)</f>
        <v>200000</v>
      </c>
    </row>
    <row r="96" spans="1:7" ht="12.75" thickTop="1" thickBot="1" x14ac:dyDescent="0.25">
      <c r="A96" s="33" t="s">
        <v>796</v>
      </c>
      <c r="C96" s="86">
        <f>C55+C73+C83+C95</f>
        <v>41694131.32</v>
      </c>
      <c r="D96" s="86">
        <f>D55+D73+D83+D95</f>
        <v>1305191.19</v>
      </c>
      <c r="E96" s="86">
        <f>E55+E73+E83+E95</f>
        <v>1906026.22</v>
      </c>
      <c r="F96" s="86">
        <f>F55+F73+F83+F95</f>
        <v>0</v>
      </c>
      <c r="G96" s="86">
        <f>G55+G73+G95</f>
        <v>200000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15711456.619212801</v>
      </c>
      <c r="D101" s="24" t="s">
        <v>312</v>
      </c>
      <c r="E101" s="95">
        <f>('DOE25'!L268)+('DOE25'!L287)+('DOE25'!L306)</f>
        <v>826980.22759999998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7869363.6860431992</v>
      </c>
      <c r="D102" s="24" t="s">
        <v>312</v>
      </c>
      <c r="E102" s="95">
        <f>('DOE25'!L269)+('DOE25'!L288)+('DOE25'!L307)</f>
        <v>759020.09840000002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823159.50537599996</v>
      </c>
      <c r="D103" s="24" t="s">
        <v>312</v>
      </c>
      <c r="E103" s="95">
        <f>('DOE25'!L270)+('DOE25'!L289)+('DOE25'!L308)</f>
        <v>215765.28999999998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663367.62805099995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10674.769999999999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25067347.438683003</v>
      </c>
      <c r="D107" s="86">
        <f>SUM(D101:D106)</f>
        <v>0</v>
      </c>
      <c r="E107" s="86">
        <f>SUM(E101:E106)</f>
        <v>1812440.3859999999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1731007.2674668399</v>
      </c>
      <c r="D110" s="24" t="s">
        <v>312</v>
      </c>
      <c r="E110" s="95">
        <f>+('DOE25'!L273)+('DOE25'!L292)+('DOE25'!L311)</f>
        <v>16338.67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1154814.752532</v>
      </c>
      <c r="D111" s="24" t="s">
        <v>312</v>
      </c>
      <c r="E111" s="95">
        <f>+('DOE25'!L274)+('DOE25'!L293)+('DOE25'!L312)</f>
        <v>5952.12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1664267.7155152801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2436570.6636199998</v>
      </c>
      <c r="D113" s="24" t="s">
        <v>312</v>
      </c>
      <c r="E113" s="95">
        <f>+('DOE25'!L276)+('DOE25'!L295)+('DOE25'!L314)</f>
        <v>24053.579999999998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3397908.4711339995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2473346.7772000004</v>
      </c>
      <c r="D116" s="24" t="s">
        <v>312</v>
      </c>
      <c r="E116" s="95">
        <f>+('DOE25'!L279)+('DOE25'!L298)+('DOE25'!L317)</f>
        <v>437.52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1259339.9039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12857915.64746812</v>
      </c>
      <c r="D120" s="86">
        <f>SUM(D110:D119)</f>
        <v>1259339.9039</v>
      </c>
      <c r="E120" s="86">
        <f>SUM(E110:E119)</f>
        <v>46781.889999999992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1498071.26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584247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46803.939999999995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261136.08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2543454.34</v>
      </c>
      <c r="D136" s="141">
        <f>SUM(D122:D135)</f>
        <v>0</v>
      </c>
      <c r="E136" s="141">
        <f>SUM(E122:E135)</f>
        <v>46803.939999999995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40468717.426151127</v>
      </c>
      <c r="D137" s="86">
        <f>(D107+D120+D136)</f>
        <v>1259339.9039</v>
      </c>
      <c r="E137" s="86">
        <f>(E107+E120+E136)</f>
        <v>1906026.2159999998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03/2002</v>
      </c>
      <c r="C144" s="152" t="str">
        <f>'DOE25'!G481</f>
        <v>10/1998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07/2012</v>
      </c>
      <c r="C145" s="152" t="str">
        <f>'DOE25'!G482</f>
        <v>10/2012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9000000</v>
      </c>
      <c r="C146" s="137">
        <f>'DOE25'!G483</f>
        <v>14475000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4.87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2700297.99</v>
      </c>
      <c r="C148" s="137">
        <f>'DOE25'!G485</f>
        <v>1404489.95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4104787.9400000004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1002745.32</v>
      </c>
      <c r="C150" s="137">
        <f>'DOE25'!G487</f>
        <v>495324.85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1498070.17</v>
      </c>
    </row>
    <row r="151" spans="1:7" x14ac:dyDescent="0.2">
      <c r="A151" s="22" t="s">
        <v>35</v>
      </c>
      <c r="B151" s="137">
        <f>'DOE25'!F488</f>
        <v>1697552.67</v>
      </c>
      <c r="C151" s="137">
        <f>'DOE25'!G488</f>
        <v>909165.1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2606717.77</v>
      </c>
    </row>
    <row r="152" spans="1:7" x14ac:dyDescent="0.2">
      <c r="A152" s="22" t="s">
        <v>36</v>
      </c>
      <c r="B152" s="137">
        <f>'DOE25'!F489</f>
        <v>76424.72</v>
      </c>
      <c r="C152" s="137">
        <f>'DOE25'!G489</f>
        <v>1020834.9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1097259.6200000001</v>
      </c>
    </row>
    <row r="153" spans="1:7" x14ac:dyDescent="0.2">
      <c r="A153" s="22" t="s">
        <v>37</v>
      </c>
      <c r="B153" s="137">
        <f>'DOE25'!F490</f>
        <v>1773977.39</v>
      </c>
      <c r="C153" s="137">
        <f>'DOE25'!G490</f>
        <v>1930000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3703977.3899999997</v>
      </c>
    </row>
    <row r="154" spans="1:7" x14ac:dyDescent="0.2">
      <c r="A154" s="22" t="s">
        <v>38</v>
      </c>
      <c r="B154" s="137">
        <f>'DOE25'!F491</f>
        <v>1052173.57</v>
      </c>
      <c r="C154" s="137">
        <f>'DOE25'!G491</f>
        <v>467793.4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1519966.9700000002</v>
      </c>
    </row>
    <row r="155" spans="1:7" x14ac:dyDescent="0.2">
      <c r="A155" s="22" t="s">
        <v>39</v>
      </c>
      <c r="B155" s="137">
        <f>'DOE25'!F492</f>
        <v>63224.69</v>
      </c>
      <c r="C155" s="137">
        <f>'DOE25'!G492</f>
        <v>497206.6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560431.29</v>
      </c>
    </row>
    <row r="156" spans="1:7" x14ac:dyDescent="0.2">
      <c r="A156" s="22" t="s">
        <v>269</v>
      </c>
      <c r="B156" s="137">
        <f>'DOE25'!F493</f>
        <v>1115398.26</v>
      </c>
      <c r="C156" s="137">
        <f>'DOE25'!G493</f>
        <v>965000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2080398.26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3448-F232-482C-833E-28A122AFDB93}">
  <sheetPr codeName="Sheet3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Contoocook Valley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16789</v>
      </c>
    </row>
    <row r="5" spans="1:4" x14ac:dyDescent="0.2">
      <c r="B5" t="s">
        <v>735</v>
      </c>
      <c r="C5" s="179">
        <f>IF('DOE25'!G655+'DOE25'!G660=0,0,ROUND('DOE25'!G662,0))</f>
        <v>14040</v>
      </c>
    </row>
    <row r="6" spans="1:4" x14ac:dyDescent="0.2">
      <c r="B6" t="s">
        <v>62</v>
      </c>
      <c r="C6" s="179">
        <f>IF('DOE25'!H655+'DOE25'!H660=0,0,ROUND('DOE25'!H662,0))</f>
        <v>13012</v>
      </c>
    </row>
    <row r="7" spans="1:4" x14ac:dyDescent="0.2">
      <c r="B7" t="s">
        <v>736</v>
      </c>
      <c r="C7" s="179">
        <f>IF('DOE25'!I655+'DOE25'!I660=0,0,ROUND('DOE25'!I662,0))</f>
        <v>14493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16538437</v>
      </c>
      <c r="D10" s="182">
        <f>ROUND((C10/$C$28)*100,1)</f>
        <v>40.4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8628384</v>
      </c>
      <c r="D11" s="182">
        <f>ROUND((C11/$C$28)*100,1)</f>
        <v>21.1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1038925</v>
      </c>
      <c r="D12" s="182">
        <f>ROUND((C12/$C$28)*100,1)</f>
        <v>2.5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663368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1747346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1160767</v>
      </c>
      <c r="D16" s="182">
        <f t="shared" si="0"/>
        <v>2.8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1664268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2460624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3397908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2473784</v>
      </c>
      <c r="D21" s="182">
        <f t="shared" si="0"/>
        <v>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10675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584247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582457.79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40951190.789999999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40951190.789999999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1498071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24844361</v>
      </c>
      <c r="D35" s="182">
        <f t="shared" ref="D35:D40" si="1">ROUND((C35/$C$41)*100,1)</f>
        <v>56.5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430112.6400000006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14016013</v>
      </c>
      <c r="D37" s="182">
        <f t="shared" si="1"/>
        <v>31.9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2103247</v>
      </c>
      <c r="D38" s="182">
        <f t="shared" si="1"/>
        <v>4.8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2573596</v>
      </c>
      <c r="D39" s="182">
        <f t="shared" si="1"/>
        <v>5.9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43967329.640000001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CE95-A740-429B-B45C-1869295DEC7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Contoocook Valley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2011-10-11T17:49:16Z</cp:lastPrinted>
  <dcterms:created xsi:type="dcterms:W3CDTF">1997-12-04T19:04:30Z</dcterms:created>
  <dcterms:modified xsi:type="dcterms:W3CDTF">2025-01-09T20:42:27Z</dcterms:modified>
</cp:coreProperties>
</file>