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144F6CC0-6FA9-487D-A768-6E0D6B4DB182}" xr6:coauthVersionLast="47" xr6:coauthVersionMax="47" xr10:uidLastSave="{00000000-0000-0000-0000-000000000000}"/>
  <workbookProtection workbookPassword="B30A" lockStructure="1"/>
  <bookViews>
    <workbookView xWindow="28680" yWindow="-120" windowWidth="29040" windowHeight="15990" tabRatio="855" xr2:uid="{0AE4825B-B9A9-4039-B39B-108DF4EA6B30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94" i="1" l="1"/>
  <c r="H458" i="1"/>
  <c r="G16" i="13"/>
  <c r="G225" i="1"/>
  <c r="F225" i="1"/>
  <c r="G207" i="1"/>
  <c r="F207" i="1"/>
  <c r="F221" i="1" s="1"/>
  <c r="G189" i="1"/>
  <c r="C9" i="12" s="1"/>
  <c r="F189" i="1"/>
  <c r="L189" i="1" s="1"/>
  <c r="H41" i="1"/>
  <c r="H43" i="1" s="1"/>
  <c r="H14" i="1"/>
  <c r="E14" i="2" s="1"/>
  <c r="E19" i="2" s="1"/>
  <c r="F9" i="1"/>
  <c r="C37" i="10"/>
  <c r="C60" i="2"/>
  <c r="B2" i="13"/>
  <c r="F8" i="13"/>
  <c r="G8" i="13"/>
  <c r="L196" i="1"/>
  <c r="L214" i="1"/>
  <c r="C17" i="10" s="1"/>
  <c r="L232" i="1"/>
  <c r="C112" i="2" s="1"/>
  <c r="D39" i="13"/>
  <c r="F13" i="13"/>
  <c r="E13" i="13" s="1"/>
  <c r="G13" i="13"/>
  <c r="L198" i="1"/>
  <c r="L216" i="1"/>
  <c r="L234" i="1"/>
  <c r="F16" i="13"/>
  <c r="L201" i="1"/>
  <c r="L219" i="1"/>
  <c r="L237" i="1"/>
  <c r="C117" i="2"/>
  <c r="F5" i="13"/>
  <c r="F33" i="13" s="1"/>
  <c r="G5" i="13"/>
  <c r="L190" i="1"/>
  <c r="C11" i="10" s="1"/>
  <c r="L191" i="1"/>
  <c r="L192" i="1"/>
  <c r="L208" i="1"/>
  <c r="L209" i="1"/>
  <c r="L210" i="1"/>
  <c r="L226" i="1"/>
  <c r="L227" i="1"/>
  <c r="C103" i="2" s="1"/>
  <c r="L228" i="1"/>
  <c r="C104" i="2" s="1"/>
  <c r="F6" i="13"/>
  <c r="G6" i="13"/>
  <c r="L194" i="1"/>
  <c r="C110" i="2" s="1"/>
  <c r="L212" i="1"/>
  <c r="L230" i="1"/>
  <c r="F7" i="13"/>
  <c r="G7" i="13"/>
  <c r="L195" i="1"/>
  <c r="L213" i="1"/>
  <c r="L231" i="1"/>
  <c r="F12" i="13"/>
  <c r="G12" i="13"/>
  <c r="L197" i="1"/>
  <c r="C113" i="2" s="1"/>
  <c r="L215" i="1"/>
  <c r="L233" i="1"/>
  <c r="F14" i="13"/>
  <c r="G14" i="13"/>
  <c r="L199" i="1"/>
  <c r="D14" i="13" s="1"/>
  <c r="C14" i="13" s="1"/>
  <c r="L217" i="1"/>
  <c r="L235" i="1"/>
  <c r="F15" i="13"/>
  <c r="G15" i="13"/>
  <c r="L200" i="1"/>
  <c r="D15" i="13" s="1"/>
  <c r="C15" i="13" s="1"/>
  <c r="F652" i="1"/>
  <c r="L218" i="1"/>
  <c r="G640" i="1" s="1"/>
  <c r="J640" i="1" s="1"/>
  <c r="L236" i="1"/>
  <c r="F17" i="13"/>
  <c r="G17" i="13"/>
  <c r="L243" i="1"/>
  <c r="D17" i="13" s="1"/>
  <c r="C17" i="13" s="1"/>
  <c r="F18" i="13"/>
  <c r="G18" i="13"/>
  <c r="L244" i="1"/>
  <c r="C24" i="10" s="1"/>
  <c r="D18" i="13"/>
  <c r="C18" i="13" s="1"/>
  <c r="F19" i="13"/>
  <c r="D19" i="13" s="1"/>
  <c r="C19" i="13" s="1"/>
  <c r="G19" i="13"/>
  <c r="L245" i="1"/>
  <c r="F29" i="13"/>
  <c r="G29" i="13"/>
  <c r="L350" i="1"/>
  <c r="L351" i="1"/>
  <c r="L352" i="1"/>
  <c r="D119" i="2" s="1"/>
  <c r="D120" i="2" s="1"/>
  <c r="D137" i="2" s="1"/>
  <c r="I359" i="1"/>
  <c r="I361" i="1" s="1"/>
  <c r="H624" i="1" s="1"/>
  <c r="J282" i="1"/>
  <c r="J301" i="1"/>
  <c r="J320" i="1"/>
  <c r="F31" i="13"/>
  <c r="K282" i="1"/>
  <c r="K330" i="1" s="1"/>
  <c r="K344" i="1" s="1"/>
  <c r="K301" i="1"/>
  <c r="K320" i="1"/>
  <c r="G31" i="13"/>
  <c r="L268" i="1"/>
  <c r="E101" i="2" s="1"/>
  <c r="L269" i="1"/>
  <c r="E102" i="2" s="1"/>
  <c r="L270" i="1"/>
  <c r="L271" i="1"/>
  <c r="L273" i="1"/>
  <c r="L274" i="1"/>
  <c r="L275" i="1"/>
  <c r="L276" i="1"/>
  <c r="L277" i="1"/>
  <c r="L278" i="1"/>
  <c r="E115" i="2" s="1"/>
  <c r="L279" i="1"/>
  <c r="E116" i="2" s="1"/>
  <c r="L280" i="1"/>
  <c r="E117" i="2" s="1"/>
  <c r="L287" i="1"/>
  <c r="L301" i="1" s="1"/>
  <c r="L288" i="1"/>
  <c r="L289" i="1"/>
  <c r="L290" i="1"/>
  <c r="E104" i="2" s="1"/>
  <c r="L292" i="1"/>
  <c r="L293" i="1"/>
  <c r="L294" i="1"/>
  <c r="L295" i="1"/>
  <c r="L296" i="1"/>
  <c r="L297" i="1"/>
  <c r="L298" i="1"/>
  <c r="L299" i="1"/>
  <c r="L306" i="1"/>
  <c r="L320" i="1" s="1"/>
  <c r="L307" i="1"/>
  <c r="L308" i="1"/>
  <c r="E103" i="2"/>
  <c r="L309" i="1"/>
  <c r="L311" i="1"/>
  <c r="L312" i="1"/>
  <c r="L313" i="1"/>
  <c r="L314" i="1"/>
  <c r="L315" i="1"/>
  <c r="C19" i="10"/>
  <c r="L316" i="1"/>
  <c r="C20" i="10" s="1"/>
  <c r="L317" i="1"/>
  <c r="H652" i="1" s="1"/>
  <c r="L318" i="1"/>
  <c r="L325" i="1"/>
  <c r="L326" i="1"/>
  <c r="L327" i="1"/>
  <c r="L252" i="1"/>
  <c r="L253" i="1"/>
  <c r="C25" i="10" s="1"/>
  <c r="L333" i="1"/>
  <c r="E123" i="2" s="1"/>
  <c r="L334" i="1"/>
  <c r="E124" i="2" s="1"/>
  <c r="L247" i="1"/>
  <c r="L328" i="1"/>
  <c r="F22" i="13"/>
  <c r="C11" i="13"/>
  <c r="C10" i="13"/>
  <c r="C9" i="13"/>
  <c r="L353" i="1"/>
  <c r="B4" i="12"/>
  <c r="B36" i="12"/>
  <c r="A40" i="12" s="1"/>
  <c r="C36" i="12"/>
  <c r="B40" i="12"/>
  <c r="C40" i="12"/>
  <c r="B27" i="12"/>
  <c r="C27" i="12"/>
  <c r="B31" i="12"/>
  <c r="C31" i="12"/>
  <c r="B13" i="12"/>
  <c r="C13" i="12"/>
  <c r="B18" i="12"/>
  <c r="B22" i="12"/>
  <c r="C18" i="12"/>
  <c r="C22" i="12"/>
  <c r="B1" i="12"/>
  <c r="L379" i="1"/>
  <c r="L380" i="1"/>
  <c r="L381" i="1"/>
  <c r="L382" i="1"/>
  <c r="L383" i="1"/>
  <c r="L385" i="1" s="1"/>
  <c r="L384" i="1"/>
  <c r="L387" i="1"/>
  <c r="L393" i="1" s="1"/>
  <c r="C131" i="2" s="1"/>
  <c r="L388" i="1"/>
  <c r="L389" i="1"/>
  <c r="L390" i="1"/>
  <c r="L391" i="1"/>
  <c r="L392" i="1"/>
  <c r="L395" i="1"/>
  <c r="L396" i="1"/>
  <c r="L397" i="1"/>
  <c r="L398" i="1"/>
  <c r="L258" i="1"/>
  <c r="J52" i="1"/>
  <c r="G48" i="2"/>
  <c r="G51" i="2"/>
  <c r="G54" i="2" s="1"/>
  <c r="G55" i="2" s="1"/>
  <c r="G96" i="2" s="1"/>
  <c r="G53" i="2"/>
  <c r="G69" i="2"/>
  <c r="G70" i="2"/>
  <c r="G61" i="2"/>
  <c r="G62" i="2"/>
  <c r="G73" i="2"/>
  <c r="G88" i="2"/>
  <c r="G95" i="2" s="1"/>
  <c r="G89" i="2"/>
  <c r="G90" i="2"/>
  <c r="F2" i="11"/>
  <c r="L603" i="1"/>
  <c r="L602" i="1"/>
  <c r="G653" i="1"/>
  <c r="L601" i="1"/>
  <c r="L604" i="1" s="1"/>
  <c r="F653" i="1"/>
  <c r="C40" i="10"/>
  <c r="F52" i="1"/>
  <c r="C48" i="2" s="1"/>
  <c r="G52" i="1"/>
  <c r="H52" i="1"/>
  <c r="I52" i="1"/>
  <c r="F71" i="1"/>
  <c r="C49" i="2"/>
  <c r="F86" i="1"/>
  <c r="F104" i="1" s="1"/>
  <c r="F103" i="1"/>
  <c r="G103" i="1"/>
  <c r="G104" i="1"/>
  <c r="H71" i="1"/>
  <c r="E49" i="2" s="1"/>
  <c r="E54" i="2" s="1"/>
  <c r="H86" i="1"/>
  <c r="H103" i="1"/>
  <c r="I103" i="1"/>
  <c r="I104" i="1"/>
  <c r="J103" i="1"/>
  <c r="J104" i="1"/>
  <c r="J185" i="1" s="1"/>
  <c r="F113" i="1"/>
  <c r="F132" i="1" s="1"/>
  <c r="C38" i="10" s="1"/>
  <c r="F128" i="1"/>
  <c r="G113" i="1"/>
  <c r="G132" i="1" s="1"/>
  <c r="G128" i="1"/>
  <c r="H113" i="1"/>
  <c r="H128" i="1"/>
  <c r="H132" i="1"/>
  <c r="I113" i="1"/>
  <c r="I132" i="1" s="1"/>
  <c r="I128" i="1"/>
  <c r="J113" i="1"/>
  <c r="J128" i="1"/>
  <c r="F139" i="1"/>
  <c r="F154" i="1"/>
  <c r="F161" i="1"/>
  <c r="G139" i="1"/>
  <c r="G154" i="1"/>
  <c r="G161" i="1"/>
  <c r="H139" i="1"/>
  <c r="H161" i="1" s="1"/>
  <c r="H154" i="1"/>
  <c r="I139" i="1"/>
  <c r="I154" i="1"/>
  <c r="I161" i="1" s="1"/>
  <c r="L242" i="1"/>
  <c r="C105" i="2" s="1"/>
  <c r="L324" i="1"/>
  <c r="C23" i="10" s="1"/>
  <c r="E105" i="2"/>
  <c r="L246" i="1"/>
  <c r="L260" i="1"/>
  <c r="L261" i="1"/>
  <c r="L341" i="1"/>
  <c r="L342" i="1"/>
  <c r="I655" i="1"/>
  <c r="I660" i="1"/>
  <c r="I659" i="1"/>
  <c r="C42" i="10"/>
  <c r="L366" i="1"/>
  <c r="L374" i="1" s="1"/>
  <c r="G626" i="1" s="1"/>
  <c r="J626" i="1" s="1"/>
  <c r="L367" i="1"/>
  <c r="L368" i="1"/>
  <c r="L369" i="1"/>
  <c r="L370" i="1"/>
  <c r="L371" i="1"/>
  <c r="L372" i="1"/>
  <c r="B2" i="10"/>
  <c r="L336" i="1"/>
  <c r="L337" i="1"/>
  <c r="L338" i="1"/>
  <c r="E129" i="2" s="1"/>
  <c r="L339" i="1"/>
  <c r="K343" i="1"/>
  <c r="L511" i="1"/>
  <c r="L514" i="1" s="1"/>
  <c r="F539" i="1"/>
  <c r="K539" i="1" s="1"/>
  <c r="L512" i="1"/>
  <c r="F540" i="1"/>
  <c r="L513" i="1"/>
  <c r="F541" i="1"/>
  <c r="L516" i="1"/>
  <c r="G539" i="1"/>
  <c r="L517" i="1"/>
  <c r="G540" i="1"/>
  <c r="L518" i="1"/>
  <c r="L519" i="1" s="1"/>
  <c r="G541" i="1"/>
  <c r="K541" i="1" s="1"/>
  <c r="L521" i="1"/>
  <c r="L524" i="1" s="1"/>
  <c r="H539" i="1"/>
  <c r="H542" i="1" s="1"/>
  <c r="L522" i="1"/>
  <c r="H540" i="1"/>
  <c r="L523" i="1"/>
  <c r="H541" i="1"/>
  <c r="L526" i="1"/>
  <c r="L527" i="1"/>
  <c r="I540" i="1"/>
  <c r="L528" i="1"/>
  <c r="I541" i="1"/>
  <c r="L531" i="1"/>
  <c r="L534" i="1" s="1"/>
  <c r="J539" i="1"/>
  <c r="L532" i="1"/>
  <c r="J540" i="1" s="1"/>
  <c r="K540" i="1" s="1"/>
  <c r="L533" i="1"/>
  <c r="J541" i="1"/>
  <c r="K262" i="1"/>
  <c r="J262" i="1"/>
  <c r="I262" i="1"/>
  <c r="H262" i="1"/>
  <c r="G262" i="1"/>
  <c r="F262" i="1"/>
  <c r="L262" i="1" s="1"/>
  <c r="C124" i="2"/>
  <c r="A1" i="2"/>
  <c r="A2" i="2"/>
  <c r="C9" i="2"/>
  <c r="C10" i="2"/>
  <c r="C11" i="2"/>
  <c r="C12" i="2"/>
  <c r="C13" i="2"/>
  <c r="C14" i="2"/>
  <c r="C16" i="2"/>
  <c r="C17" i="2"/>
  <c r="C18" i="2"/>
  <c r="C19" i="2"/>
  <c r="D9" i="2"/>
  <c r="E9" i="2"/>
  <c r="F9" i="2"/>
  <c r="I431" i="1"/>
  <c r="J9" i="1" s="1"/>
  <c r="D10" i="2"/>
  <c r="E10" i="2"/>
  <c r="F10" i="2"/>
  <c r="I432" i="1"/>
  <c r="I438" i="1" s="1"/>
  <c r="G632" i="1" s="1"/>
  <c r="J10" i="1"/>
  <c r="G10" i="2"/>
  <c r="D12" i="2"/>
  <c r="D19" i="2" s="1"/>
  <c r="E12" i="2"/>
  <c r="F12" i="2"/>
  <c r="I433" i="1"/>
  <c r="J12" i="1"/>
  <c r="G12" i="2"/>
  <c r="D13" i="2"/>
  <c r="E13" i="2"/>
  <c r="F13" i="2"/>
  <c r="I434" i="1"/>
  <c r="J13" i="1"/>
  <c r="G13" i="2"/>
  <c r="D14" i="2"/>
  <c r="E16" i="2"/>
  <c r="E17" i="2"/>
  <c r="E18" i="2"/>
  <c r="F14" i="2"/>
  <c r="I435" i="1"/>
  <c r="J14" i="1"/>
  <c r="G14" i="2"/>
  <c r="F15" i="2"/>
  <c r="D16" i="2"/>
  <c r="F16" i="2"/>
  <c r="F19" i="2" s="1"/>
  <c r="D17" i="2"/>
  <c r="F17" i="2"/>
  <c r="I436" i="1"/>
  <c r="J17" i="1"/>
  <c r="G17" i="2"/>
  <c r="D18" i="2"/>
  <c r="F18" i="2"/>
  <c r="I437" i="1"/>
  <c r="J18" i="1"/>
  <c r="G18" i="2"/>
  <c r="C22" i="2"/>
  <c r="C32" i="2" s="1"/>
  <c r="D22" i="2"/>
  <c r="E22" i="2"/>
  <c r="E23" i="2"/>
  <c r="E24" i="2"/>
  <c r="E25" i="2"/>
  <c r="E28" i="2"/>
  <c r="E29" i="2"/>
  <c r="E30" i="2"/>
  <c r="E31" i="2"/>
  <c r="E32" i="2"/>
  <c r="F22" i="2"/>
  <c r="F32" i="2" s="1"/>
  <c r="I440" i="1"/>
  <c r="J23" i="1" s="1"/>
  <c r="C23" i="2"/>
  <c r="D23" i="2"/>
  <c r="D32" i="2" s="1"/>
  <c r="F23" i="2"/>
  <c r="I441" i="1"/>
  <c r="C24" i="2"/>
  <c r="D24" i="2"/>
  <c r="D25" i="2"/>
  <c r="D28" i="2"/>
  <c r="D29" i="2"/>
  <c r="D30" i="2"/>
  <c r="D31" i="2"/>
  <c r="F24" i="2"/>
  <c r="I442" i="1"/>
  <c r="J25" i="1"/>
  <c r="G24" i="2" s="1"/>
  <c r="C25" i="2"/>
  <c r="F25" i="2"/>
  <c r="C26" i="2"/>
  <c r="F26" i="2"/>
  <c r="F27" i="2"/>
  <c r="F28" i="2"/>
  <c r="F29" i="2"/>
  <c r="F30" i="2"/>
  <c r="F31" i="2"/>
  <c r="F34" i="2"/>
  <c r="F35" i="2"/>
  <c r="F36" i="2"/>
  <c r="F37" i="2"/>
  <c r="F38" i="2"/>
  <c r="F40" i="2"/>
  <c r="F41" i="2"/>
  <c r="F42" i="2"/>
  <c r="F43" i="2" s="1"/>
  <c r="C27" i="2"/>
  <c r="C28" i="2"/>
  <c r="C29" i="2"/>
  <c r="C30" i="2"/>
  <c r="C31" i="2"/>
  <c r="I443" i="1"/>
  <c r="J32" i="1"/>
  <c r="G31" i="2"/>
  <c r="C34" i="2"/>
  <c r="C42" i="2" s="1"/>
  <c r="C43" i="2" s="1"/>
  <c r="D34" i="2"/>
  <c r="D42" i="2" s="1"/>
  <c r="D43" i="2" s="1"/>
  <c r="E34" i="2"/>
  <c r="C35" i="2"/>
  <c r="D35" i="2"/>
  <c r="E35" i="2"/>
  <c r="C36" i="2"/>
  <c r="D36" i="2"/>
  <c r="E36" i="2"/>
  <c r="I446" i="1"/>
  <c r="I450" i="1" s="1"/>
  <c r="J37" i="1"/>
  <c r="J43" i="1" s="1"/>
  <c r="G36" i="2"/>
  <c r="C37" i="2"/>
  <c r="C38" i="2"/>
  <c r="C40" i="2"/>
  <c r="C41" i="2"/>
  <c r="D37" i="2"/>
  <c r="E37" i="2"/>
  <c r="I447" i="1"/>
  <c r="J38" i="1"/>
  <c r="G37" i="2"/>
  <c r="D38" i="2"/>
  <c r="E38" i="2"/>
  <c r="I448" i="1"/>
  <c r="J40" i="1"/>
  <c r="G39" i="2" s="1"/>
  <c r="D40" i="2"/>
  <c r="E41" i="2"/>
  <c r="I449" i="1"/>
  <c r="J41" i="1"/>
  <c r="D41" i="2"/>
  <c r="E48" i="2"/>
  <c r="E55" i="2" s="1"/>
  <c r="E96" i="2" s="1"/>
  <c r="F48" i="2"/>
  <c r="C50" i="2"/>
  <c r="C54" i="2" s="1"/>
  <c r="E50" i="2"/>
  <c r="C51" i="2"/>
  <c r="D51" i="2"/>
  <c r="E51" i="2"/>
  <c r="F51" i="2"/>
  <c r="D52" i="2"/>
  <c r="C53" i="2"/>
  <c r="D53" i="2"/>
  <c r="D54" i="2"/>
  <c r="D48" i="2"/>
  <c r="D55" i="2"/>
  <c r="E53" i="2"/>
  <c r="F53" i="2"/>
  <c r="C58" i="2"/>
  <c r="C59" i="2"/>
  <c r="C61" i="2"/>
  <c r="D61" i="2"/>
  <c r="D62" i="2"/>
  <c r="D73" i="2" s="1"/>
  <c r="E61" i="2"/>
  <c r="E62" i="2"/>
  <c r="F61" i="2"/>
  <c r="F62" i="2"/>
  <c r="F64" i="2"/>
  <c r="F65" i="2"/>
  <c r="F68" i="2"/>
  <c r="F69" i="2"/>
  <c r="F70" i="2"/>
  <c r="F73" i="2" s="1"/>
  <c r="C64" i="2"/>
  <c r="C65" i="2"/>
  <c r="C70" i="2" s="1"/>
  <c r="C73" i="2" s="1"/>
  <c r="C66" i="2"/>
  <c r="C67" i="2"/>
  <c r="C68" i="2"/>
  <c r="E68" i="2"/>
  <c r="E70" i="2" s="1"/>
  <c r="E73" i="2" s="1"/>
  <c r="C69" i="2"/>
  <c r="D69" i="2"/>
  <c r="D70" i="2"/>
  <c r="D71" i="2"/>
  <c r="E69" i="2"/>
  <c r="C71" i="2"/>
  <c r="E71" i="2"/>
  <c r="C72" i="2"/>
  <c r="E72" i="2"/>
  <c r="C77" i="2"/>
  <c r="C83" i="2" s="1"/>
  <c r="D77" i="2"/>
  <c r="D83" i="2" s="1"/>
  <c r="D80" i="2"/>
  <c r="D81" i="2"/>
  <c r="E77" i="2"/>
  <c r="C79" i="2"/>
  <c r="E79" i="2"/>
  <c r="F79" i="2"/>
  <c r="C80" i="2"/>
  <c r="E80" i="2"/>
  <c r="E81" i="2"/>
  <c r="E83" i="2"/>
  <c r="F80" i="2"/>
  <c r="F83" i="2" s="1"/>
  <c r="C81" i="2"/>
  <c r="F81" i="2"/>
  <c r="C82" i="2"/>
  <c r="C85" i="2"/>
  <c r="C95" i="2" s="1"/>
  <c r="F85" i="2"/>
  <c r="F95" i="2" s="1"/>
  <c r="F86" i="2"/>
  <c r="F88" i="2"/>
  <c r="F89" i="2"/>
  <c r="F91" i="2"/>
  <c r="F92" i="2"/>
  <c r="F93" i="2"/>
  <c r="F94" i="2"/>
  <c r="C86" i="2"/>
  <c r="D88" i="2"/>
  <c r="E88" i="2"/>
  <c r="E89" i="2"/>
  <c r="E90" i="2"/>
  <c r="E91" i="2"/>
  <c r="E92" i="2"/>
  <c r="E93" i="2"/>
  <c r="E94" i="2"/>
  <c r="E95" i="2"/>
  <c r="C89" i="2"/>
  <c r="D89" i="2"/>
  <c r="D90" i="2"/>
  <c r="D91" i="2"/>
  <c r="D92" i="2"/>
  <c r="D93" i="2"/>
  <c r="D94" i="2"/>
  <c r="D95" i="2"/>
  <c r="C90" i="2"/>
  <c r="C91" i="2"/>
  <c r="C92" i="2"/>
  <c r="C93" i="2"/>
  <c r="C94" i="2"/>
  <c r="D107" i="2"/>
  <c r="F107" i="2"/>
  <c r="G107" i="2"/>
  <c r="C111" i="2"/>
  <c r="E112" i="2"/>
  <c r="C114" i="2"/>
  <c r="E114" i="2"/>
  <c r="F120" i="2"/>
  <c r="G120" i="2"/>
  <c r="C122" i="2"/>
  <c r="D126" i="2"/>
  <c r="E126" i="2"/>
  <c r="F126" i="2"/>
  <c r="K411" i="1"/>
  <c r="K419" i="1"/>
  <c r="K426" i="1" s="1"/>
  <c r="G126" i="2" s="1"/>
  <c r="G136" i="2" s="1"/>
  <c r="K425" i="1"/>
  <c r="L255" i="1"/>
  <c r="C127" i="2"/>
  <c r="E127" i="2"/>
  <c r="L256" i="1"/>
  <c r="C128" i="2" s="1"/>
  <c r="L257" i="1"/>
  <c r="C129" i="2"/>
  <c r="C134" i="2"/>
  <c r="E134" i="2"/>
  <c r="C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D149" i="2"/>
  <c r="E149" i="2"/>
  <c r="F149" i="2"/>
  <c r="B150" i="2"/>
  <c r="G150" i="2" s="1"/>
  <c r="C150" i="2"/>
  <c r="D150" i="2"/>
  <c r="E150" i="2"/>
  <c r="F150" i="2"/>
  <c r="B151" i="2"/>
  <c r="C151" i="2"/>
  <c r="D151" i="2"/>
  <c r="E151" i="2"/>
  <c r="F151" i="2"/>
  <c r="G151" i="2" s="1"/>
  <c r="B152" i="2"/>
  <c r="G152" i="2" s="1"/>
  <c r="C152" i="2"/>
  <c r="D152" i="2"/>
  <c r="E152" i="2"/>
  <c r="F152" i="2"/>
  <c r="F490" i="1"/>
  <c r="B153" i="2"/>
  <c r="G490" i="1"/>
  <c r="C153" i="2" s="1"/>
  <c r="G153" i="2" s="1"/>
  <c r="H490" i="1"/>
  <c r="D153" i="2"/>
  <c r="I490" i="1"/>
  <c r="E153" i="2"/>
  <c r="J490" i="1"/>
  <c r="K490" i="1" s="1"/>
  <c r="F153" i="2"/>
  <c r="B154" i="2"/>
  <c r="C154" i="2"/>
  <c r="D154" i="2"/>
  <c r="G154" i="2" s="1"/>
  <c r="E154" i="2"/>
  <c r="F154" i="2"/>
  <c r="B155" i="2"/>
  <c r="C155" i="2"/>
  <c r="D155" i="2"/>
  <c r="E155" i="2"/>
  <c r="F155" i="2"/>
  <c r="G155" i="2"/>
  <c r="F493" i="1"/>
  <c r="B156" i="2" s="1"/>
  <c r="G156" i="2" s="1"/>
  <c r="G493" i="1"/>
  <c r="C156" i="2"/>
  <c r="H493" i="1"/>
  <c r="D156" i="2" s="1"/>
  <c r="I493" i="1"/>
  <c r="E156" i="2"/>
  <c r="J493" i="1"/>
  <c r="F156" i="2"/>
  <c r="F19" i="1"/>
  <c r="G607" i="1" s="1"/>
  <c r="G19" i="1"/>
  <c r="G608" i="1" s="1"/>
  <c r="J608" i="1" s="1"/>
  <c r="I19" i="1"/>
  <c r="F33" i="1"/>
  <c r="G33" i="1"/>
  <c r="H33" i="1"/>
  <c r="I33" i="1"/>
  <c r="F43" i="1"/>
  <c r="F44" i="1" s="1"/>
  <c r="H607" i="1" s="1"/>
  <c r="G612" i="1"/>
  <c r="G43" i="1"/>
  <c r="G613" i="1" s="1"/>
  <c r="G44" i="1"/>
  <c r="H608" i="1"/>
  <c r="I43" i="1"/>
  <c r="F169" i="1"/>
  <c r="F184" i="1" s="1"/>
  <c r="I169" i="1"/>
  <c r="I184" i="1" s="1"/>
  <c r="F175" i="1"/>
  <c r="G175" i="1"/>
  <c r="G184" i="1"/>
  <c r="H175" i="1"/>
  <c r="H184" i="1" s="1"/>
  <c r="I175" i="1"/>
  <c r="J175" i="1"/>
  <c r="G635" i="1" s="1"/>
  <c r="J184" i="1"/>
  <c r="F180" i="1"/>
  <c r="G180" i="1"/>
  <c r="H180" i="1"/>
  <c r="I180" i="1"/>
  <c r="G203" i="1"/>
  <c r="G249" i="1" s="1"/>
  <c r="G263" i="1" s="1"/>
  <c r="H203" i="1"/>
  <c r="H249" i="1" s="1"/>
  <c r="H263" i="1" s="1"/>
  <c r="I203" i="1"/>
  <c r="J203" i="1"/>
  <c r="J249" i="1" s="1"/>
  <c r="K203" i="1"/>
  <c r="G221" i="1"/>
  <c r="H221" i="1"/>
  <c r="I221" i="1"/>
  <c r="J221" i="1"/>
  <c r="K221" i="1"/>
  <c r="F239" i="1"/>
  <c r="G239" i="1"/>
  <c r="H239" i="1"/>
  <c r="I239" i="1"/>
  <c r="J239" i="1"/>
  <c r="K239" i="1"/>
  <c r="F248" i="1"/>
  <c r="G248" i="1"/>
  <c r="H248" i="1"/>
  <c r="I248" i="1"/>
  <c r="J248" i="1"/>
  <c r="K248" i="1"/>
  <c r="L248" i="1"/>
  <c r="F282" i="1"/>
  <c r="F330" i="1" s="1"/>
  <c r="F344" i="1" s="1"/>
  <c r="G282" i="1"/>
  <c r="H282" i="1"/>
  <c r="H330" i="1" s="1"/>
  <c r="H344" i="1" s="1"/>
  <c r="I282" i="1"/>
  <c r="I330" i="1" s="1"/>
  <c r="I344" i="1" s="1"/>
  <c r="F301" i="1"/>
  <c r="G301" i="1"/>
  <c r="H301" i="1"/>
  <c r="I301" i="1"/>
  <c r="F320" i="1"/>
  <c r="G320" i="1"/>
  <c r="H320" i="1"/>
  <c r="I320" i="1"/>
  <c r="F329" i="1"/>
  <c r="G329" i="1"/>
  <c r="L329" i="1" s="1"/>
  <c r="H329" i="1"/>
  <c r="I329" i="1"/>
  <c r="J329" i="1"/>
  <c r="K329" i="1"/>
  <c r="J330" i="1"/>
  <c r="J344" i="1"/>
  <c r="F354" i="1"/>
  <c r="G354" i="1"/>
  <c r="H354" i="1"/>
  <c r="I354" i="1"/>
  <c r="G624" i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G393" i="1"/>
  <c r="H393" i="1"/>
  <c r="H400" i="1" s="1"/>
  <c r="H634" i="1" s="1"/>
  <c r="I393" i="1"/>
  <c r="I400" i="1" s="1"/>
  <c r="F399" i="1"/>
  <c r="G399" i="1"/>
  <c r="G400" i="1" s="1"/>
  <c r="H635" i="1" s="1"/>
  <c r="H399" i="1"/>
  <c r="I399" i="1"/>
  <c r="L405" i="1"/>
  <c r="L411" i="1" s="1"/>
  <c r="L406" i="1"/>
  <c r="L407" i="1"/>
  <c r="L408" i="1"/>
  <c r="L409" i="1"/>
  <c r="L410" i="1"/>
  <c r="F411" i="1"/>
  <c r="G411" i="1"/>
  <c r="H411" i="1"/>
  <c r="I411" i="1"/>
  <c r="J411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G425" i="1"/>
  <c r="G426" i="1"/>
  <c r="H425" i="1"/>
  <c r="H426" i="1"/>
  <c r="I425" i="1"/>
  <c r="I426" i="1" s="1"/>
  <c r="J425" i="1"/>
  <c r="F426" i="1"/>
  <c r="J426" i="1"/>
  <c r="F438" i="1"/>
  <c r="G629" i="1" s="1"/>
  <c r="J629" i="1" s="1"/>
  <c r="G438" i="1"/>
  <c r="G630" i="1" s="1"/>
  <c r="J630" i="1" s="1"/>
  <c r="H438" i="1"/>
  <c r="G631" i="1"/>
  <c r="F444" i="1"/>
  <c r="F451" i="1" s="1"/>
  <c r="H629" i="1" s="1"/>
  <c r="G444" i="1"/>
  <c r="H444" i="1"/>
  <c r="H451" i="1" s="1"/>
  <c r="H631" i="1" s="1"/>
  <c r="J631" i="1" s="1"/>
  <c r="F450" i="1"/>
  <c r="G450" i="1"/>
  <c r="G451" i="1" s="1"/>
  <c r="H630" i="1" s="1"/>
  <c r="H450" i="1"/>
  <c r="F460" i="1"/>
  <c r="F466" i="1" s="1"/>
  <c r="H612" i="1" s="1"/>
  <c r="G460" i="1"/>
  <c r="G466" i="1" s="1"/>
  <c r="H613" i="1" s="1"/>
  <c r="H460" i="1"/>
  <c r="H466" i="1"/>
  <c r="H614" i="1"/>
  <c r="I460" i="1"/>
  <c r="J460" i="1"/>
  <c r="J466" i="1"/>
  <c r="H616" i="1"/>
  <c r="F464" i="1"/>
  <c r="G464" i="1"/>
  <c r="H464" i="1"/>
  <c r="I464" i="1"/>
  <c r="I466" i="1"/>
  <c r="H615" i="1"/>
  <c r="J464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G514" i="1"/>
  <c r="H514" i="1"/>
  <c r="I514" i="1"/>
  <c r="I535" i="1" s="1"/>
  <c r="J514" i="1"/>
  <c r="J535" i="1" s="1"/>
  <c r="K514" i="1"/>
  <c r="K535" i="1" s="1"/>
  <c r="F519" i="1"/>
  <c r="G519" i="1"/>
  <c r="G535" i="1" s="1"/>
  <c r="H519" i="1"/>
  <c r="H535" i="1" s="1"/>
  <c r="I519" i="1"/>
  <c r="J519" i="1"/>
  <c r="K519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47" i="1"/>
  <c r="L550" i="1"/>
  <c r="L548" i="1"/>
  <c r="L549" i="1"/>
  <c r="F550" i="1"/>
  <c r="G550" i="1"/>
  <c r="G561" i="1" s="1"/>
  <c r="H550" i="1"/>
  <c r="I550" i="1"/>
  <c r="J550" i="1"/>
  <c r="K550" i="1"/>
  <c r="L552" i="1"/>
  <c r="L555" i="1" s="1"/>
  <c r="L553" i="1"/>
  <c r="L554" i="1"/>
  <c r="F555" i="1"/>
  <c r="F561" i="1" s="1"/>
  <c r="G555" i="1"/>
  <c r="H555" i="1"/>
  <c r="I555" i="1"/>
  <c r="I561" i="1"/>
  <c r="J555" i="1"/>
  <c r="J561" i="1" s="1"/>
  <c r="K555" i="1"/>
  <c r="K561" i="1" s="1"/>
  <c r="L557" i="1"/>
  <c r="L560" i="1" s="1"/>
  <c r="L558" i="1"/>
  <c r="L559" i="1"/>
  <c r="F560" i="1"/>
  <c r="G560" i="1"/>
  <c r="H560" i="1"/>
  <c r="H561" i="1" s="1"/>
  <c r="I560" i="1"/>
  <c r="J560" i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6" i="1"/>
  <c r="K587" i="1"/>
  <c r="H588" i="1"/>
  <c r="H639" i="1"/>
  <c r="I588" i="1"/>
  <c r="H640" i="1"/>
  <c r="J588" i="1"/>
  <c r="H641" i="1" s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G610" i="1"/>
  <c r="G615" i="1"/>
  <c r="J615" i="1" s="1"/>
  <c r="H617" i="1"/>
  <c r="H618" i="1"/>
  <c r="H619" i="1"/>
  <c r="H620" i="1"/>
  <c r="H621" i="1"/>
  <c r="H622" i="1"/>
  <c r="H623" i="1"/>
  <c r="H625" i="1"/>
  <c r="H626" i="1"/>
  <c r="H627" i="1"/>
  <c r="H628" i="1"/>
  <c r="G633" i="1"/>
  <c r="J633" i="1" s="1"/>
  <c r="G634" i="1"/>
  <c r="J634" i="1" s="1"/>
  <c r="G641" i="1"/>
  <c r="G642" i="1"/>
  <c r="J642" i="1"/>
  <c r="H642" i="1"/>
  <c r="G643" i="1"/>
  <c r="J643" i="1" s="1"/>
  <c r="H643" i="1"/>
  <c r="G644" i="1"/>
  <c r="H644" i="1"/>
  <c r="J644" i="1"/>
  <c r="G645" i="1"/>
  <c r="J645" i="1" s="1"/>
  <c r="H645" i="1"/>
  <c r="F77" i="2"/>
  <c r="K493" i="1"/>
  <c r="I539" i="1"/>
  <c r="I542" i="1"/>
  <c r="L529" i="1"/>
  <c r="E135" i="2"/>
  <c r="C26" i="10"/>
  <c r="C12" i="10"/>
  <c r="J24" i="1"/>
  <c r="G23" i="2" s="1"/>
  <c r="C22" i="13"/>
  <c r="L399" i="1"/>
  <c r="C132" i="2" s="1"/>
  <c r="E122" i="2"/>
  <c r="J132" i="1"/>
  <c r="E113" i="2"/>
  <c r="C123" i="2"/>
  <c r="H653" i="1"/>
  <c r="I653" i="1"/>
  <c r="K588" i="1"/>
  <c r="G637" i="1" s="1"/>
  <c r="G542" i="1"/>
  <c r="F535" i="1"/>
  <c r="G149" i="2"/>
  <c r="G40" i="2"/>
  <c r="F651" i="1"/>
  <c r="E106" i="2"/>
  <c r="E111" i="2"/>
  <c r="E110" i="2"/>
  <c r="G330" i="1"/>
  <c r="G344" i="1"/>
  <c r="E16" i="13"/>
  <c r="C16" i="13" s="1"/>
  <c r="C115" i="2"/>
  <c r="D7" i="13"/>
  <c r="C7" i="13"/>
  <c r="K249" i="1"/>
  <c r="K263" i="1"/>
  <c r="L225" i="1"/>
  <c r="E8" i="13"/>
  <c r="C8" i="13"/>
  <c r="C16" i="10"/>
  <c r="G33" i="13"/>
  <c r="I249" i="1"/>
  <c r="I263" i="1" s="1"/>
  <c r="C62" i="2"/>
  <c r="F54" i="2"/>
  <c r="F55" i="2"/>
  <c r="C35" i="10"/>
  <c r="I44" i="1"/>
  <c r="H610" i="1"/>
  <c r="J610" i="1"/>
  <c r="A31" i="12"/>
  <c r="A22" i="12"/>
  <c r="E120" i="2" l="1"/>
  <c r="J641" i="1"/>
  <c r="G137" i="2"/>
  <c r="C39" i="10"/>
  <c r="F185" i="1"/>
  <c r="G617" i="1" s="1"/>
  <c r="J617" i="1" s="1"/>
  <c r="J624" i="1"/>
  <c r="H44" i="1"/>
  <c r="H609" i="1" s="1"/>
  <c r="G614" i="1"/>
  <c r="J614" i="1" s="1"/>
  <c r="L203" i="1"/>
  <c r="L426" i="1"/>
  <c r="G628" i="1" s="1"/>
  <c r="J628" i="1" s="1"/>
  <c r="D96" i="2"/>
  <c r="C36" i="10"/>
  <c r="J607" i="1"/>
  <c r="F96" i="2"/>
  <c r="G42" i="2"/>
  <c r="G43" i="2" s="1"/>
  <c r="C55" i="2"/>
  <c r="C96" i="2" s="1"/>
  <c r="K542" i="1"/>
  <c r="G621" i="1"/>
  <c r="J621" i="1" s="1"/>
  <c r="G636" i="1"/>
  <c r="J638" i="1"/>
  <c r="L535" i="1"/>
  <c r="E42" i="2"/>
  <c r="E43" i="2" s="1"/>
  <c r="G616" i="1"/>
  <c r="J616" i="1" s="1"/>
  <c r="J44" i="1"/>
  <c r="H611" i="1" s="1"/>
  <c r="D40" i="10"/>
  <c r="E136" i="2"/>
  <c r="H638" i="1"/>
  <c r="J263" i="1"/>
  <c r="G9" i="2"/>
  <c r="G19" i="2" s="1"/>
  <c r="J19" i="1"/>
  <c r="G611" i="1" s="1"/>
  <c r="E33" i="13"/>
  <c r="D35" i="13" s="1"/>
  <c r="C13" i="13"/>
  <c r="C130" i="2"/>
  <c r="C133" i="2" s="1"/>
  <c r="L400" i="1"/>
  <c r="E107" i="2"/>
  <c r="E137" i="2" s="1"/>
  <c r="J542" i="1"/>
  <c r="I185" i="1"/>
  <c r="G620" i="1" s="1"/>
  <c r="J620" i="1" s="1"/>
  <c r="L561" i="1"/>
  <c r="J613" i="1"/>
  <c r="G22" i="2"/>
  <c r="G32" i="2" s="1"/>
  <c r="J33" i="1"/>
  <c r="J632" i="1"/>
  <c r="G185" i="1"/>
  <c r="G618" i="1" s="1"/>
  <c r="J618" i="1" s="1"/>
  <c r="J635" i="1"/>
  <c r="J612" i="1"/>
  <c r="B9" i="12"/>
  <c r="A13" i="12" s="1"/>
  <c r="H25" i="13"/>
  <c r="C18" i="10"/>
  <c r="G651" i="1"/>
  <c r="I651" i="1" s="1"/>
  <c r="L343" i="1"/>
  <c r="F203" i="1"/>
  <c r="F249" i="1" s="1"/>
  <c r="F263" i="1" s="1"/>
  <c r="G652" i="1"/>
  <c r="I652" i="1" s="1"/>
  <c r="C41" i="10"/>
  <c r="D38" i="10" s="1"/>
  <c r="D12" i="13"/>
  <c r="C12" i="13" s="1"/>
  <c r="L354" i="1"/>
  <c r="C102" i="2"/>
  <c r="C116" i="2"/>
  <c r="C120" i="2" s="1"/>
  <c r="H651" i="1"/>
  <c r="H104" i="1"/>
  <c r="H185" i="1" s="1"/>
  <c r="G619" i="1" s="1"/>
  <c r="J619" i="1" s="1"/>
  <c r="D29" i="13"/>
  <c r="C29" i="13" s="1"/>
  <c r="I444" i="1"/>
  <c r="I451" i="1" s="1"/>
  <c r="H632" i="1" s="1"/>
  <c r="C13" i="10"/>
  <c r="F542" i="1"/>
  <c r="C21" i="10"/>
  <c r="C106" i="2"/>
  <c r="C29" i="10"/>
  <c r="C32" i="10"/>
  <c r="D6" i="13"/>
  <c r="C6" i="13" s="1"/>
  <c r="G639" i="1"/>
  <c r="J639" i="1" s="1"/>
  <c r="L239" i="1"/>
  <c r="H650" i="1" s="1"/>
  <c r="H654" i="1" s="1"/>
  <c r="L282" i="1"/>
  <c r="E40" i="2"/>
  <c r="L207" i="1"/>
  <c r="L221" i="1" s="1"/>
  <c r="G650" i="1" s="1"/>
  <c r="C15" i="10"/>
  <c r="H637" i="1"/>
  <c r="J637" i="1" s="1"/>
  <c r="H19" i="1"/>
  <c r="G609" i="1" s="1"/>
  <c r="F122" i="2"/>
  <c r="F136" i="2" s="1"/>
  <c r="F137" i="2" s="1"/>
  <c r="J609" i="1" l="1"/>
  <c r="G654" i="1"/>
  <c r="C136" i="2"/>
  <c r="H636" i="1"/>
  <c r="J636" i="1" s="1"/>
  <c r="G627" i="1"/>
  <c r="J627" i="1" s="1"/>
  <c r="C25" i="13"/>
  <c r="H33" i="13"/>
  <c r="J611" i="1"/>
  <c r="D39" i="10"/>
  <c r="H662" i="1"/>
  <c r="C6" i="10" s="1"/>
  <c r="H657" i="1"/>
  <c r="F650" i="1"/>
  <c r="L249" i="1"/>
  <c r="L263" i="1" s="1"/>
  <c r="G622" i="1" s="1"/>
  <c r="J622" i="1" s="1"/>
  <c r="D5" i="13"/>
  <c r="D35" i="10"/>
  <c r="D37" i="10"/>
  <c r="D36" i="10"/>
  <c r="L330" i="1"/>
  <c r="L344" i="1" s="1"/>
  <c r="G623" i="1" s="1"/>
  <c r="J623" i="1" s="1"/>
  <c r="D31" i="13"/>
  <c r="C31" i="13" s="1"/>
  <c r="C10" i="10"/>
  <c r="G625" i="1"/>
  <c r="J625" i="1" s="1"/>
  <c r="C27" i="10"/>
  <c r="C101" i="2"/>
  <c r="C107" i="2" s="1"/>
  <c r="C137" i="2" s="1"/>
  <c r="C5" i="13" l="1"/>
  <c r="D33" i="13"/>
  <c r="D36" i="13" s="1"/>
  <c r="F654" i="1"/>
  <c r="I650" i="1"/>
  <c r="I654" i="1" s="1"/>
  <c r="G662" i="1"/>
  <c r="C5" i="10" s="1"/>
  <c r="G657" i="1"/>
  <c r="D41" i="10"/>
  <c r="H646" i="1"/>
  <c r="C28" i="10"/>
  <c r="D27" i="10" s="1"/>
  <c r="D10" i="10"/>
  <c r="I662" i="1" l="1"/>
  <c r="C7" i="10" s="1"/>
  <c r="I657" i="1"/>
  <c r="F662" i="1"/>
  <c r="C4" i="10" s="1"/>
  <c r="F657" i="1"/>
  <c r="D22" i="10"/>
  <c r="D12" i="10"/>
  <c r="C30" i="10"/>
  <c r="D19" i="10"/>
  <c r="D26" i="10"/>
  <c r="D16" i="10"/>
  <c r="D23" i="10"/>
  <c r="D11" i="10"/>
  <c r="D28" i="10" s="1"/>
  <c r="D24" i="10"/>
  <c r="D25" i="10"/>
  <c r="D17" i="10"/>
  <c r="D20" i="10"/>
  <c r="D21" i="10"/>
  <c r="D13" i="10"/>
  <c r="D15" i="10"/>
  <c r="D1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9BA25E18-4CC0-4625-A108-FE5DC34DAAC4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27800ADE-A5E1-4C44-96B0-667D3BEECA3F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67B1DB5E-A00C-493B-82EF-81FD5DC247BA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443792D9-76A1-45A0-B485-5D35D39A7F35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3956DDDD-D057-4A08-89ED-B207F306A55F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3338E7FB-735D-432E-B419-4D11253B792C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61E479FA-5065-4E94-8972-FC740EEA49EC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7441418A-0C7C-4265-997F-483CEEA86CF1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ABCE0054-F94F-48BF-8567-66690B3438E1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F542FD2A-D1A0-4F18-A74C-10CED1247B8E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93CC74F8-63B1-4559-9B3F-186800E3590D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11A47BBF-72B0-4134-874C-24A1AB63B606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<sst xmlns="http://schemas.openxmlformats.org/spreadsheetml/2006/main" count="3865" uniqueCount="902">
  <si>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</si>
  <si>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</si>
  <si>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</si>
  <si>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</si>
  <si>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</si>
  <si>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</si>
  <si>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</si>
  <si>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</si>
  <si>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</si>
  <si>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</si>
  <si>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</si>
  <si>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</si>
  <si>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</si>
  <si>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</si>
  <si>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</si>
  <si>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</si>
  <si>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</si>
  <si>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</si>
  <si>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</si>
  <si>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</si>
  <si>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</si>
  <si>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</si>
  <si>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</si>
  <si>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</si>
  <si>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</si>
  <si>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</si>
  <si>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</si>
  <si>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</si>
  <si>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</si>
  <si>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</si>
  <si>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</si>
  <si>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</si>
  <si>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</si>
  <si>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</si>
  <si>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</si>
  <si>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</si>
  <si>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</si>
  <si>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</si>
  <si>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</si>
  <si>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</si>
  <si>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</si>
  <si>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</si>
  <si>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</si>
  <si>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</si>
  <si>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</si>
  <si>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</si>
  <si>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</si>
  <si>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</si>
  <si>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</si>
  <si>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</si>
  <si>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</si>
  <si>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</si>
  <si>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</si>
  <si>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</si>
  <si>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</si>
  <si>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</si>
  <si>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</si>
  <si>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</si>
  <si>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</si>
  <si>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</si>
  <si>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</si>
  <si>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</si>
  <si>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</si>
  <si>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</si>
  <si>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</si>
  <si>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</si>
  <si>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</si>
  <si>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</si>
  <si>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</si>
  <si>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</si>
  <si>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</si>
  <si>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</si>
  <si>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</si>
  <si>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</si>
  <si>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</si>
  <si>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</si>
  <si>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</si>
  <si>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</si>
  <si>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</si>
  <si>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</si>
  <si>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</si>
  <si>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</si>
  <si>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</si>
  <si>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</si>
  <si>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</si>
  <si>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</si>
  <si>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</si>
  <si>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</si>
  <si>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</si>
  <si>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</si>
  <si>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</si>
  <si>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</si>
  <si>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</si>
  <si>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</si>
  <si>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</si>
  <si>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</si>
  <si>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</si>
  <si>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</si>
  <si>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</si>
  <si>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</si>
  <si>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</si>
  <si>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</si>
  <si>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</si>
  <si>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</si>
  <si>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</si>
  <si>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</si>
  <si>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</si>
  <si>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</si>
  <si>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</si>
  <si>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</si>
  <si>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</si>
  <si>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</si>
  <si>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</si>
  <si>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</si>
  <si>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</si>
  <si>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</si>
  <si>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</si>
  <si>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</si>
  <si>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</si>
  <si>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</si>
  <si>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</si>
  <si>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</si>
  <si>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</si>
  <si>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</si>
  <si>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</si>
  <si>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</si>
  <si>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</si>
  <si>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</si>
  <si>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</si>
  <si>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</si>
  <si>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</si>
  <si>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</si>
  <si>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</si>
  <si>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</si>
  <si>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</si>
  <si>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</si>
  <si>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</si>
  <si>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</si>
  <si>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</si>
  <si>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</si>
  <si>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</si>
  <si>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</si>
  <si>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</si>
  <si>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</si>
  <si>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</si>
  <si>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</si>
  <si>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</si>
  <si>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</si>
  <si>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</si>
  <si>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</si>
  <si>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</si>
  <si>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</si>
  <si>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</si>
  <si>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</si>
  <si>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</si>
  <si>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</si>
  <si>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</si>
  <si>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</si>
  <si>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</si>
  <si>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</si>
  <si>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</si>
  <si>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</si>
  <si>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</si>
  <si>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</si>
  <si>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</si>
  <si>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</si>
  <si>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</si>
  <si>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</si>
  <si>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</si>
  <si>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</si>
  <si>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</si>
  <si>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</si>
  <si>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</si>
  <si>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</si>
  <si>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</si>
  <si>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</si>
  <si>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</si>
  <si>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</si>
  <si>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</si>
  <si>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</si>
  <si>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</si>
  <si>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</si>
  <si>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</si>
  <si>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</si>
  <si>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</si>
  <si>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</si>
  <si>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</si>
  <si>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</si>
  <si>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</si>
  <si>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</si>
  <si>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</si>
  <si>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</si>
  <si>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</si>
  <si>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</si>
  <si>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</si>
  <si>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</si>
  <si>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</si>
  <si>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</si>
  <si>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</si>
  <si>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</si>
  <si>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</si>
  <si>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</si>
  <si>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</si>
  <si>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</si>
  <si>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</si>
  <si>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</si>
  <si>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</si>
  <si>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</si>
  <si>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</si>
  <si>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</si>
  <si>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</si>
  <si>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</si>
  <si>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</si>
  <si>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</si>
  <si>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</si>
  <si>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</si>
  <si>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</si>
  <si>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</si>
  <si>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</si>
  <si>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</si>
  <si>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</si>
  <si>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</si>
  <si>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</si>
  <si>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</si>
  <si>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</si>
  <si>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</si>
  <si>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</si>
  <si>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</si>
  <si>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</si>
  <si>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</si>
  <si>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</si>
  <si>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</si>
  <si>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</si>
  <si>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</si>
  <si>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</si>
  <si>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</si>
  <si>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</si>
  <si>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</si>
  <si>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</si>
  <si>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</si>
  <si>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</si>
  <si>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</si>
  <si>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</si>
  <si>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</si>
  <si>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</si>
  <si>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</si>
  <si>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</si>
  <si>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</si>
  <si>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</si>
  <si>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</si>
  <si>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</si>
  <si>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</si>
  <si>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</si>
  <si>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</si>
  <si>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</si>
  <si>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</si>
  <si>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</si>
  <si>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</si>
  <si>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</si>
  <si>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</si>
  <si>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</si>
  <si>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</si>
  <si>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</si>
  <si>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</si>
  <si>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</si>
  <si>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</si>
  <si>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</si>
  <si>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</si>
  <si>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</si>
  <si>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</si>
  <si>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</si>
  <si>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</si>
  <si>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</si>
  <si>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</si>
  <si>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</si>
  <si>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</si>
  <si>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</si>
  <si>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</si>
  <si>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</si>
  <si>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</si>
  <si>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</si>
  <si>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</si>
  <si>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</si>
  <si>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</si>
  <si>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</si>
  <si>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</si>
  <si>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</si>
  <si>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</si>
  <si>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</si>
  <si>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</si>
  <si>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</si>
  <si>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</si>
  <si>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</si>
  <si>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</si>
  <si>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</si>
  <si>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</si>
  <si>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</si>
  <si>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</si>
  <si>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</si>
  <si>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</si>
  <si>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</si>
  <si>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</si>
  <si>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</si>
  <si>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</si>
  <si>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</si>
  <si>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</si>
  <si>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</si>
  <si>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</si>
  <si>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</si>
  <si>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</si>
  <si>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</si>
  <si>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</si>
  <si>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</si>
  <si>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</si>
  <si>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</si>
  <si>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</si>
  <si>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</si>
  <si>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</si>
  <si>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</si>
  <si>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</si>
  <si>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</si>
  <si>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</si>
  <si>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</si>
  <si>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</si>
  <si>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</si>
  <si>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</si>
  <si>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</si>
  <si>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</si>
  <si>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</si>
  <si>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</si>
  <si>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</si>
  <si>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</si>
  <si>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</si>
  <si>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</si>
  <si>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</si>
  <si>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</si>
  <si>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</si>
  <si>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</si>
  <si>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</si>
  <si>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</si>
  <si>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</si>
  <si>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</si>
  <si>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</si>
  <si>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</si>
  <si>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</si>
  <si>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</si>
  <si>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</si>
  <si>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</si>
  <si>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</si>
  <si>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</si>
  <si>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</si>
  <si>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</si>
  <si>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</si>
  <si>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</si>
  <si>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</si>
  <si>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</si>
  <si>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</si>
  <si>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</si>
  <si>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</si>
  <si>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</si>
  <si>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</si>
  <si>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</si>
  <si>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</si>
  <si>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</si>
  <si>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</si>
  <si>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</si>
  <si>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</si>
  <si>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</si>
  <si>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</si>
  <si>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</si>
  <si>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</si>
  <si>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</si>
  <si>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</si>
  <si>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</si>
  <si>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</si>
  <si>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</si>
  <si>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</si>
  <si>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</si>
  <si>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</si>
  <si>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</si>
  <si>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</si>
  <si>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</si>
  <si>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</si>
  <si>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</si>
  <si>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</si>
  <si>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</si>
  <si>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</si>
  <si>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</si>
  <si>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</si>
  <si>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</si>
  <si>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</si>
  <si>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</si>
  <si>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</si>
  <si>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</si>
  <si>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</si>
  <si>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</si>
  <si>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</si>
  <si>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</si>
  <si>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</si>
  <si>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</si>
  <si>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</si>
  <si>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</si>
  <si>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</si>
  <si>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</si>
  <si>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</si>
  <si>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</si>
  <si>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</si>
  <si>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</si>
  <si>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</si>
  <si>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</si>
  <si>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</si>
  <si>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</si>
  <si>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</si>
  <si>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</si>
  <si>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</si>
  <si>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</si>
  <si>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</si>
  <si>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</si>
  <si>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</si>
  <si>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</si>
  <si>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</si>
  <si>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</si>
  <si>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</si>
  <si>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</si>
  <si>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</si>
  <si>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</si>
  <si>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</si>
  <si>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</si>
  <si>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</si>
  <si>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</si>
  <si>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</si>
  <si>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</si>
  <si>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</si>
  <si>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</si>
  <si>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</si>
  <si>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</si>
  <si>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</si>
  <si>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</si>
  <si>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</si>
  <si>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</si>
  <si>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</si>
  <si>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</si>
  <si>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</si>
  <si>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</si>
  <si>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</si>
  <si>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</si>
  <si>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</si>
  <si>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</si>
  <si>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</si>
  <si>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</si>
  <si>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</si>
  <si>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</si>
  <si>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</si>
  <si>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</si>
  <si>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</si>
  <si>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</si>
  <si>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</si>
  <si>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</si>
  <si>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</si>
  <si>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</si>
  <si>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</si>
  <si>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</si>
  <si>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</si>
  <si>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</si>
  <si>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</si>
  <si>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</si>
  <si>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</si>
  <si>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</si>
  <si>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</si>
  <si>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</si>
  <si>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</si>
  <si>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</si>
  <si>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</si>
  <si>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</si>
  <si>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</si>
  <si>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</si>
  <si>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</si>
  <si>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</si>
  <si>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</si>
  <si>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</si>
  <si>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</si>
  <si>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</si>
  <si>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</si>
  <si>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</si>
  <si>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</si>
  <si>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</si>
  <si>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</si>
  <si>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</si>
  <si>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</si>
  <si>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</si>
  <si>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</si>
  <si>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</si>
  <si>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</si>
  <si>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</si>
  <si>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</si>
  <si>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</si>
  <si>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</si>
  <si>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</si>
  <si>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</si>
  <si>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</si>
  <si>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</si>
  <si>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</si>
  <si>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</si>
  <si>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</si>
  <si>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</si>
  <si>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</si>
  <si>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</si>
  <si>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</si>
  <si>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</si>
  <si>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</si>
  <si>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</si>
  <si>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</si>
  <si>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</si>
  <si>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</si>
  <si>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</si>
  <si>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</si>
  <si>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</si>
  <si>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</si>
  <si>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</si>
  <si>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</si>
  <si>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</si>
  <si>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</si>
  <si>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</si>
  <si>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</si>
  <si>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</si>
  <si>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</si>
  <si>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</si>
  <si>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</si>
  <si>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</si>
  <si>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</si>
  <si>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</si>
  <si>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</si>
  <si>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</si>
  <si>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</si>
  <si>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</si>
  <si>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</si>
  <si>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</si>
  <si>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</si>
  <si>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</si>
  <si>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</si>
  <si>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</si>
  <si>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</si>
  <si>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</si>
  <si>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</si>
  <si>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</si>
  <si>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</si>
  <si>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</si>
  <si>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</si>
  <si>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</si>
  <si>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</si>
  <si>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</si>
  <si>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</si>
  <si>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</si>
  <si>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</si>
  <si>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</si>
  <si>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</si>
  <si>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</si>
  <si>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</si>
  <si>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</si>
  <si>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</si>
  <si>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</si>
  <si>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</si>
  <si>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</si>
  <si>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</si>
  <si>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</si>
  <si>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</si>
  <si>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</si>
  <si>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</si>
  <si>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</si>
  <si>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</si>
  <si>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</si>
  <si>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</si>
  <si>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</si>
  <si>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</si>
  <si>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</si>
  <si>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</si>
  <si>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</si>
  <si>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</si>
  <si>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</si>
  <si>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</si>
  <si>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</si>
  <si>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</si>
  <si>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</si>
  <si>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</si>
  <si>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</si>
  <si>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</si>
  <si>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</si>
  <si>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</si>
  <si>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</si>
  <si>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</si>
  <si>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</si>
  <si>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</si>
  <si>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</si>
  <si>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</si>
  <si>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</si>
  <si>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</si>
  <si>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</si>
  <si>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</si>
  <si>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</si>
  <si>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</si>
  <si>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</si>
  <si>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</si>
  <si>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</si>
  <si>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</si>
  <si>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</si>
  <si>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</si>
  <si>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</si>
  <si>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</si>
  <si>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</si>
  <si>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</si>
  <si>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</si>
  <si>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</si>
  <si>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</si>
  <si>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</si>
  <si>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</si>
  <si>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</si>
  <si>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</si>
  <si>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</si>
  <si>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</si>
  <si>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</si>
  <si>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</si>
  <si>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</si>
  <si>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</si>
  <si>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</si>
  <si>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</si>
  <si>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</si>
  <si>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</si>
  <si>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</si>
  <si>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</si>
  <si>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</si>
  <si>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</si>
  <si>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</si>
  <si>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</si>
  <si>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</si>
  <si>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</si>
  <si>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</si>
  <si>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</si>
  <si>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</si>
  <si>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</si>
  <si>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</si>
  <si>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</si>
  <si>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</si>
  <si>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</si>
  <si>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</si>
  <si>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</si>
  <si>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</si>
  <si>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</si>
  <si>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</si>
  <si>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</si>
  <si>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</si>
  <si>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</si>
  <si>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</si>
  <si>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</si>
  <si>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</si>
  <si>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</si>
  <si>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</si>
  <si>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</si>
  <si>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</si>
  <si>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</si>
  <si>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</si>
  <si>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</si>
  <si>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</si>
  <si>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</si>
  <si>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</si>
  <si>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</si>
  <si>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</si>
  <si>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</si>
  <si>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</si>
  <si>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</si>
  <si>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</si>
  <si>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</si>
  <si>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</si>
  <si>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</si>
  <si>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</si>
  <si>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</si>
  <si>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</si>
  <si>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</si>
  <si>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</si>
  <si>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</si>
  <si>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</si>
  <si>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</si>
  <si>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</si>
  <si>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</si>
  <si>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</si>
  <si>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</si>
  <si>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</si>
  <si>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</si>
  <si>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</si>
  <si>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</si>
  <si>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</si>
  <si>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</si>
  <si>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</si>
  <si>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</si>
  <si>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</si>
  <si>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</si>
  <si>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</si>
  <si>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</si>
  <si>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</si>
  <si>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</si>
  <si>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</si>
  <si>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</si>
  <si>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</si>
  <si>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</si>
  <si>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</si>
  <si>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</si>
  <si>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</si>
  <si>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</si>
  <si>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</si>
  <si>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</si>
  <si>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</si>
  <si>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</si>
  <si>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</si>
  <si>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</si>
  <si>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</si>
  <si>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</si>
  <si>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</si>
  <si>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</si>
  <si>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</si>
  <si>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</si>
  <si>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</si>
  <si>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</si>
  <si>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</si>
  <si>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</si>
  <si>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</si>
  <si>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</si>
  <si>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</si>
  <si>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</si>
  <si>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</si>
  <si>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</si>
  <si>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</si>
  <si>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</si>
  <si>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</si>
  <si>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</si>
  <si>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</si>
  <si>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</si>
  <si>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</si>
  <si>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</si>
  <si>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</si>
  <si>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</si>
  <si>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</si>
  <si>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</si>
  <si>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</si>
  <si>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</si>
  <si>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</si>
  <si>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</si>
  <si>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</si>
  <si>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</si>
  <si>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</si>
  <si>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</si>
  <si>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</si>
  <si>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</si>
  <si>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</si>
  <si>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</si>
  <si>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</si>
  <si>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</si>
  <si>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</si>
  <si>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</si>
  <si>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</si>
  <si>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</si>
  <si>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</si>
  <si>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</si>
  <si>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</si>
  <si>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</si>
  <si>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</si>
  <si>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</si>
  <si>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</si>
  <si>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</si>
  <si>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</si>
  <si>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</si>
  <si>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</si>
  <si>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</si>
  <si>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</si>
  <si>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</si>
  <si>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</si>
  <si>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</si>
  <si>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</si>
  <si>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</si>
  <si>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</si>
  <si>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</si>
  <si>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</si>
  <si>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</si>
  <si>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</si>
  <si>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</si>
  <si>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</si>
  <si>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</si>
  <si>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</si>
  <si>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</si>
  <si>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</si>
  <si>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</si>
  <si>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</si>
  <si>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</si>
  <si>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</si>
  <si>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</si>
  <si>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</si>
  <si>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</si>
  <si>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</si>
  <si>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</si>
  <si>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</si>
  <si>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</si>
  <si>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</si>
  <si>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</si>
  <si>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</si>
  <si>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</si>
  <si>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</si>
  <si>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</si>
  <si>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</si>
  <si>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</si>
  <si>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</si>
  <si>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</si>
  <si>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</si>
  <si>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</si>
  <si>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</si>
  <si>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</si>
  <si>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</si>
  <si>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</si>
  <si>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</si>
  <si>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</si>
  <si>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</si>
  <si>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</si>
  <si>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</si>
  <si>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</si>
  <si>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</si>
  <si>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</si>
  <si>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</si>
  <si>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</si>
  <si>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</si>
  <si>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</si>
  <si>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</si>
  <si>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</si>
  <si>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</si>
  <si>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</si>
  <si>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</si>
  <si>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</si>
  <si>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</si>
  <si>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</si>
  <si>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</si>
  <si>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</si>
  <si>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</si>
  <si>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</si>
  <si>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</si>
  <si>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</si>
  <si>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</si>
  <si>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</si>
  <si>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</si>
  <si>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</si>
  <si>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</si>
  <si>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</si>
  <si>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</si>
  <si>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</si>
  <si>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</si>
  <si>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</si>
  <si>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</si>
  <si>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</si>
  <si>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</si>
  <si>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</si>
  <si>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</si>
  <si>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</si>
  <si>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</si>
  <si>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</si>
  <si>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</si>
  <si>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</si>
  <si>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</si>
  <si>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</si>
  <si>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</si>
  <si>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</si>
  <si>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</si>
  <si>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</si>
  <si>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</si>
  <si>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</si>
  <si>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</si>
  <si>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</si>
  <si>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</si>
  <si>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</si>
  <si>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</si>
  <si>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</si>
  <si>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</si>
  <si>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</si>
  <si>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</si>
  <si>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</si>
  <si>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</si>
  <si>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</si>
  <si>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</si>
  <si>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</si>
  <si>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</si>
  <si>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</si>
  <si>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</si>
  <si>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</si>
  <si>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</si>
  <si>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</si>
  <si>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</si>
  <si>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</si>
  <si>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</si>
  <si>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</si>
  <si>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</si>
  <si>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 xml:space="preserve">   SEIDENSTUECKER</t>
  </si>
  <si>
    <t>7/90</t>
  </si>
  <si>
    <t>12/03</t>
  </si>
  <si>
    <t>12/06</t>
  </si>
  <si>
    <t>7/2010</t>
  </si>
  <si>
    <t>1/2024</t>
  </si>
  <si>
    <t>1/2012</t>
  </si>
  <si>
    <t>CONWAY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</si>
</sst>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4BD9-0D19-43DF-84EA-3EC70953C05C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0" activePane="bottomRight" state="frozen"/>
      <selection pane="topRight" activeCell="F1" sqref="F1"/>
      <selection pane="bottomLeft" activeCell="A4" sqref="A4"/>
      <selection pane="bottomRight" activeCell="I655" sqref="I65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901</v>
      </c>
      <c r="B2" s="21">
        <v>113</v>
      </c>
      <c r="C2" s="21">
        <v>113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219613.92+450</f>
        <v>220063.92</v>
      </c>
      <c r="G9" s="18">
        <v>114638</v>
      </c>
      <c r="H9" s="18">
        <v>0</v>
      </c>
      <c r="I9" s="18">
        <v>211813.88</v>
      </c>
      <c r="J9" s="67">
        <f>SUM(I431)</f>
        <v>742647.8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554998.88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65409.63</v>
      </c>
      <c r="G13" s="18">
        <v>86893.71</v>
      </c>
      <c r="H13" s="18">
        <v>500312.47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6117.89</v>
      </c>
      <c r="G14" s="18">
        <v>7.77</v>
      </c>
      <c r="H14" s="18">
        <f>2938+461</f>
        <v>3399</v>
      </c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21234.62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846590.32000000007</v>
      </c>
      <c r="G19" s="41">
        <f>SUM(G9:G18)</f>
        <v>222774.1</v>
      </c>
      <c r="H19" s="41">
        <f>SUM(H9:H18)</f>
        <v>503711.47</v>
      </c>
      <c r="I19" s="41">
        <f>SUM(I9:I18)</f>
        <v>211813.88</v>
      </c>
      <c r="J19" s="41">
        <f>SUM(J9:J18)</f>
        <v>742647.8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0</v>
      </c>
      <c r="G23" s="18">
        <v>134221.31</v>
      </c>
      <c r="H23" s="18">
        <v>420777.57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170272.1</v>
      </c>
      <c r="G25" s="18">
        <v>25.98</v>
      </c>
      <c r="H25" s="18">
        <v>1833.99</v>
      </c>
      <c r="I25" s="18">
        <v>4800</v>
      </c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45928.62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1721.19</v>
      </c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217921.91</v>
      </c>
      <c r="G33" s="41">
        <f>SUM(G23:G32)</f>
        <v>134247.29</v>
      </c>
      <c r="H33" s="41">
        <f>SUM(H23:H32)</f>
        <v>422611.56</v>
      </c>
      <c r="I33" s="41">
        <f>SUM(I23:I32)</f>
        <v>4800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>
        <v>21234.62</v>
      </c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67292.19</v>
      </c>
      <c r="H41" s="18">
        <f>80638.91+461</f>
        <v>81099.91</v>
      </c>
      <c r="I41" s="18">
        <v>207013.88</v>
      </c>
      <c r="J41" s="13">
        <f>SUM(I449)</f>
        <v>742647.8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628668.41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628668.41</v>
      </c>
      <c r="G43" s="41">
        <f>SUM(G35:G42)</f>
        <v>88526.81</v>
      </c>
      <c r="H43" s="41">
        <f>SUM(H35:H42)</f>
        <v>81099.91</v>
      </c>
      <c r="I43" s="41">
        <f>SUM(I35:I42)</f>
        <v>207013.88</v>
      </c>
      <c r="J43" s="41">
        <f>SUM(J35:J42)</f>
        <v>742647.8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846590.32000000007</v>
      </c>
      <c r="G44" s="41">
        <f>G43+G33</f>
        <v>222774.1</v>
      </c>
      <c r="H44" s="41">
        <f>H43+H33</f>
        <v>503711.47</v>
      </c>
      <c r="I44" s="41">
        <f>I43+I33</f>
        <v>211813.88</v>
      </c>
      <c r="J44" s="41">
        <f>J43+J33</f>
        <v>742647.8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12781005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12781005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100</v>
      </c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8789935.9900000002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8790035.9900000002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>
        <v>37132.959999999999</v>
      </c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37132.959999999999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5323.83</v>
      </c>
      <c r="G88" s="18">
        <v>455.65</v>
      </c>
      <c r="H88" s="18"/>
      <c r="I88" s="18">
        <v>302.39</v>
      </c>
      <c r="J88" s="18">
        <v>1058.1400000000001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426133.14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18869.150000000001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219995.16</v>
      </c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71924</v>
      </c>
      <c r="G102" s="18">
        <v>7.77</v>
      </c>
      <c r="H102" s="18">
        <v>162333.39000000001</v>
      </c>
      <c r="I102" s="18">
        <v>90000</v>
      </c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316112.14</v>
      </c>
      <c r="G103" s="41">
        <f>SUM(G88:G102)</f>
        <v>426596.56000000006</v>
      </c>
      <c r="H103" s="41">
        <f>SUM(H88:H102)</f>
        <v>162333.39000000001</v>
      </c>
      <c r="I103" s="41">
        <f>SUM(I88:I102)</f>
        <v>90302.39</v>
      </c>
      <c r="J103" s="41">
        <f>SUM(J88:J102)</f>
        <v>1058.1400000000001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21924286.090000004</v>
      </c>
      <c r="G104" s="41">
        <f>G52+G103</f>
        <v>426596.56000000006</v>
      </c>
      <c r="H104" s="41">
        <f>H52+H71+H86+H103</f>
        <v>162333.39000000001</v>
      </c>
      <c r="I104" s="41">
        <f>I52+I103</f>
        <v>90302.39</v>
      </c>
      <c r="J104" s="41">
        <f>J52+J103</f>
        <v>1058.1400000000001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2829400.45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3426874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102621.55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6358896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1506116.76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131584.43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10426.98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17700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1655401.19</v>
      </c>
      <c r="G128" s="41">
        <f>SUM(G115:G127)</f>
        <v>10426.98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8014297.1899999995</v>
      </c>
      <c r="G132" s="41">
        <f>G113+SUM(G128:G129)</f>
        <v>10426.98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601922.63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322430.08000000002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>
        <v>89847.73</v>
      </c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>
        <v>34798.74</v>
      </c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390719.4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504816.06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141843.53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141843.53</v>
      </c>
      <c r="G154" s="41">
        <f>SUM(G142:G153)</f>
        <v>390719.4</v>
      </c>
      <c r="H154" s="41">
        <f>SUM(H142:H153)</f>
        <v>1553815.24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1100.71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142944.24</v>
      </c>
      <c r="G161" s="41">
        <f>G139+G154+SUM(G155:G160)</f>
        <v>390719.4</v>
      </c>
      <c r="H161" s="41">
        <f>H139+H154+SUM(H155:H160)</f>
        <v>1553815.24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223429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223429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165998</v>
      </c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14450</v>
      </c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180448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180448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223429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30261975.52</v>
      </c>
      <c r="G185" s="47">
        <f>G104+G132+G161+G184</f>
        <v>827742.94000000006</v>
      </c>
      <c r="H185" s="47">
        <f>H104+H132+H161+H184</f>
        <v>1716148.63</v>
      </c>
      <c r="I185" s="47">
        <f>I104+I132+I161+I184</f>
        <v>90302.39</v>
      </c>
      <c r="J185" s="47">
        <f>J104+J132+J184</f>
        <v>224487.14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2375107.53+135038.84</f>
        <v>2510146.3699999996</v>
      </c>
      <c r="G189" s="18">
        <f>1162522.19+338816.63</f>
        <v>1501338.8199999998</v>
      </c>
      <c r="H189" s="18">
        <v>20396.71</v>
      </c>
      <c r="I189" s="18">
        <v>120415.92</v>
      </c>
      <c r="J189" s="18">
        <v>70208.47</v>
      </c>
      <c r="K189" s="18"/>
      <c r="L189" s="19">
        <f>SUM(F189:K189)</f>
        <v>4222506.2899999991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891967.01</v>
      </c>
      <c r="G190" s="18">
        <v>585902.31000000006</v>
      </c>
      <c r="H190" s="18">
        <v>802638.12</v>
      </c>
      <c r="I190" s="18">
        <v>2118.19</v>
      </c>
      <c r="J190" s="18">
        <v>662.74</v>
      </c>
      <c r="K190" s="18"/>
      <c r="L190" s="19">
        <f>SUM(F190:K190)</f>
        <v>2283288.37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>
        <v>5046.72</v>
      </c>
      <c r="I192" s="18"/>
      <c r="J192" s="18"/>
      <c r="K192" s="18"/>
      <c r="L192" s="19">
        <f>SUM(F192:K192)</f>
        <v>5046.72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525849.81000000006</v>
      </c>
      <c r="G194" s="18">
        <v>277053.69</v>
      </c>
      <c r="H194" s="18">
        <v>150176.45000000001</v>
      </c>
      <c r="I194" s="18">
        <v>5405.47</v>
      </c>
      <c r="J194" s="18">
        <v>1390.37</v>
      </c>
      <c r="K194" s="18"/>
      <c r="L194" s="19">
        <f t="shared" ref="L194:L200" si="0">SUM(F194:K194)</f>
        <v>959875.78999999992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110815.62</v>
      </c>
      <c r="G195" s="18">
        <v>79085.740000000005</v>
      </c>
      <c r="H195" s="18">
        <v>10473.81</v>
      </c>
      <c r="I195" s="18">
        <v>28069.22</v>
      </c>
      <c r="J195" s="18">
        <v>5193.5600000000004</v>
      </c>
      <c r="K195" s="18"/>
      <c r="L195" s="19">
        <f t="shared" si="0"/>
        <v>233637.94999999998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8144.99</v>
      </c>
      <c r="G196" s="18">
        <v>623.19000000000005</v>
      </c>
      <c r="H196" s="18">
        <v>310933.99</v>
      </c>
      <c r="I196" s="18">
        <v>2979.06</v>
      </c>
      <c r="J196" s="18"/>
      <c r="K196" s="18">
        <v>1982.25</v>
      </c>
      <c r="L196" s="19">
        <f t="shared" si="0"/>
        <v>324663.48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342807.67</v>
      </c>
      <c r="G197" s="18">
        <v>164766.43</v>
      </c>
      <c r="H197" s="18">
        <v>46731.21</v>
      </c>
      <c r="I197" s="18">
        <v>4270.32</v>
      </c>
      <c r="J197" s="18">
        <v>4240.3</v>
      </c>
      <c r="K197" s="18">
        <v>2364</v>
      </c>
      <c r="L197" s="19">
        <f t="shared" si="0"/>
        <v>565179.92999999993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269844.12</v>
      </c>
      <c r="G199" s="18">
        <v>164468.6</v>
      </c>
      <c r="H199" s="18">
        <v>318170.90999999997</v>
      </c>
      <c r="I199" s="18">
        <v>261676.31</v>
      </c>
      <c r="J199" s="18">
        <v>12141.58</v>
      </c>
      <c r="K199" s="18"/>
      <c r="L199" s="19">
        <f t="shared" si="0"/>
        <v>1026301.5199999999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113184.31</v>
      </c>
      <c r="G200" s="18">
        <v>47923.29</v>
      </c>
      <c r="H200" s="18">
        <v>44503.43</v>
      </c>
      <c r="I200" s="18">
        <v>44577.99</v>
      </c>
      <c r="J200" s="18">
        <v>60287</v>
      </c>
      <c r="K200" s="18"/>
      <c r="L200" s="19">
        <f t="shared" si="0"/>
        <v>310476.02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>
        <v>649</v>
      </c>
      <c r="I201" s="18"/>
      <c r="J201" s="18"/>
      <c r="K201" s="18"/>
      <c r="L201" s="19">
        <f>SUM(F201:K201)</f>
        <v>649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4772759.9000000004</v>
      </c>
      <c r="G203" s="41">
        <f t="shared" si="1"/>
        <v>2821162.0700000003</v>
      </c>
      <c r="H203" s="41">
        <f t="shared" si="1"/>
        <v>1709720.3499999999</v>
      </c>
      <c r="I203" s="41">
        <f t="shared" si="1"/>
        <v>469512.48</v>
      </c>
      <c r="J203" s="41">
        <f t="shared" si="1"/>
        <v>154124.02000000002</v>
      </c>
      <c r="K203" s="41">
        <f t="shared" si="1"/>
        <v>4346.25</v>
      </c>
      <c r="L203" s="41">
        <f t="shared" si="1"/>
        <v>9931625.0699999984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f>1216575.98+133579.3</f>
        <v>1350155.28</v>
      </c>
      <c r="G207" s="18">
        <f>568643.64+162267.49</f>
        <v>730911.13</v>
      </c>
      <c r="H207" s="18">
        <v>21255.89</v>
      </c>
      <c r="I207" s="18">
        <v>61793.440000000002</v>
      </c>
      <c r="J207" s="18">
        <v>22443.86</v>
      </c>
      <c r="K207" s="18"/>
      <c r="L207" s="19">
        <f>SUM(F207:K207)</f>
        <v>2186559.6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386433.45</v>
      </c>
      <c r="G208" s="18">
        <v>289886.33</v>
      </c>
      <c r="H208" s="18">
        <v>10689.99</v>
      </c>
      <c r="I208" s="18">
        <v>10743.76</v>
      </c>
      <c r="J208" s="18">
        <v>245</v>
      </c>
      <c r="K208" s="18"/>
      <c r="L208" s="19">
        <f>SUM(F208:K208)</f>
        <v>697998.53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63369.98</v>
      </c>
      <c r="G210" s="18">
        <v>7579.57</v>
      </c>
      <c r="H210" s="18">
        <v>14735.12</v>
      </c>
      <c r="I210" s="18">
        <v>7290.62</v>
      </c>
      <c r="J210" s="18">
        <v>2559.67</v>
      </c>
      <c r="K210" s="18">
        <v>781</v>
      </c>
      <c r="L210" s="19">
        <f>SUM(F210:K210)</f>
        <v>96315.959999999992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180275.49</v>
      </c>
      <c r="G212" s="18">
        <v>105490.72</v>
      </c>
      <c r="H212" s="18">
        <v>11369.12</v>
      </c>
      <c r="I212" s="18">
        <v>5547.45</v>
      </c>
      <c r="J212" s="18">
        <v>1516.67</v>
      </c>
      <c r="K212" s="18"/>
      <c r="L212" s="19">
        <f t="shared" ref="L212:L218" si="2">SUM(F212:K212)</f>
        <v>304199.44999999995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46044.35</v>
      </c>
      <c r="G213" s="18">
        <v>40920.83</v>
      </c>
      <c r="H213" s="18">
        <v>8240.56</v>
      </c>
      <c r="I213" s="18">
        <v>11586.48</v>
      </c>
      <c r="J213" s="18">
        <v>500</v>
      </c>
      <c r="K213" s="18">
        <v>359</v>
      </c>
      <c r="L213" s="19">
        <f t="shared" si="2"/>
        <v>107651.21999999999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3778.38</v>
      </c>
      <c r="G214" s="18">
        <v>289.08999999999997</v>
      </c>
      <c r="H214" s="18">
        <v>144238.82</v>
      </c>
      <c r="I214" s="18">
        <v>1381.95</v>
      </c>
      <c r="J214" s="18"/>
      <c r="K214" s="18">
        <v>919.55</v>
      </c>
      <c r="L214" s="19">
        <f t="shared" si="2"/>
        <v>150607.79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156884.68</v>
      </c>
      <c r="G215" s="18">
        <v>71590.210000000006</v>
      </c>
      <c r="H215" s="18">
        <v>27063.4</v>
      </c>
      <c r="I215" s="18">
        <v>1842.2</v>
      </c>
      <c r="J215" s="18">
        <v>459.06</v>
      </c>
      <c r="K215" s="18">
        <v>3045.86</v>
      </c>
      <c r="L215" s="19">
        <f t="shared" si="2"/>
        <v>260885.41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258754.92</v>
      </c>
      <c r="G217" s="18">
        <v>151124.73000000001</v>
      </c>
      <c r="H217" s="18">
        <v>163145.15</v>
      </c>
      <c r="I217" s="18">
        <v>255209.96</v>
      </c>
      <c r="J217" s="18">
        <v>11127.15</v>
      </c>
      <c r="K217" s="18"/>
      <c r="L217" s="19">
        <f t="shared" si="2"/>
        <v>839361.91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v>40342.19</v>
      </c>
      <c r="G218" s="18">
        <v>18103.330000000002</v>
      </c>
      <c r="H218" s="18">
        <v>15191.77</v>
      </c>
      <c r="I218" s="18">
        <v>20679.23</v>
      </c>
      <c r="J218" s="18">
        <v>27967</v>
      </c>
      <c r="K218" s="18"/>
      <c r="L218" s="19">
        <f t="shared" si="2"/>
        <v>122283.52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>
        <v>301</v>
      </c>
      <c r="I219" s="18"/>
      <c r="J219" s="18"/>
      <c r="K219" s="18"/>
      <c r="L219" s="19">
        <f>SUM(F219:K219)</f>
        <v>301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2486038.7199999997</v>
      </c>
      <c r="G221" s="41">
        <f>SUM(G207:G220)</f>
        <v>1415895.9400000002</v>
      </c>
      <c r="H221" s="41">
        <f>SUM(H207:H220)</f>
        <v>416230.82</v>
      </c>
      <c r="I221" s="41">
        <f>SUM(I207:I220)</f>
        <v>376075.08999999997</v>
      </c>
      <c r="J221" s="41">
        <f>SUM(J207:J220)</f>
        <v>66818.41</v>
      </c>
      <c r="K221" s="41">
        <f t="shared" si="3"/>
        <v>5105.41</v>
      </c>
      <c r="L221" s="41">
        <f t="shared" si="3"/>
        <v>4766164.3899999997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f>2452201.51+143492.28</f>
        <v>2595693.7899999996</v>
      </c>
      <c r="G225" s="18">
        <f>1263720.99+442616.46</f>
        <v>1706337.45</v>
      </c>
      <c r="H225" s="18">
        <v>58691.06</v>
      </c>
      <c r="I225" s="18">
        <v>117126.22</v>
      </c>
      <c r="J225" s="18">
        <v>55299.24</v>
      </c>
      <c r="K225" s="18"/>
      <c r="L225" s="19">
        <f>SUM(F225:K225)</f>
        <v>4533147.7599999988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660138.81000000006</v>
      </c>
      <c r="G226" s="18">
        <v>421460.45</v>
      </c>
      <c r="H226" s="18">
        <v>788575.33</v>
      </c>
      <c r="I226" s="18">
        <v>3568.17</v>
      </c>
      <c r="J226" s="18">
        <v>3522.2</v>
      </c>
      <c r="K226" s="18"/>
      <c r="L226" s="19">
        <f>SUM(F226:K226)</f>
        <v>1877264.9599999997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425374.01</v>
      </c>
      <c r="G227" s="18">
        <v>163123.43</v>
      </c>
      <c r="H227" s="18">
        <v>16042.41</v>
      </c>
      <c r="I227" s="18">
        <v>80286.12</v>
      </c>
      <c r="J227" s="18">
        <v>3923.85</v>
      </c>
      <c r="K227" s="18"/>
      <c r="L227" s="19">
        <f>SUM(F227:K227)</f>
        <v>688749.82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173141.41</v>
      </c>
      <c r="G228" s="18">
        <v>30403.67</v>
      </c>
      <c r="H228" s="18">
        <v>71308.72</v>
      </c>
      <c r="I228" s="18">
        <v>21367.93</v>
      </c>
      <c r="J228" s="18">
        <v>19571.84</v>
      </c>
      <c r="K228" s="18">
        <v>8186.25</v>
      </c>
      <c r="L228" s="19">
        <f>SUM(F228:K228)</f>
        <v>323979.82000000007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533602.26</v>
      </c>
      <c r="G230" s="18">
        <v>269611.36</v>
      </c>
      <c r="H230" s="18">
        <v>69961.240000000005</v>
      </c>
      <c r="I230" s="18">
        <v>9002.49</v>
      </c>
      <c r="J230" s="18">
        <v>1055.22</v>
      </c>
      <c r="K230" s="18">
        <v>94</v>
      </c>
      <c r="L230" s="19">
        <f t="shared" ref="L230:L236" si="4">SUM(F230:K230)</f>
        <v>883326.57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83245.460000000006</v>
      </c>
      <c r="G231" s="18">
        <v>86956.03</v>
      </c>
      <c r="H231" s="18">
        <v>19964.32</v>
      </c>
      <c r="I231" s="18">
        <v>19780.18</v>
      </c>
      <c r="J231" s="18">
        <v>1508.22</v>
      </c>
      <c r="K231" s="18">
        <v>1221</v>
      </c>
      <c r="L231" s="19">
        <f t="shared" si="4"/>
        <v>212675.21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10701.63</v>
      </c>
      <c r="G232" s="18">
        <v>1818.81</v>
      </c>
      <c r="H232" s="18">
        <v>408532.7</v>
      </c>
      <c r="I232" s="18">
        <v>3914.16</v>
      </c>
      <c r="J232" s="18"/>
      <c r="K232" s="18">
        <v>2604.46</v>
      </c>
      <c r="L232" s="19">
        <f t="shared" si="4"/>
        <v>427571.76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442166.59</v>
      </c>
      <c r="G233" s="18">
        <v>204115.87</v>
      </c>
      <c r="H233" s="18">
        <v>79261.570000000007</v>
      </c>
      <c r="I233" s="18">
        <v>17924.650000000001</v>
      </c>
      <c r="J233" s="18">
        <v>6760.22</v>
      </c>
      <c r="K233" s="18">
        <v>13196.21</v>
      </c>
      <c r="L233" s="19">
        <f t="shared" si="4"/>
        <v>763425.11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428151.48</v>
      </c>
      <c r="G235" s="18">
        <v>234506.41</v>
      </c>
      <c r="H235" s="18">
        <v>397171.97</v>
      </c>
      <c r="I235" s="18">
        <v>499608.75</v>
      </c>
      <c r="J235" s="18">
        <v>31681.68</v>
      </c>
      <c r="K235" s="18"/>
      <c r="L235" s="19">
        <f t="shared" si="4"/>
        <v>1591120.2899999998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115813.92</v>
      </c>
      <c r="G236" s="18">
        <v>50486.23</v>
      </c>
      <c r="H236" s="18">
        <v>122012.54</v>
      </c>
      <c r="I236" s="18">
        <v>58570.53</v>
      </c>
      <c r="J236" s="18">
        <v>79211</v>
      </c>
      <c r="K236" s="18"/>
      <c r="L236" s="19">
        <f t="shared" si="4"/>
        <v>426094.22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>
        <v>853</v>
      </c>
      <c r="I237" s="18"/>
      <c r="J237" s="18"/>
      <c r="K237" s="18"/>
      <c r="L237" s="19">
        <f>SUM(F237:K237)</f>
        <v>853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5468029.3599999994</v>
      </c>
      <c r="G239" s="41">
        <f t="shared" si="5"/>
        <v>3168819.71</v>
      </c>
      <c r="H239" s="41">
        <f t="shared" si="5"/>
        <v>2032374.8599999999</v>
      </c>
      <c r="I239" s="41">
        <f t="shared" si="5"/>
        <v>831149.2</v>
      </c>
      <c r="J239" s="41">
        <f t="shared" si="5"/>
        <v>202533.47</v>
      </c>
      <c r="K239" s="41">
        <f t="shared" si="5"/>
        <v>25301.919999999998</v>
      </c>
      <c r="L239" s="41">
        <f t="shared" si="5"/>
        <v>11728208.52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12726827.98</v>
      </c>
      <c r="G249" s="41">
        <f t="shared" si="8"/>
        <v>7405877.7200000007</v>
      </c>
      <c r="H249" s="41">
        <f t="shared" si="8"/>
        <v>4158326.03</v>
      </c>
      <c r="I249" s="41">
        <f t="shared" si="8"/>
        <v>1676736.77</v>
      </c>
      <c r="J249" s="41">
        <f t="shared" si="8"/>
        <v>423475.9</v>
      </c>
      <c r="K249" s="41">
        <f t="shared" si="8"/>
        <v>34753.58</v>
      </c>
      <c r="L249" s="41">
        <f t="shared" si="8"/>
        <v>26425997.979999997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2455000</v>
      </c>
      <c r="L252" s="19">
        <f>SUM(F252:K252)</f>
        <v>2455000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1255622.5</v>
      </c>
      <c r="L253" s="19">
        <f>SUM(F253:K253)</f>
        <v>1255622.5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223429</v>
      </c>
      <c r="L258" s="19">
        <f t="shared" si="9"/>
        <v>223429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>
        <v>35672.67</v>
      </c>
      <c r="L261" s="19">
        <f t="shared" si="9"/>
        <v>35672.67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3969724.17</v>
      </c>
      <c r="L262" s="41">
        <f t="shared" si="9"/>
        <v>3969724.17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12726827.98</v>
      </c>
      <c r="G263" s="42">
        <f t="shared" si="11"/>
        <v>7405877.7200000007</v>
      </c>
      <c r="H263" s="42">
        <f t="shared" si="11"/>
        <v>4158326.03</v>
      </c>
      <c r="I263" s="42">
        <f t="shared" si="11"/>
        <v>1676736.77</v>
      </c>
      <c r="J263" s="42">
        <f t="shared" si="11"/>
        <v>423475.9</v>
      </c>
      <c r="K263" s="42">
        <f t="shared" si="11"/>
        <v>4004477.75</v>
      </c>
      <c r="L263" s="42">
        <f t="shared" si="11"/>
        <v>30395722.149999999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454427.8</v>
      </c>
      <c r="G268" s="18">
        <v>177836.44</v>
      </c>
      <c r="H268" s="18"/>
      <c r="I268" s="18">
        <v>33592.639999999999</v>
      </c>
      <c r="J268" s="18">
        <v>12847.84</v>
      </c>
      <c r="K268" s="18"/>
      <c r="L268" s="19">
        <f>SUM(F268:K268)</f>
        <v>678704.72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21849.48</v>
      </c>
      <c r="G269" s="18">
        <v>13657.62</v>
      </c>
      <c r="H269" s="18"/>
      <c r="I269" s="18">
        <v>11988.34</v>
      </c>
      <c r="J269" s="18">
        <v>9285.51</v>
      </c>
      <c r="K269" s="18"/>
      <c r="L269" s="19">
        <f>SUM(F269:K269)</f>
        <v>56780.950000000004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134950.81</v>
      </c>
      <c r="G271" s="18">
        <v>16834.21</v>
      </c>
      <c r="H271" s="18"/>
      <c r="I271" s="18">
        <v>15675.02</v>
      </c>
      <c r="J271" s="18"/>
      <c r="K271" s="18"/>
      <c r="L271" s="19">
        <f>SUM(F271:K271)</f>
        <v>167460.03999999998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109945.71</v>
      </c>
      <c r="G273" s="18">
        <v>44084.22</v>
      </c>
      <c r="H273" s="18">
        <v>53982.89</v>
      </c>
      <c r="I273" s="18"/>
      <c r="J273" s="18">
        <v>2622.46</v>
      </c>
      <c r="K273" s="18"/>
      <c r="L273" s="19">
        <f t="shared" ref="L273:L279" si="12">SUM(F273:K273)</f>
        <v>210635.28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33074.92</v>
      </c>
      <c r="G274" s="18">
        <v>4851.99</v>
      </c>
      <c r="H274" s="18">
        <v>190667.5</v>
      </c>
      <c r="I274" s="18">
        <v>14489.94</v>
      </c>
      <c r="J274" s="18">
        <v>26051.85</v>
      </c>
      <c r="K274" s="18"/>
      <c r="L274" s="19">
        <f t="shared" si="12"/>
        <v>269136.2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>
        <v>17835.12</v>
      </c>
      <c r="I279" s="18"/>
      <c r="J279" s="18"/>
      <c r="K279" s="18"/>
      <c r="L279" s="19">
        <f t="shared" si="12"/>
        <v>17835.12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754248.72</v>
      </c>
      <c r="G282" s="42">
        <f t="shared" si="13"/>
        <v>257264.47999999998</v>
      </c>
      <c r="H282" s="42">
        <f t="shared" si="13"/>
        <v>262485.51</v>
      </c>
      <c r="I282" s="42">
        <f t="shared" si="13"/>
        <v>75745.94</v>
      </c>
      <c r="J282" s="42">
        <f t="shared" si="13"/>
        <v>50807.659999999996</v>
      </c>
      <c r="K282" s="42">
        <f t="shared" si="13"/>
        <v>0</v>
      </c>
      <c r="L282" s="41">
        <f t="shared" si="13"/>
        <v>1400552.31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v>8472</v>
      </c>
      <c r="G287" s="18">
        <v>1327.55</v>
      </c>
      <c r="H287" s="18"/>
      <c r="I287" s="18"/>
      <c r="J287" s="18"/>
      <c r="K287" s="18"/>
      <c r="L287" s="19">
        <f>SUM(F287:K287)</f>
        <v>9799.5499999999993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>
        <v>1850</v>
      </c>
      <c r="G290" s="18">
        <v>141.52000000000001</v>
      </c>
      <c r="H290" s="18"/>
      <c r="I290" s="18"/>
      <c r="J290" s="18"/>
      <c r="K290" s="18"/>
      <c r="L290" s="19">
        <f>SUM(F290:K290)</f>
        <v>1991.52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>
        <v>3700</v>
      </c>
      <c r="I292" s="18"/>
      <c r="J292" s="18"/>
      <c r="K292" s="18"/>
      <c r="L292" s="19">
        <f t="shared" ref="L292:L298" si="14">SUM(F292:K292)</f>
        <v>3700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10092</v>
      </c>
      <c r="G293" s="18">
        <v>1581.4</v>
      </c>
      <c r="H293" s="18">
        <v>970</v>
      </c>
      <c r="I293" s="18">
        <v>2460.39</v>
      </c>
      <c r="J293" s="18">
        <v>11479.81</v>
      </c>
      <c r="K293" s="18"/>
      <c r="L293" s="19">
        <f t="shared" si="14"/>
        <v>26583.599999999999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20414</v>
      </c>
      <c r="G301" s="42">
        <f t="shared" si="15"/>
        <v>3050.4700000000003</v>
      </c>
      <c r="H301" s="42">
        <f t="shared" si="15"/>
        <v>4670</v>
      </c>
      <c r="I301" s="42">
        <f t="shared" si="15"/>
        <v>2460.39</v>
      </c>
      <c r="J301" s="42">
        <f t="shared" si="15"/>
        <v>11479.81</v>
      </c>
      <c r="K301" s="42">
        <f t="shared" si="15"/>
        <v>0</v>
      </c>
      <c r="L301" s="41">
        <f t="shared" si="15"/>
        <v>42074.67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44625.74</v>
      </c>
      <c r="G306" s="18">
        <v>27086.15</v>
      </c>
      <c r="H306" s="18"/>
      <c r="I306" s="18">
        <v>13525</v>
      </c>
      <c r="J306" s="18"/>
      <c r="K306" s="18"/>
      <c r="L306" s="19">
        <f>SUM(F306:K306)</f>
        <v>85236.89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14617.8</v>
      </c>
      <c r="G307" s="18">
        <v>4345.2299999999996</v>
      </c>
      <c r="H307" s="18"/>
      <c r="I307" s="18"/>
      <c r="J307" s="18"/>
      <c r="K307" s="18"/>
      <c r="L307" s="19">
        <f>SUM(F307:K307)</f>
        <v>18963.03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>
        <v>23046.06</v>
      </c>
      <c r="G308" s="18">
        <v>24595.919999999998</v>
      </c>
      <c r="H308" s="18"/>
      <c r="I308" s="18">
        <v>12270.1</v>
      </c>
      <c r="J308" s="18">
        <v>29902.45</v>
      </c>
      <c r="K308" s="18"/>
      <c r="L308" s="19">
        <f>SUM(F308:K308)</f>
        <v>89814.53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>
        <v>2131.5700000000002</v>
      </c>
      <c r="I311" s="18"/>
      <c r="J311" s="18"/>
      <c r="K311" s="18"/>
      <c r="L311" s="19">
        <f t="shared" ref="L311:L317" si="16">SUM(F311:K311)</f>
        <v>2131.5700000000002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13440</v>
      </c>
      <c r="G312" s="18">
        <v>2104.85</v>
      </c>
      <c r="H312" s="18">
        <v>24536.06</v>
      </c>
      <c r="I312" s="18">
        <v>7012.85</v>
      </c>
      <c r="J312" s="18">
        <v>32514.68</v>
      </c>
      <c r="K312" s="18">
        <v>3403.82</v>
      </c>
      <c r="L312" s="19">
        <f t="shared" si="16"/>
        <v>83012.260000000009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>
        <v>3973.78</v>
      </c>
      <c r="I317" s="18"/>
      <c r="J317" s="18"/>
      <c r="K317" s="18"/>
      <c r="L317" s="19">
        <f t="shared" si="16"/>
        <v>3973.78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95729.599999999991</v>
      </c>
      <c r="G320" s="42">
        <f t="shared" si="17"/>
        <v>58132.15</v>
      </c>
      <c r="H320" s="42">
        <f t="shared" si="17"/>
        <v>30641.41</v>
      </c>
      <c r="I320" s="42">
        <f t="shared" si="17"/>
        <v>32807.949999999997</v>
      </c>
      <c r="J320" s="42">
        <f t="shared" si="17"/>
        <v>62417.130000000005</v>
      </c>
      <c r="K320" s="42">
        <f t="shared" si="17"/>
        <v>3403.82</v>
      </c>
      <c r="L320" s="41">
        <f t="shared" si="17"/>
        <v>283132.06000000006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>
        <v>3750</v>
      </c>
      <c r="G325" s="18">
        <v>571.05999999999995</v>
      </c>
      <c r="H325" s="18"/>
      <c r="I325" s="18">
        <v>575</v>
      </c>
      <c r="J325" s="18"/>
      <c r="K325" s="18"/>
      <c r="L325" s="19">
        <f t="shared" si="18"/>
        <v>4896.0599999999995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3750</v>
      </c>
      <c r="G329" s="41">
        <f t="shared" si="19"/>
        <v>571.05999999999995</v>
      </c>
      <c r="H329" s="41">
        <f t="shared" si="19"/>
        <v>0</v>
      </c>
      <c r="I329" s="41">
        <f t="shared" si="19"/>
        <v>575</v>
      </c>
      <c r="J329" s="41">
        <f t="shared" si="19"/>
        <v>0</v>
      </c>
      <c r="K329" s="41">
        <f t="shared" si="19"/>
        <v>0</v>
      </c>
      <c r="L329" s="41">
        <f t="shared" si="18"/>
        <v>4896.0599999999995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874142.32</v>
      </c>
      <c r="G330" s="41">
        <f t="shared" si="20"/>
        <v>319018.15999999997</v>
      </c>
      <c r="H330" s="41">
        <f t="shared" si="20"/>
        <v>297796.92</v>
      </c>
      <c r="I330" s="41">
        <f t="shared" si="20"/>
        <v>111589.28</v>
      </c>
      <c r="J330" s="41">
        <f t="shared" si="20"/>
        <v>124704.6</v>
      </c>
      <c r="K330" s="41">
        <f t="shared" si="20"/>
        <v>3403.82</v>
      </c>
      <c r="L330" s="41">
        <f t="shared" si="20"/>
        <v>1730655.1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874142.32</v>
      </c>
      <c r="G344" s="41">
        <f>G330</f>
        <v>319018.15999999997</v>
      </c>
      <c r="H344" s="41">
        <f>H330</f>
        <v>297796.92</v>
      </c>
      <c r="I344" s="41">
        <f>I330</f>
        <v>111589.28</v>
      </c>
      <c r="J344" s="41">
        <f>J330</f>
        <v>124704.6</v>
      </c>
      <c r="K344" s="47">
        <f>K330+K343</f>
        <v>3403.82</v>
      </c>
      <c r="L344" s="41">
        <f>L330+L343</f>
        <v>1730655.1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92758.61</v>
      </c>
      <c r="G350" s="18">
        <v>66544.83</v>
      </c>
      <c r="H350" s="18">
        <v>7994.93</v>
      </c>
      <c r="I350" s="18">
        <v>127941.47</v>
      </c>
      <c r="J350" s="18">
        <v>9699.0499999999993</v>
      </c>
      <c r="K350" s="18"/>
      <c r="L350" s="13">
        <f>SUM(F350:K350)</f>
        <v>304938.88999999996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43029.68</v>
      </c>
      <c r="G351" s="18">
        <v>30869.41</v>
      </c>
      <c r="H351" s="18">
        <v>3708.76</v>
      </c>
      <c r="I351" s="18">
        <v>59350.62</v>
      </c>
      <c r="J351" s="18">
        <v>4499.28</v>
      </c>
      <c r="K351" s="18"/>
      <c r="L351" s="19">
        <f>SUM(F351:K351)</f>
        <v>141457.75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121874.51</v>
      </c>
      <c r="G352" s="18">
        <v>87432.51</v>
      </c>
      <c r="H352" s="18">
        <v>10504.46</v>
      </c>
      <c r="I352" s="18">
        <v>168100.88</v>
      </c>
      <c r="J352" s="18">
        <v>12743.48</v>
      </c>
      <c r="K352" s="18"/>
      <c r="L352" s="19">
        <f>SUM(F352:K352)</f>
        <v>400655.83999999997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257662.8</v>
      </c>
      <c r="G354" s="47">
        <f t="shared" si="22"/>
        <v>184846.75</v>
      </c>
      <c r="H354" s="47">
        <f t="shared" si="22"/>
        <v>22208.15</v>
      </c>
      <c r="I354" s="47">
        <f t="shared" si="22"/>
        <v>355392.97</v>
      </c>
      <c r="J354" s="47">
        <f t="shared" si="22"/>
        <v>26941.809999999998</v>
      </c>
      <c r="K354" s="47">
        <f t="shared" si="22"/>
        <v>0</v>
      </c>
      <c r="L354" s="47">
        <f t="shared" si="22"/>
        <v>847052.48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119801.66</v>
      </c>
      <c r="G359" s="18">
        <v>55574.66</v>
      </c>
      <c r="H359" s="18">
        <v>157406.07999999999</v>
      </c>
      <c r="I359" s="56">
        <f>SUM(F359:H359)</f>
        <v>332782.40000000002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8139.81</v>
      </c>
      <c r="G360" s="63">
        <v>3775.96</v>
      </c>
      <c r="H360" s="63">
        <v>10694.8</v>
      </c>
      <c r="I360" s="56">
        <f>SUM(F360:H360)</f>
        <v>22610.57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127941.47</v>
      </c>
      <c r="G361" s="47">
        <f>SUM(G359:G360)</f>
        <v>59350.62</v>
      </c>
      <c r="H361" s="47">
        <f>SUM(H359:H360)</f>
        <v>168100.87999999998</v>
      </c>
      <c r="I361" s="47">
        <f>SUM(I359:I360)</f>
        <v>355392.97000000003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>
        <v>37650</v>
      </c>
      <c r="I370" s="18"/>
      <c r="J370" s="18">
        <v>13907.5</v>
      </c>
      <c r="K370" s="18"/>
      <c r="L370" s="13">
        <f t="shared" si="23"/>
        <v>51557.5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37650</v>
      </c>
      <c r="I374" s="41">
        <f t="shared" si="24"/>
        <v>0</v>
      </c>
      <c r="J374" s="47">
        <f t="shared" si="24"/>
        <v>13907.5</v>
      </c>
      <c r="K374" s="47">
        <f t="shared" si="24"/>
        <v>0</v>
      </c>
      <c r="L374" s="47">
        <f t="shared" si="24"/>
        <v>51557.5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>
        <v>142000</v>
      </c>
      <c r="H382" s="18">
        <v>73.650000000000006</v>
      </c>
      <c r="I382" s="18"/>
      <c r="J382" s="24" t="s">
        <v>312</v>
      </c>
      <c r="K382" s="24" t="s">
        <v>312</v>
      </c>
      <c r="L382" s="56">
        <f t="shared" si="25"/>
        <v>142073.65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>
        <v>45.75</v>
      </c>
      <c r="I384" s="18"/>
      <c r="J384" s="24" t="s">
        <v>312</v>
      </c>
      <c r="K384" s="24" t="s">
        <v>312</v>
      </c>
      <c r="L384" s="56">
        <f t="shared" si="25"/>
        <v>45.75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142000</v>
      </c>
      <c r="H385" s="139">
        <f>SUM(H379:H384)</f>
        <v>119.4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142119.4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81429</v>
      </c>
      <c r="H388" s="18">
        <v>519.41</v>
      </c>
      <c r="I388" s="18"/>
      <c r="J388" s="24" t="s">
        <v>312</v>
      </c>
      <c r="K388" s="24" t="s">
        <v>312</v>
      </c>
      <c r="L388" s="56">
        <f t="shared" si="26"/>
        <v>81948.41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298.14999999999998</v>
      </c>
      <c r="I389" s="18"/>
      <c r="J389" s="24" t="s">
        <v>312</v>
      </c>
      <c r="K389" s="24" t="s">
        <v>312</v>
      </c>
      <c r="L389" s="56">
        <f t="shared" si="26"/>
        <v>298.14999999999998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>
        <v>67.17</v>
      </c>
      <c r="I390" s="18"/>
      <c r="J390" s="24" t="s">
        <v>312</v>
      </c>
      <c r="K390" s="24" t="s">
        <v>312</v>
      </c>
      <c r="L390" s="56">
        <f t="shared" si="26"/>
        <v>67.17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81429</v>
      </c>
      <c r="H393" s="47">
        <f>SUM(H387:H392)</f>
        <v>884.7299999999999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82313.73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 t="s">
        <v>894</v>
      </c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>
        <v>54.01</v>
      </c>
      <c r="I395" s="18"/>
      <c r="J395" s="24" t="s">
        <v>312</v>
      </c>
      <c r="K395" s="24" t="s">
        <v>312</v>
      </c>
      <c r="L395" s="56">
        <f>SUM(F395:K395)</f>
        <v>54.01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54.01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54.01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223429</v>
      </c>
      <c r="H400" s="47">
        <f>H385+H393+H399</f>
        <v>1058.1399999999999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224487.14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>
        <v>165998</v>
      </c>
      <c r="L408" s="56">
        <f t="shared" si="27"/>
        <v>165998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165998</v>
      </c>
      <c r="L411" s="47">
        <f t="shared" si="28"/>
        <v>165998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>
        <v>14450</v>
      </c>
      <c r="L414" s="56">
        <f t="shared" si="29"/>
        <v>14450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14450</v>
      </c>
      <c r="L419" s="47">
        <f t="shared" si="30"/>
        <v>14450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180448</v>
      </c>
      <c r="L426" s="47">
        <f t="shared" si="32"/>
        <v>180448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54696.26</v>
      </c>
      <c r="G431" s="18">
        <v>651606.54</v>
      </c>
      <c r="H431" s="18">
        <v>36345</v>
      </c>
      <c r="I431" s="56">
        <f t="shared" ref="I431:I437" si="33">SUM(F431:H431)</f>
        <v>742647.8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54696.26</v>
      </c>
      <c r="G438" s="13">
        <f>SUM(G431:G437)</f>
        <v>651606.54</v>
      </c>
      <c r="H438" s="13">
        <f>SUM(H431:H437)</f>
        <v>36345</v>
      </c>
      <c r="I438" s="13">
        <f>SUM(I431:I437)</f>
        <v>742647.8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54696.26</v>
      </c>
      <c r="G449" s="18">
        <v>651606.54</v>
      </c>
      <c r="H449" s="18">
        <v>36345</v>
      </c>
      <c r="I449" s="56">
        <f>SUM(F449:H449)</f>
        <v>742647.8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54696.26</v>
      </c>
      <c r="G450" s="83">
        <f>SUM(G446:G449)</f>
        <v>651606.54</v>
      </c>
      <c r="H450" s="83">
        <f>SUM(H446:H449)</f>
        <v>36345</v>
      </c>
      <c r="I450" s="83">
        <f>SUM(I446:I449)</f>
        <v>742647.8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54696.26</v>
      </c>
      <c r="G451" s="42">
        <f>G444+G450</f>
        <v>651606.54</v>
      </c>
      <c r="H451" s="42">
        <f>H444+H450</f>
        <v>36345</v>
      </c>
      <c r="I451" s="42">
        <f>I444+I450</f>
        <v>742647.8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762415.04</v>
      </c>
      <c r="G455" s="18">
        <v>115170.39</v>
      </c>
      <c r="H455" s="18">
        <v>95606.38</v>
      </c>
      <c r="I455" s="18">
        <v>168268.99</v>
      </c>
      <c r="J455" s="18">
        <v>698608.66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30261975.52</v>
      </c>
      <c r="G458" s="18">
        <v>827742.94</v>
      </c>
      <c r="H458" s="18">
        <f>1715687.63+461</f>
        <v>1716148.63</v>
      </c>
      <c r="I458" s="18">
        <v>90302.39</v>
      </c>
      <c r="J458" s="18">
        <v>224487.14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30261975.52</v>
      </c>
      <c r="G460" s="53">
        <f>SUM(G458:G459)</f>
        <v>827742.94</v>
      </c>
      <c r="H460" s="53">
        <f>SUM(H458:H459)</f>
        <v>1716148.63</v>
      </c>
      <c r="I460" s="53">
        <f>SUM(I458:I459)</f>
        <v>90302.39</v>
      </c>
      <c r="J460" s="53">
        <f>SUM(J458:J459)</f>
        <v>224487.14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30395722.149999999</v>
      </c>
      <c r="G462" s="18">
        <v>847052.48</v>
      </c>
      <c r="H462" s="18">
        <v>1730655.1</v>
      </c>
      <c r="I462" s="18">
        <v>51557.5</v>
      </c>
      <c r="J462" s="18">
        <v>180448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>
        <v>7334.04</v>
      </c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30395722.149999999</v>
      </c>
      <c r="G464" s="53">
        <f>SUM(G462:G463)</f>
        <v>854386.52</v>
      </c>
      <c r="H464" s="53">
        <f>SUM(H462:H463)</f>
        <v>1730655.1</v>
      </c>
      <c r="I464" s="53">
        <f>SUM(I462:I463)</f>
        <v>51557.5</v>
      </c>
      <c r="J464" s="53">
        <f>SUM(J462:J463)</f>
        <v>180448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628668.41000000015</v>
      </c>
      <c r="G466" s="53">
        <f>(G455+G460)- G464</f>
        <v>88526.809999999939</v>
      </c>
      <c r="H466" s="53">
        <f>(H455+H460)- H464</f>
        <v>81099.909999999683</v>
      </c>
      <c r="I466" s="53">
        <f>(I455+I460)- I464</f>
        <v>207013.88</v>
      </c>
      <c r="J466" s="53">
        <f>(J455+J460)- J464</f>
        <v>742647.8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>
        <v>20</v>
      </c>
      <c r="H480" s="154">
        <v>5</v>
      </c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895</v>
      </c>
      <c r="G481" s="155" t="s">
        <v>896</v>
      </c>
      <c r="H481" s="155" t="s">
        <v>897</v>
      </c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898</v>
      </c>
      <c r="G482" s="155" t="s">
        <v>899</v>
      </c>
      <c r="H482" s="155" t="s">
        <v>900</v>
      </c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2400000</v>
      </c>
      <c r="G483" s="18">
        <v>42120000</v>
      </c>
      <c r="H483" s="18">
        <v>243600</v>
      </c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6.99</v>
      </c>
      <c r="G484" s="18">
        <v>4</v>
      </c>
      <c r="H484" s="18">
        <v>3.83</v>
      </c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120000</v>
      </c>
      <c r="G485" s="18">
        <v>25860000</v>
      </c>
      <c r="H485" s="18">
        <v>970000</v>
      </c>
      <c r="I485" s="18"/>
      <c r="J485" s="18"/>
      <c r="K485" s="53">
        <f>SUM(F485:J485)</f>
        <v>26950000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>
        <v>0</v>
      </c>
      <c r="H486" s="18">
        <v>0</v>
      </c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120000</v>
      </c>
      <c r="G487" s="18">
        <v>1850000</v>
      </c>
      <c r="H487" s="18">
        <v>485000</v>
      </c>
      <c r="I487" s="18"/>
      <c r="J487" s="18"/>
      <c r="K487" s="53">
        <f t="shared" si="34"/>
        <v>2455000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0</v>
      </c>
      <c r="G488" s="205">
        <v>24010000</v>
      </c>
      <c r="H488" s="205">
        <v>485000</v>
      </c>
      <c r="I488" s="205"/>
      <c r="J488" s="205"/>
      <c r="K488" s="206">
        <f t="shared" si="34"/>
        <v>24495000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0</v>
      </c>
      <c r="G489" s="18">
        <v>7686579</v>
      </c>
      <c r="H489" s="18">
        <v>24250</v>
      </c>
      <c r="I489" s="18"/>
      <c r="J489" s="18"/>
      <c r="K489" s="53">
        <f t="shared" si="34"/>
        <v>7710829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31696579</v>
      </c>
      <c r="H490" s="42">
        <f>SUM(H488:H489)</f>
        <v>509250</v>
      </c>
      <c r="I490" s="42">
        <f>SUM(I488:I489)</f>
        <v>0</v>
      </c>
      <c r="J490" s="42">
        <f>SUM(J488:J489)</f>
        <v>0</v>
      </c>
      <c r="K490" s="42">
        <f t="shared" si="34"/>
        <v>32205829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0</v>
      </c>
      <c r="G491" s="205">
        <v>1850000</v>
      </c>
      <c r="H491" s="205">
        <v>485000</v>
      </c>
      <c r="I491" s="205"/>
      <c r="J491" s="205"/>
      <c r="K491" s="206">
        <f t="shared" si="34"/>
        <v>2335000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0</v>
      </c>
      <c r="G492" s="18">
        <v>1087718</v>
      </c>
      <c r="H492" s="18">
        <v>24250</v>
      </c>
      <c r="I492" s="18"/>
      <c r="J492" s="18"/>
      <c r="K492" s="53">
        <f t="shared" si="34"/>
        <v>1111968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2937718</v>
      </c>
      <c r="H493" s="42">
        <f>SUM(H491:H492)</f>
        <v>509250</v>
      </c>
      <c r="I493" s="42">
        <f>SUM(I491:I492)</f>
        <v>0</v>
      </c>
      <c r="J493" s="42">
        <f>SUM(J491:J492)</f>
        <v>0</v>
      </c>
      <c r="K493" s="42">
        <f t="shared" si="34"/>
        <v>3446968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913816.49</v>
      </c>
      <c r="G511" s="18">
        <v>599559.93000000005</v>
      </c>
      <c r="H511" s="18">
        <v>802638.12</v>
      </c>
      <c r="I511" s="18">
        <v>14106.53</v>
      </c>
      <c r="J511" s="18">
        <v>9948.25</v>
      </c>
      <c r="K511" s="18"/>
      <c r="L511" s="88">
        <f>SUM(F511:K511)</f>
        <v>2340069.3199999998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386433.45</v>
      </c>
      <c r="G512" s="18">
        <v>289886.33</v>
      </c>
      <c r="H512" s="18">
        <v>10689.99</v>
      </c>
      <c r="I512" s="18">
        <v>10743.76</v>
      </c>
      <c r="J512" s="18">
        <v>245</v>
      </c>
      <c r="K512" s="18"/>
      <c r="L512" s="88">
        <f>SUM(F512:K512)</f>
        <v>697998.53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674756.61</v>
      </c>
      <c r="G513" s="18">
        <v>425805.68</v>
      </c>
      <c r="H513" s="18">
        <v>788575.33</v>
      </c>
      <c r="I513" s="18">
        <v>3568.17</v>
      </c>
      <c r="J513" s="18">
        <v>3522.2</v>
      </c>
      <c r="K513" s="18"/>
      <c r="L513" s="88">
        <f>SUM(F513:K513)</f>
        <v>1896227.99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1975006.5499999998</v>
      </c>
      <c r="G514" s="108">
        <f t="shared" ref="G514:L514" si="35">SUM(G511:G513)</f>
        <v>1315251.94</v>
      </c>
      <c r="H514" s="108">
        <f t="shared" si="35"/>
        <v>1601903.44</v>
      </c>
      <c r="I514" s="108">
        <f t="shared" si="35"/>
        <v>28418.46</v>
      </c>
      <c r="J514" s="108">
        <f t="shared" si="35"/>
        <v>13715.45</v>
      </c>
      <c r="K514" s="108">
        <f t="shared" si="35"/>
        <v>0</v>
      </c>
      <c r="L514" s="89">
        <f t="shared" si="35"/>
        <v>4934295.84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326672.98</v>
      </c>
      <c r="G516" s="18">
        <v>164205.43</v>
      </c>
      <c r="H516" s="18">
        <v>190292.77</v>
      </c>
      <c r="I516" s="18">
        <v>1341.82</v>
      </c>
      <c r="J516" s="18">
        <v>2622.46</v>
      </c>
      <c r="K516" s="18"/>
      <c r="L516" s="88">
        <f>SUM(F516:K516)</f>
        <v>685135.45999999985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v>71472.09</v>
      </c>
      <c r="G517" s="18">
        <v>44403.53</v>
      </c>
      <c r="H517" s="18">
        <v>2643.19</v>
      </c>
      <c r="I517" s="18">
        <v>900.67</v>
      </c>
      <c r="J517" s="18"/>
      <c r="K517" s="18"/>
      <c r="L517" s="88">
        <f>SUM(F517:K517)</f>
        <v>119419.48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143082.44</v>
      </c>
      <c r="G518" s="18">
        <v>78628.31</v>
      </c>
      <c r="H518" s="18">
        <v>10519.69</v>
      </c>
      <c r="I518" s="18">
        <v>374.09</v>
      </c>
      <c r="J518" s="18"/>
      <c r="K518" s="18">
        <v>94</v>
      </c>
      <c r="L518" s="88">
        <f>SUM(F518:K518)</f>
        <v>232698.53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541227.51</v>
      </c>
      <c r="G519" s="89">
        <f t="shared" ref="G519:L519" si="36">SUM(G516:G518)</f>
        <v>287237.27</v>
      </c>
      <c r="H519" s="89">
        <f t="shared" si="36"/>
        <v>203455.65</v>
      </c>
      <c r="I519" s="89">
        <f t="shared" si="36"/>
        <v>2616.58</v>
      </c>
      <c r="J519" s="89">
        <f t="shared" si="36"/>
        <v>2622.46</v>
      </c>
      <c r="K519" s="89">
        <f t="shared" si="36"/>
        <v>94</v>
      </c>
      <c r="L519" s="89">
        <f t="shared" si="36"/>
        <v>1037253.4699999999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>
        <v>49190.559999999998</v>
      </c>
      <c r="I521" s="18"/>
      <c r="J521" s="18"/>
      <c r="K521" s="18"/>
      <c r="L521" s="88">
        <f>SUM(F521:K521)</f>
        <v>49190.559999999998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>
        <v>22818.95</v>
      </c>
      <c r="I522" s="18"/>
      <c r="J522" s="18"/>
      <c r="K522" s="18"/>
      <c r="L522" s="88">
        <f>SUM(F522:K522)</f>
        <v>22818.95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>
        <v>64630.94</v>
      </c>
      <c r="I523" s="18"/>
      <c r="J523" s="18"/>
      <c r="K523" s="18"/>
      <c r="L523" s="88">
        <f>SUM(F523:K523)</f>
        <v>64630.94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136640.45000000001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136640.45000000001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>
        <v>26003.32</v>
      </c>
      <c r="G531" s="18">
        <v>11230.23</v>
      </c>
      <c r="H531" s="18">
        <v>41304.019999999997</v>
      </c>
      <c r="I531" s="18"/>
      <c r="J531" s="18"/>
      <c r="K531" s="18"/>
      <c r="L531" s="88">
        <f>SUM(F531:K531)</f>
        <v>78537.570000000007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>
        <v>3467.11</v>
      </c>
      <c r="G532" s="18">
        <v>1497.36</v>
      </c>
      <c r="H532" s="18">
        <v>3080.87</v>
      </c>
      <c r="I532" s="18"/>
      <c r="J532" s="18"/>
      <c r="K532" s="18"/>
      <c r="L532" s="88">
        <f>SUM(F532:K532)</f>
        <v>8045.34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>
        <v>5200.66</v>
      </c>
      <c r="G533" s="18">
        <v>2246.0500000000002</v>
      </c>
      <c r="H533" s="18">
        <v>77162.89</v>
      </c>
      <c r="I533" s="18"/>
      <c r="J533" s="18"/>
      <c r="K533" s="18"/>
      <c r="L533" s="88">
        <f>SUM(F533:K533)</f>
        <v>84609.600000000006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34671.089999999997</v>
      </c>
      <c r="G534" s="194">
        <f t="shared" ref="G534:L534" si="39">SUM(G531:G533)</f>
        <v>14973.64</v>
      </c>
      <c r="H534" s="194">
        <f t="shared" si="39"/>
        <v>121547.78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171192.51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2550905.1499999994</v>
      </c>
      <c r="G535" s="89">
        <f t="shared" ref="G535:L535" si="40">G514+G519+G524+G529+G534</f>
        <v>1617462.8499999999</v>
      </c>
      <c r="H535" s="89">
        <f t="shared" si="40"/>
        <v>2063547.3199999998</v>
      </c>
      <c r="I535" s="89">
        <f t="shared" si="40"/>
        <v>31035.040000000001</v>
      </c>
      <c r="J535" s="89">
        <f t="shared" si="40"/>
        <v>16337.91</v>
      </c>
      <c r="K535" s="89">
        <f t="shared" si="40"/>
        <v>94</v>
      </c>
      <c r="L535" s="89">
        <f t="shared" si="40"/>
        <v>6279382.2699999996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2340069.3199999998</v>
      </c>
      <c r="G539" s="87">
        <f>L516</f>
        <v>685135.45999999985</v>
      </c>
      <c r="H539" s="87">
        <f>L521</f>
        <v>49190.559999999998</v>
      </c>
      <c r="I539" s="87">
        <f>L526</f>
        <v>0</v>
      </c>
      <c r="J539" s="87">
        <f>L531</f>
        <v>78537.570000000007</v>
      </c>
      <c r="K539" s="87">
        <f>SUM(F539:J539)</f>
        <v>3152932.9099999997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697998.53</v>
      </c>
      <c r="G540" s="87">
        <f>L517</f>
        <v>119419.48</v>
      </c>
      <c r="H540" s="87">
        <f>L522</f>
        <v>22818.95</v>
      </c>
      <c r="I540" s="87">
        <f>L527</f>
        <v>0</v>
      </c>
      <c r="J540" s="87">
        <f>L532</f>
        <v>8045.34</v>
      </c>
      <c r="K540" s="87">
        <f>SUM(F540:J540)</f>
        <v>848282.29999999993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1896227.99</v>
      </c>
      <c r="G541" s="87">
        <f>L518</f>
        <v>232698.53</v>
      </c>
      <c r="H541" s="87">
        <f>L523</f>
        <v>64630.94</v>
      </c>
      <c r="I541" s="87">
        <f>L528</f>
        <v>0</v>
      </c>
      <c r="J541" s="87">
        <f>L533</f>
        <v>84609.600000000006</v>
      </c>
      <c r="K541" s="87">
        <f>SUM(F541:J541)</f>
        <v>2278167.06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4934295.84</v>
      </c>
      <c r="G542" s="89">
        <f t="shared" si="41"/>
        <v>1037253.4699999999</v>
      </c>
      <c r="H542" s="89">
        <f t="shared" si="41"/>
        <v>136640.45000000001</v>
      </c>
      <c r="I542" s="89">
        <f t="shared" si="41"/>
        <v>0</v>
      </c>
      <c r="J542" s="89">
        <f t="shared" si="41"/>
        <v>171192.51</v>
      </c>
      <c r="K542" s="89">
        <f t="shared" si="41"/>
        <v>6279382.2699999996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16036.57</v>
      </c>
      <c r="G569" s="18">
        <v>0</v>
      </c>
      <c r="H569" s="18">
        <v>9341.7000000000007</v>
      </c>
      <c r="I569" s="87">
        <f t="shared" si="46"/>
        <v>25378.27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638644.46</v>
      </c>
      <c r="G572" s="18">
        <v>0</v>
      </c>
      <c r="H572" s="18">
        <v>667949.63</v>
      </c>
      <c r="I572" s="87">
        <f t="shared" si="46"/>
        <v>1306594.0899999999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>
        <v>0</v>
      </c>
      <c r="G573" s="18">
        <v>0</v>
      </c>
      <c r="H573" s="18">
        <v>74447.34</v>
      </c>
      <c r="I573" s="87">
        <f t="shared" si="46"/>
        <v>74447.34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214416.19</v>
      </c>
      <c r="I581" s="18">
        <v>99528.99</v>
      </c>
      <c r="J581" s="18">
        <v>292446.09000000003</v>
      </c>
      <c r="K581" s="104">
        <f t="shared" ref="K581:K587" si="47">SUM(H581:J581)</f>
        <v>606391.27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78537.570000000007</v>
      </c>
      <c r="I582" s="18">
        <v>8045.34</v>
      </c>
      <c r="J582" s="18">
        <v>84609.600000000006</v>
      </c>
      <c r="K582" s="104">
        <f t="shared" si="47"/>
        <v>171192.51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0</v>
      </c>
      <c r="I584" s="18">
        <v>9870.91</v>
      </c>
      <c r="J584" s="18">
        <v>40771.129999999997</v>
      </c>
      <c r="K584" s="104">
        <f t="shared" si="47"/>
        <v>50642.039999999994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17522.259999999998</v>
      </c>
      <c r="I585" s="18">
        <v>4838.28</v>
      </c>
      <c r="J585" s="18">
        <v>8267.4</v>
      </c>
      <c r="K585" s="104">
        <f t="shared" si="47"/>
        <v>30627.939999999995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310476.02</v>
      </c>
      <c r="I588" s="108">
        <f>SUM(I581:I587)</f>
        <v>122283.52</v>
      </c>
      <c r="J588" s="108">
        <f>SUM(J581:J587)</f>
        <v>426094.22000000009</v>
      </c>
      <c r="K588" s="108">
        <f>SUM(K581:K587)</f>
        <v>858853.76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204931.68</v>
      </c>
      <c r="I594" s="18">
        <v>78298.22</v>
      </c>
      <c r="J594" s="18">
        <f>264950.3+0.3</f>
        <v>264950.59999999998</v>
      </c>
      <c r="K594" s="104">
        <f>SUM(H594:J594)</f>
        <v>548180.5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204931.68</v>
      </c>
      <c r="I595" s="108">
        <f>SUM(I592:I594)</f>
        <v>78298.22</v>
      </c>
      <c r="J595" s="108">
        <f>SUM(J592:J594)</f>
        <v>264950.59999999998</v>
      </c>
      <c r="K595" s="108">
        <f>SUM(K592:K594)</f>
        <v>548180.5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0</v>
      </c>
      <c r="G601" s="18">
        <v>0</v>
      </c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2880</v>
      </c>
      <c r="G602" s="18">
        <v>451.31</v>
      </c>
      <c r="H602" s="18"/>
      <c r="I602" s="18"/>
      <c r="J602" s="18"/>
      <c r="K602" s="18"/>
      <c r="L602" s="88">
        <f>SUM(F602:K602)</f>
        <v>3331.31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7504</v>
      </c>
      <c r="G603" s="18">
        <v>1129.52</v>
      </c>
      <c r="H603" s="18"/>
      <c r="I603" s="18"/>
      <c r="J603" s="18"/>
      <c r="K603" s="18"/>
      <c r="L603" s="88">
        <f>SUM(F603:K603)</f>
        <v>8633.52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10384</v>
      </c>
      <c r="G604" s="108">
        <f t="shared" si="48"/>
        <v>1580.83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11964.83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846590.32000000007</v>
      </c>
      <c r="H607" s="109">
        <f>SUM(F44)</f>
        <v>846590.32000000007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222774.1</v>
      </c>
      <c r="H608" s="109">
        <f>SUM(G44)</f>
        <v>222774.1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503711.47</v>
      </c>
      <c r="H609" s="109">
        <f>SUM(H44)</f>
        <v>503711.47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211813.88</v>
      </c>
      <c r="H610" s="109">
        <f>SUM(I44)</f>
        <v>211813.88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742647.8</v>
      </c>
      <c r="H611" s="109">
        <f>SUM(J44)</f>
        <v>742647.8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628668.41</v>
      </c>
      <c r="H612" s="109">
        <f>F466</f>
        <v>628668.41000000015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88526.81</v>
      </c>
      <c r="H613" s="109">
        <f>G466</f>
        <v>88526.809999999939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81099.91</v>
      </c>
      <c r="H614" s="109">
        <f>H466</f>
        <v>81099.909999999683</v>
      </c>
      <c r="I614" s="121" t="s">
        <v>110</v>
      </c>
      <c r="J614" s="109">
        <f t="shared" si="49"/>
        <v>3.2014213502407074E-10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207013.88</v>
      </c>
      <c r="H615" s="109">
        <f>I466</f>
        <v>207013.88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742647.8</v>
      </c>
      <c r="H616" s="109">
        <f>J466</f>
        <v>742647.8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30261975.52</v>
      </c>
      <c r="H617" s="104">
        <f>SUM(F458)</f>
        <v>30261975.52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827742.94000000006</v>
      </c>
      <c r="H618" s="104">
        <f>SUM(G458)</f>
        <v>827742.94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1716148.63</v>
      </c>
      <c r="H619" s="104">
        <f>SUM(H458)</f>
        <v>1716148.63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90302.39</v>
      </c>
      <c r="H620" s="104">
        <f>SUM(I458)</f>
        <v>90302.39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224487.14</v>
      </c>
      <c r="H621" s="104">
        <f>SUM(J458)</f>
        <v>224487.14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30395722.149999999</v>
      </c>
      <c r="H622" s="104">
        <f>SUM(F462)</f>
        <v>30395722.149999999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1730655.1</v>
      </c>
      <c r="H623" s="104">
        <f>SUM(H462)</f>
        <v>1730655.1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355392.97</v>
      </c>
      <c r="H624" s="104">
        <f>I361</f>
        <v>355392.97000000003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847052.48</v>
      </c>
      <c r="H625" s="104">
        <f>SUM(G462)</f>
        <v>847052.48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51557.5</v>
      </c>
      <c r="H626" s="104">
        <f>SUM(I462)</f>
        <v>51557.5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224487.14</v>
      </c>
      <c r="H627" s="164">
        <f>SUM(J458)</f>
        <v>224487.14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180448</v>
      </c>
      <c r="H628" s="164">
        <f>SUM(J462)</f>
        <v>180448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54696.26</v>
      </c>
      <c r="H629" s="104">
        <f>SUM(F451)</f>
        <v>54696.26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651606.54</v>
      </c>
      <c r="H630" s="104">
        <f>SUM(G451)</f>
        <v>651606.54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36345</v>
      </c>
      <c r="H631" s="104">
        <f>SUM(H451)</f>
        <v>36345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742647.8</v>
      </c>
      <c r="H632" s="104">
        <f>SUM(I451)</f>
        <v>742647.8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1058.1400000000001</v>
      </c>
      <c r="H634" s="104">
        <f>H400</f>
        <v>1058.1399999999999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223429</v>
      </c>
      <c r="H635" s="104">
        <f>G400</f>
        <v>223429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224487.14</v>
      </c>
      <c r="H636" s="104">
        <f>L400</f>
        <v>224487.14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858853.76</v>
      </c>
      <c r="H637" s="104">
        <f>L200+L218+L236</f>
        <v>858853.76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548180.5</v>
      </c>
      <c r="H638" s="104">
        <f>(J249+J330)-(J247+J328)</f>
        <v>548180.5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310476.02</v>
      </c>
      <c r="H639" s="104">
        <f>H588</f>
        <v>310476.02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122283.52</v>
      </c>
      <c r="H640" s="104">
        <f>I588</f>
        <v>122283.52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426094.22</v>
      </c>
      <c r="H641" s="104">
        <f>J588</f>
        <v>426094.22000000009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223429</v>
      </c>
      <c r="H645" s="104">
        <f>K258+K339</f>
        <v>223429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11637116.27</v>
      </c>
      <c r="G650" s="19">
        <f>(L221+L301+L351)</f>
        <v>4949696.8099999996</v>
      </c>
      <c r="H650" s="19">
        <f>(L239+L320+L352)</f>
        <v>12411996.42</v>
      </c>
      <c r="I650" s="19">
        <f>SUM(F650:H650)</f>
        <v>28998809.5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153410.72619135698</v>
      </c>
      <c r="G651" s="19">
        <f>(L351/IF(SUM(L350:L352)=0,1,SUM(L350:L352))*(SUM(G89:G102)))</f>
        <v>71165.524846291111</v>
      </c>
      <c r="H651" s="19">
        <f>(L352/IF(SUM(L350:L352)=0,1,SUM(L350:L352))*(SUM(G89:G102)))</f>
        <v>201564.65896235188</v>
      </c>
      <c r="I651" s="19">
        <f>SUM(F651:H651)</f>
        <v>426140.91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268024.14</v>
      </c>
      <c r="G652" s="19">
        <f>(L218+L298)-(J218+J298)</f>
        <v>94316.52</v>
      </c>
      <c r="H652" s="19">
        <f>(L236+L317)-(J236+J317)</f>
        <v>350857</v>
      </c>
      <c r="I652" s="19">
        <f>SUM(F652:H652)</f>
        <v>713197.66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859612.71</v>
      </c>
      <c r="G653" s="200">
        <f>SUM(G565:G577)+SUM(I592:I594)+L602</f>
        <v>81629.53</v>
      </c>
      <c r="H653" s="200">
        <f>SUM(H565:H577)+SUM(J592:J594)+L603</f>
        <v>1025322.7899999999</v>
      </c>
      <c r="I653" s="19">
        <f>SUM(F653:H653)</f>
        <v>1966565.0299999998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10356068.693808643</v>
      </c>
      <c r="G654" s="19">
        <f>G650-SUM(G651:G653)</f>
        <v>4702585.2351537086</v>
      </c>
      <c r="H654" s="19">
        <f>H650-SUM(H651:H653)</f>
        <v>10834251.971037649</v>
      </c>
      <c r="I654" s="19">
        <f>I650-SUM(I651:I653)</f>
        <v>25892905.899999999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683.16</v>
      </c>
      <c r="G655" s="249">
        <v>317.14999999999998</v>
      </c>
      <c r="H655" s="249">
        <v>845.34</v>
      </c>
      <c r="I655" s="19">
        <f>SUM(F655:H655)</f>
        <v>1845.65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15159.07</v>
      </c>
      <c r="G657" s="19">
        <f>ROUND(G654/G655,2)</f>
        <v>14827.64</v>
      </c>
      <c r="H657" s="19">
        <f>ROUND(H654/H655,2)</f>
        <v>12816.44</v>
      </c>
      <c r="I657" s="19">
        <f>ROUND(I654/I655,2)</f>
        <v>14029.15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15159.07</v>
      </c>
      <c r="G662" s="19">
        <f>ROUND((G654+G659)/(G655+G660),2)</f>
        <v>14827.64</v>
      </c>
      <c r="H662" s="19">
        <f>ROUND((H654+H659)/(H655+H660),2)</f>
        <v>12816.44</v>
      </c>
      <c r="I662" s="19">
        <f>ROUND((I654+I659)/(I655+I660),2)</f>
        <v>14029.15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FC6B2-4E4F-482D-BB7C-B33604937514}">
  <sheetPr>
    <tabColor indexed="20"/>
  </sheetPr>
  <dimension ref="A1:C52"/>
  <sheetViews>
    <sheetView workbookViewId="0">
      <selection activeCell="B15" sqref="B15:C15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CONWAY SCHOOL DISTRICT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6963520.9799999995</v>
      </c>
      <c r="C9" s="230">
        <f>'DOE25'!G189+'DOE25'!G207+'DOE25'!G225+'DOE25'!G268+'DOE25'!G287+'DOE25'!G306</f>
        <v>4144837.5399999991</v>
      </c>
    </row>
    <row r="10" spans="1:3" x14ac:dyDescent="0.2">
      <c r="A10" t="s">
        <v>810</v>
      </c>
      <c r="B10" s="241">
        <v>6100231.25</v>
      </c>
      <c r="C10" s="241">
        <v>3848491.3</v>
      </c>
    </row>
    <row r="11" spans="1:3" x14ac:dyDescent="0.2">
      <c r="A11" t="s">
        <v>811</v>
      </c>
      <c r="B11" s="241">
        <v>201435.82</v>
      </c>
      <c r="C11" s="241">
        <v>147220.85</v>
      </c>
    </row>
    <row r="12" spans="1:3" x14ac:dyDescent="0.2">
      <c r="A12" t="s">
        <v>812</v>
      </c>
      <c r="B12" s="241">
        <v>661853.91</v>
      </c>
      <c r="C12" s="241">
        <v>149125.39000000001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6963520.9800000004</v>
      </c>
      <c r="C13" s="232">
        <f>SUM(C10:C12)</f>
        <v>4144837.54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1975006.55</v>
      </c>
      <c r="C18" s="230">
        <f>'DOE25'!G190+'DOE25'!G208+'DOE25'!G226+'DOE25'!G269+'DOE25'!G288+'DOE25'!G307</f>
        <v>1315251.9400000002</v>
      </c>
    </row>
    <row r="19" spans="1:3" x14ac:dyDescent="0.2">
      <c r="A19" t="s">
        <v>810</v>
      </c>
      <c r="B19" s="241">
        <v>997630.43</v>
      </c>
      <c r="C19" s="241">
        <v>508782.98</v>
      </c>
    </row>
    <row r="20" spans="1:3" x14ac:dyDescent="0.2">
      <c r="A20" t="s">
        <v>811</v>
      </c>
      <c r="B20" s="241">
        <v>950551.22</v>
      </c>
      <c r="C20" s="241">
        <v>804119.33</v>
      </c>
    </row>
    <row r="21" spans="1:3" x14ac:dyDescent="0.2">
      <c r="A21" t="s">
        <v>812</v>
      </c>
      <c r="B21" s="241">
        <v>26824.9</v>
      </c>
      <c r="C21" s="241">
        <v>2349.63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1975006.5499999998</v>
      </c>
      <c r="C22" s="232">
        <f>SUM(C19:C21)</f>
        <v>1315251.94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448420.07</v>
      </c>
      <c r="C27" s="235">
        <f>'DOE25'!G191+'DOE25'!G209+'DOE25'!G227+'DOE25'!G270+'DOE25'!G289+'DOE25'!G308</f>
        <v>187719.34999999998</v>
      </c>
    </row>
    <row r="28" spans="1:3" x14ac:dyDescent="0.2">
      <c r="A28" t="s">
        <v>810</v>
      </c>
      <c r="B28" s="241">
        <v>372879.01</v>
      </c>
      <c r="C28" s="241">
        <v>147581.01999999999</v>
      </c>
    </row>
    <row r="29" spans="1:3" x14ac:dyDescent="0.2">
      <c r="A29" t="s">
        <v>811</v>
      </c>
      <c r="B29" s="241">
        <v>33592</v>
      </c>
      <c r="C29" s="241">
        <v>12922.37</v>
      </c>
    </row>
    <row r="30" spans="1:3" x14ac:dyDescent="0.2">
      <c r="A30" t="s">
        <v>812</v>
      </c>
      <c r="B30" s="241">
        <v>41949.06</v>
      </c>
      <c r="C30" s="241">
        <v>27215.96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448420.07</v>
      </c>
      <c r="C31" s="232">
        <f>SUM(C28:C30)</f>
        <v>187719.34999999998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373312.2</v>
      </c>
      <c r="C36" s="236">
        <f>'DOE25'!G192+'DOE25'!G210+'DOE25'!G228+'DOE25'!G271+'DOE25'!G290+'DOE25'!G309</f>
        <v>54958.969999999994</v>
      </c>
    </row>
    <row r="37" spans="1:3" x14ac:dyDescent="0.2">
      <c r="A37" t="s">
        <v>810</v>
      </c>
      <c r="B37" s="241"/>
      <c r="C37" s="241"/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>
        <v>373312.2</v>
      </c>
      <c r="C39" s="241">
        <v>54958.97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373312.2</v>
      </c>
      <c r="C40" s="232">
        <f>SUM(C37:C39)</f>
        <v>54958.97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DD3E2-57BA-409E-BA3D-5848427DDD69}">
  <sheetPr>
    <tabColor indexed="11"/>
  </sheetPr>
  <dimension ref="A1:I51"/>
  <sheetViews>
    <sheetView workbookViewId="0">
      <pane ySplit="4" topLeftCell="A5" activePane="bottomLeft" state="frozen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CONWAY SCHOOL DISTRICT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16914857.829999998</v>
      </c>
      <c r="D5" s="20">
        <f>SUM('DOE25'!L189:L192)+SUM('DOE25'!L207:L210)+SUM('DOE25'!L225:L228)-F5-G5</f>
        <v>16727453.709999999</v>
      </c>
      <c r="E5" s="244"/>
      <c r="F5" s="256">
        <f>SUM('DOE25'!J189:J192)+SUM('DOE25'!J207:J210)+SUM('DOE25'!J225:J228)</f>
        <v>178436.87</v>
      </c>
      <c r="G5" s="53">
        <f>SUM('DOE25'!K189:K192)+SUM('DOE25'!K207:K210)+SUM('DOE25'!K225:K228)</f>
        <v>8967.25</v>
      </c>
      <c r="H5" s="260"/>
    </row>
    <row r="6" spans="1:9" x14ac:dyDescent="0.2">
      <c r="A6" s="32">
        <v>2100</v>
      </c>
      <c r="B6" t="s">
        <v>832</v>
      </c>
      <c r="C6" s="246">
        <f t="shared" si="0"/>
        <v>2147401.8099999996</v>
      </c>
      <c r="D6" s="20">
        <f>'DOE25'!L194+'DOE25'!L212+'DOE25'!L230-F6-G6</f>
        <v>2143345.5499999998</v>
      </c>
      <c r="E6" s="244"/>
      <c r="F6" s="256">
        <f>'DOE25'!J194+'DOE25'!J212+'DOE25'!J230</f>
        <v>3962.26</v>
      </c>
      <c r="G6" s="53">
        <f>'DOE25'!K194+'DOE25'!K212+'DOE25'!K230</f>
        <v>94</v>
      </c>
      <c r="H6" s="260"/>
    </row>
    <row r="7" spans="1:9" x14ac:dyDescent="0.2">
      <c r="A7" s="32">
        <v>2200</v>
      </c>
      <c r="B7" t="s">
        <v>865</v>
      </c>
      <c r="C7" s="246">
        <f t="shared" si="0"/>
        <v>553964.38</v>
      </c>
      <c r="D7" s="20">
        <f>'DOE25'!L195+'DOE25'!L213+'DOE25'!L231-F7-G7</f>
        <v>545182.6</v>
      </c>
      <c r="E7" s="244"/>
      <c r="F7" s="256">
        <f>'DOE25'!J195+'DOE25'!J213+'DOE25'!J231</f>
        <v>7201.7800000000007</v>
      </c>
      <c r="G7" s="53">
        <f>'DOE25'!K195+'DOE25'!K213+'DOE25'!K231</f>
        <v>1580</v>
      </c>
      <c r="H7" s="260"/>
    </row>
    <row r="8" spans="1:9" x14ac:dyDescent="0.2">
      <c r="A8" s="32">
        <v>2300</v>
      </c>
      <c r="B8" t="s">
        <v>833</v>
      </c>
      <c r="C8" s="246">
        <f t="shared" si="0"/>
        <v>547855.12</v>
      </c>
      <c r="D8" s="244"/>
      <c r="E8" s="20">
        <f>'DOE25'!L196+'DOE25'!L214+'DOE25'!L232-F8-G8-D9-D11</f>
        <v>542348.86</v>
      </c>
      <c r="F8" s="256">
        <f>'DOE25'!J196+'DOE25'!J214+'DOE25'!J232</f>
        <v>0</v>
      </c>
      <c r="G8" s="53">
        <f>'DOE25'!K196+'DOE25'!K214+'DOE25'!K232</f>
        <v>5506.26</v>
      </c>
      <c r="H8" s="260"/>
    </row>
    <row r="9" spans="1:9" x14ac:dyDescent="0.2">
      <c r="A9" s="32">
        <v>2310</v>
      </c>
      <c r="B9" t="s">
        <v>849</v>
      </c>
      <c r="C9" s="246">
        <f t="shared" si="0"/>
        <v>137000.03</v>
      </c>
      <c r="D9" s="245">
        <v>137000.03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17170</v>
      </c>
      <c r="D10" s="244"/>
      <c r="E10" s="245">
        <v>17170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217987.88</v>
      </c>
      <c r="D11" s="245">
        <v>217987.88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1589490.45</v>
      </c>
      <c r="D12" s="20">
        <f>'DOE25'!L197+'DOE25'!L215+'DOE25'!L233-F12-G12</f>
        <v>1559424.7999999998</v>
      </c>
      <c r="E12" s="244"/>
      <c r="F12" s="256">
        <f>'DOE25'!J197+'DOE25'!J215+'DOE25'!J233</f>
        <v>11459.580000000002</v>
      </c>
      <c r="G12" s="53">
        <f>'DOE25'!K197+'DOE25'!K215+'DOE25'!K233</f>
        <v>18606.07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3456783.7199999997</v>
      </c>
      <c r="D14" s="20">
        <f>'DOE25'!L199+'DOE25'!L217+'DOE25'!L235-F14-G14</f>
        <v>3401833.3099999996</v>
      </c>
      <c r="E14" s="244"/>
      <c r="F14" s="256">
        <f>'DOE25'!J199+'DOE25'!J217+'DOE25'!J235</f>
        <v>54950.41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858853.76</v>
      </c>
      <c r="D15" s="20">
        <f>'DOE25'!L200+'DOE25'!L218+'DOE25'!L236-F15-G15</f>
        <v>691388.76</v>
      </c>
      <c r="E15" s="244"/>
      <c r="F15" s="256">
        <f>'DOE25'!J200+'DOE25'!J218+'DOE25'!J236</f>
        <v>167465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1803</v>
      </c>
      <c r="D16" s="244"/>
      <c r="E16" s="20">
        <f>'DOE25'!L201+'DOE25'!L219+'DOE25'!L237-F16-G16</f>
        <v>1803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3710622.5</v>
      </c>
      <c r="D25" s="244"/>
      <c r="E25" s="244"/>
      <c r="F25" s="259"/>
      <c r="G25" s="257"/>
      <c r="H25" s="258">
        <f>'DOE25'!L252+'DOE25'!L253+'DOE25'!L333+'DOE25'!L334</f>
        <v>3710622.5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514270.07999999996</v>
      </c>
      <c r="D29" s="20">
        <f>'DOE25'!L350+'DOE25'!L351+'DOE25'!L352-'DOE25'!I359-F29-G29</f>
        <v>487328.26999999996</v>
      </c>
      <c r="E29" s="244"/>
      <c r="F29" s="256">
        <f>'DOE25'!J350+'DOE25'!J351+'DOE25'!J352</f>
        <v>26941.809999999998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1730655.1</v>
      </c>
      <c r="D31" s="20">
        <f>'DOE25'!L282+'DOE25'!L301+'DOE25'!L320+'DOE25'!L325+'DOE25'!L326+'DOE25'!L327-F31-G31</f>
        <v>1602546.68</v>
      </c>
      <c r="E31" s="244"/>
      <c r="F31" s="256">
        <f>'DOE25'!J282+'DOE25'!J301+'DOE25'!J320+'DOE25'!J325+'DOE25'!J326+'DOE25'!J327</f>
        <v>124704.6</v>
      </c>
      <c r="G31" s="53">
        <f>'DOE25'!K282+'DOE25'!K301+'DOE25'!K320+'DOE25'!K325+'DOE25'!K326+'DOE25'!K327</f>
        <v>3403.82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27513491.59</v>
      </c>
      <c r="E33" s="247">
        <f>SUM(E5:E31)</f>
        <v>561321.86</v>
      </c>
      <c r="F33" s="247">
        <f>SUM(F5:F31)</f>
        <v>575122.31000000006</v>
      </c>
      <c r="G33" s="247">
        <f>SUM(G5:G31)</f>
        <v>38157.4</v>
      </c>
      <c r="H33" s="247">
        <f>SUM(H5:H31)</f>
        <v>3710622.5</v>
      </c>
    </row>
    <row r="35" spans="2:8" ht="12" thickBot="1" x14ac:dyDescent="0.25">
      <c r="B35" s="254" t="s">
        <v>878</v>
      </c>
      <c r="D35" s="255">
        <f>E33</f>
        <v>561321.86</v>
      </c>
      <c r="E35" s="250"/>
    </row>
    <row r="36" spans="2:8" ht="12" thickTop="1" x14ac:dyDescent="0.2">
      <c r="B36" t="s">
        <v>846</v>
      </c>
      <c r="D36" s="20">
        <f>D33</f>
        <v>27513491.59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073E3-49FB-418B-80F2-5EB982FBAEC9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CONWAY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220063.92</v>
      </c>
      <c r="D9" s="95">
        <f>'DOE25'!G9</f>
        <v>114638</v>
      </c>
      <c r="E9" s="95">
        <f>'DOE25'!H9</f>
        <v>0</v>
      </c>
      <c r="F9" s="95">
        <f>'DOE25'!I9</f>
        <v>211813.88</v>
      </c>
      <c r="G9" s="95">
        <f>'DOE25'!J9</f>
        <v>742647.8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554998.88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65409.63</v>
      </c>
      <c r="D13" s="95">
        <f>'DOE25'!G13</f>
        <v>86893.71</v>
      </c>
      <c r="E13" s="95">
        <f>'DOE25'!H13</f>
        <v>500312.47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6117.89</v>
      </c>
      <c r="D14" s="95">
        <f>'DOE25'!G14</f>
        <v>7.77</v>
      </c>
      <c r="E14" s="95">
        <f>'DOE25'!H14</f>
        <v>3399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21234.62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846590.32000000007</v>
      </c>
      <c r="D19" s="41">
        <f>SUM(D9:D18)</f>
        <v>222774.1</v>
      </c>
      <c r="E19" s="41">
        <f>SUM(E9:E18)</f>
        <v>503711.47</v>
      </c>
      <c r="F19" s="41">
        <f>SUM(F9:F18)</f>
        <v>211813.88</v>
      </c>
      <c r="G19" s="41">
        <f>SUM(G9:G18)</f>
        <v>742647.8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134221.31</v>
      </c>
      <c r="E22" s="95">
        <f>'DOE25'!H23</f>
        <v>420777.57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170272.1</v>
      </c>
      <c r="D24" s="95">
        <f>'DOE25'!G25</f>
        <v>25.98</v>
      </c>
      <c r="E24" s="95">
        <f>'DOE25'!H25</f>
        <v>1833.99</v>
      </c>
      <c r="F24" s="95">
        <f>'DOE25'!I25</f>
        <v>4800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45928.62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1721.19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217921.91</v>
      </c>
      <c r="D32" s="41">
        <f>SUM(D22:D31)</f>
        <v>134247.29</v>
      </c>
      <c r="E32" s="41">
        <f>SUM(E22:E31)</f>
        <v>422611.56</v>
      </c>
      <c r="F32" s="41">
        <f>SUM(F22:F31)</f>
        <v>4800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21234.62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67292.19</v>
      </c>
      <c r="E40" s="95">
        <f>'DOE25'!H41</f>
        <v>81099.91</v>
      </c>
      <c r="F40" s="95">
        <f>'DOE25'!I41</f>
        <v>207013.88</v>
      </c>
      <c r="G40" s="95">
        <f>'DOE25'!J41</f>
        <v>742647.8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628668.41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628668.41</v>
      </c>
      <c r="D42" s="41">
        <f>SUM(D34:D41)</f>
        <v>88526.81</v>
      </c>
      <c r="E42" s="41">
        <f>SUM(E34:E41)</f>
        <v>81099.91</v>
      </c>
      <c r="F42" s="41">
        <f>SUM(F34:F41)</f>
        <v>207013.88</v>
      </c>
      <c r="G42" s="41">
        <f>SUM(G34:G41)</f>
        <v>742647.8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846590.32000000007</v>
      </c>
      <c r="D43" s="41">
        <f>D42+D32</f>
        <v>222774.1</v>
      </c>
      <c r="E43" s="41">
        <f>E42+E32</f>
        <v>503711.47</v>
      </c>
      <c r="F43" s="41">
        <f>F42+F32</f>
        <v>211813.88</v>
      </c>
      <c r="G43" s="41">
        <f>G42+G32</f>
        <v>742647.8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12781005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8790035.9900000002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37132.959999999999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5323.83</v>
      </c>
      <c r="D51" s="95">
        <f>'DOE25'!G88</f>
        <v>455.65</v>
      </c>
      <c r="E51" s="95">
        <f>'DOE25'!H88</f>
        <v>0</v>
      </c>
      <c r="F51" s="95">
        <f>'DOE25'!I88</f>
        <v>302.39</v>
      </c>
      <c r="G51" s="95">
        <f>'DOE25'!J88</f>
        <v>1058.1400000000001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426133.14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310788.31</v>
      </c>
      <c r="D53" s="95">
        <f>SUM('DOE25'!G90:G102)</f>
        <v>7.77</v>
      </c>
      <c r="E53" s="95">
        <f>SUM('DOE25'!H90:H102)</f>
        <v>162333.39000000001</v>
      </c>
      <c r="F53" s="95">
        <f>SUM('DOE25'!I90:I102)</f>
        <v>90000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9143281.0900000017</v>
      </c>
      <c r="D54" s="130">
        <f>SUM(D49:D53)</f>
        <v>426596.56000000006</v>
      </c>
      <c r="E54" s="130">
        <f>SUM(E49:E53)</f>
        <v>162333.39000000001</v>
      </c>
      <c r="F54" s="130">
        <f>SUM(F49:F53)</f>
        <v>90302.39</v>
      </c>
      <c r="G54" s="130">
        <f>SUM(G49:G53)</f>
        <v>1058.1400000000001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21924286.090000004</v>
      </c>
      <c r="D55" s="22">
        <f>D48+D54</f>
        <v>426596.56000000006</v>
      </c>
      <c r="E55" s="22">
        <f>E48+E54</f>
        <v>162333.39000000001</v>
      </c>
      <c r="F55" s="22">
        <f>F48+F54</f>
        <v>90302.39</v>
      </c>
      <c r="G55" s="22">
        <f>G48+G54</f>
        <v>1058.1400000000001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2829400.45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3426874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102621.55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6358896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1506116.76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131584.43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17700</v>
      </c>
      <c r="D69" s="95">
        <f>SUM('DOE25'!G123:G127)</f>
        <v>10426.98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1655401.19</v>
      </c>
      <c r="D70" s="130">
        <f>SUM(D64:D69)</f>
        <v>10426.98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8014297.1899999995</v>
      </c>
      <c r="D73" s="130">
        <f>SUM(D71:D72)+D70+D62</f>
        <v>10426.98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141843.53</v>
      </c>
      <c r="D80" s="95">
        <f>SUM('DOE25'!G145:G153)</f>
        <v>390719.4</v>
      </c>
      <c r="E80" s="95">
        <f>SUM('DOE25'!H145:H153)</f>
        <v>1553815.24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1100.71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142944.24</v>
      </c>
      <c r="D83" s="131">
        <f>SUM(D77:D82)</f>
        <v>390719.4</v>
      </c>
      <c r="E83" s="131">
        <f>SUM(E77:E82)</f>
        <v>1553815.24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223429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165998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14450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180448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223429</v>
      </c>
    </row>
    <row r="96" spans="1:7" ht="12.75" thickTop="1" thickBot="1" x14ac:dyDescent="0.25">
      <c r="A96" s="33" t="s">
        <v>796</v>
      </c>
      <c r="C96" s="86">
        <f>C55+C73+C83+C95</f>
        <v>30261975.52</v>
      </c>
      <c r="D96" s="86">
        <f>D55+D73+D83+D95</f>
        <v>827742.94000000006</v>
      </c>
      <c r="E96" s="86">
        <f>E55+E73+E83+E95</f>
        <v>1716148.63</v>
      </c>
      <c r="F96" s="86">
        <f>F55+F73+F83+F95</f>
        <v>90302.39</v>
      </c>
      <c r="G96" s="86">
        <f>G55+G73+G95</f>
        <v>224487.14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10942213.649999999</v>
      </c>
      <c r="D101" s="24" t="s">
        <v>312</v>
      </c>
      <c r="E101" s="95">
        <f>('DOE25'!L268)+('DOE25'!L287)+('DOE25'!L306)</f>
        <v>773741.16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4858551.8600000003</v>
      </c>
      <c r="D102" s="24" t="s">
        <v>312</v>
      </c>
      <c r="E102" s="95">
        <f>('DOE25'!L269)+('DOE25'!L288)+('DOE25'!L307)</f>
        <v>75743.98000000001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688749.82</v>
      </c>
      <c r="D103" s="24" t="s">
        <v>312</v>
      </c>
      <c r="E103" s="95">
        <f>('DOE25'!L270)+('DOE25'!L289)+('DOE25'!L308)</f>
        <v>89814.53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425342.50000000006</v>
      </c>
      <c r="D104" s="24" t="s">
        <v>312</v>
      </c>
      <c r="E104" s="95">
        <f>+('DOE25'!L271)+('DOE25'!L290)+('DOE25'!L309)</f>
        <v>169451.55999999997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4896.0599999999995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16914857.829999998</v>
      </c>
      <c r="D107" s="86">
        <f>SUM(D101:D106)</f>
        <v>0</v>
      </c>
      <c r="E107" s="86">
        <f>SUM(E101:E106)</f>
        <v>1113647.29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2147401.8099999996</v>
      </c>
      <c r="D110" s="24" t="s">
        <v>312</v>
      </c>
      <c r="E110" s="95">
        <f>+('DOE25'!L273)+('DOE25'!L292)+('DOE25'!L311)</f>
        <v>216466.85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553964.38</v>
      </c>
      <c r="D111" s="24" t="s">
        <v>312</v>
      </c>
      <c r="E111" s="95">
        <f>+('DOE25'!L274)+('DOE25'!L293)+('DOE25'!L312)</f>
        <v>378732.06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902843.03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1589490.45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3456783.7199999997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858853.76</v>
      </c>
      <c r="D116" s="24" t="s">
        <v>312</v>
      </c>
      <c r="E116" s="95">
        <f>+('DOE25'!L279)+('DOE25'!L298)+('DOE25'!L317)</f>
        <v>21808.899999999998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1803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847052.48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9511140.1500000004</v>
      </c>
      <c r="D120" s="86">
        <f>SUM(D110:D119)</f>
        <v>847052.48</v>
      </c>
      <c r="E120" s="86">
        <f>SUM(E110:E119)</f>
        <v>617007.81000000006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51557.5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2455000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1255622.5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180448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142119.4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82313.73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54.01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-1058.140000000014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35672.67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3969724.1699999995</v>
      </c>
      <c r="D136" s="141">
        <f>SUM(D122:D135)</f>
        <v>0</v>
      </c>
      <c r="E136" s="141">
        <f>SUM(E122:E135)</f>
        <v>0</v>
      </c>
      <c r="F136" s="141">
        <f>SUM(F122:F135)</f>
        <v>51557.5</v>
      </c>
      <c r="G136" s="141">
        <f>SUM(G122:G135)</f>
        <v>180448</v>
      </c>
    </row>
    <row r="137" spans="1:9" ht="12.75" thickTop="1" thickBot="1" x14ac:dyDescent="0.25">
      <c r="A137" s="33" t="s">
        <v>267</v>
      </c>
      <c r="C137" s="86">
        <f>(C107+C120+C136)</f>
        <v>30395722.149999995</v>
      </c>
      <c r="D137" s="86">
        <f>(D107+D120+D136)</f>
        <v>847052.48</v>
      </c>
      <c r="E137" s="86">
        <f>(E107+E120+E136)</f>
        <v>1730655.1</v>
      </c>
      <c r="F137" s="86">
        <f>(F107+F120+F136)</f>
        <v>51557.5</v>
      </c>
      <c r="G137" s="86">
        <f>(G107+G120+G136)</f>
        <v>180448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20</v>
      </c>
      <c r="D143" s="153">
        <f>'DOE25'!H480</f>
        <v>5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7/90</v>
      </c>
      <c r="C144" s="152" t="str">
        <f>'DOE25'!G481</f>
        <v>12/03</v>
      </c>
      <c r="D144" s="152" t="str">
        <f>'DOE25'!H481</f>
        <v>12/06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7/2010</v>
      </c>
      <c r="C145" s="152" t="str">
        <f>'DOE25'!G482</f>
        <v>1/2024</v>
      </c>
      <c r="D145" s="152" t="str">
        <f>'DOE25'!H482</f>
        <v>1/2012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2400000</v>
      </c>
      <c r="C146" s="137">
        <f>'DOE25'!G483</f>
        <v>42120000</v>
      </c>
      <c r="D146" s="137">
        <f>'DOE25'!H483</f>
        <v>243600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6.99</v>
      </c>
      <c r="C147" s="137">
        <f>'DOE25'!G484</f>
        <v>4</v>
      </c>
      <c r="D147" s="137">
        <f>'DOE25'!H484</f>
        <v>3.83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120000</v>
      </c>
      <c r="C148" s="137">
        <f>'DOE25'!G485</f>
        <v>25860000</v>
      </c>
      <c r="D148" s="137">
        <f>'DOE25'!H485</f>
        <v>970000</v>
      </c>
      <c r="E148" s="137">
        <f>'DOE25'!I485</f>
        <v>0</v>
      </c>
      <c r="F148" s="137">
        <f>'DOE25'!J485</f>
        <v>0</v>
      </c>
      <c r="G148" s="138">
        <f>SUM(B148:F148)</f>
        <v>26950000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120000</v>
      </c>
      <c r="C150" s="137">
        <f>'DOE25'!G487</f>
        <v>1850000</v>
      </c>
      <c r="D150" s="137">
        <f>'DOE25'!H487</f>
        <v>485000</v>
      </c>
      <c r="E150" s="137">
        <f>'DOE25'!I487</f>
        <v>0</v>
      </c>
      <c r="F150" s="137">
        <f>'DOE25'!J487</f>
        <v>0</v>
      </c>
      <c r="G150" s="138">
        <f t="shared" si="0"/>
        <v>2455000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24010000</v>
      </c>
      <c r="D151" s="137">
        <f>'DOE25'!H488</f>
        <v>485000</v>
      </c>
      <c r="E151" s="137">
        <f>'DOE25'!I488</f>
        <v>0</v>
      </c>
      <c r="F151" s="137">
        <f>'DOE25'!J488</f>
        <v>0</v>
      </c>
      <c r="G151" s="138">
        <f t="shared" si="0"/>
        <v>24495000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7686579</v>
      </c>
      <c r="D152" s="137">
        <f>'DOE25'!H489</f>
        <v>24250</v>
      </c>
      <c r="E152" s="137">
        <f>'DOE25'!I489</f>
        <v>0</v>
      </c>
      <c r="F152" s="137">
        <f>'DOE25'!J489</f>
        <v>0</v>
      </c>
      <c r="G152" s="138">
        <f t="shared" si="0"/>
        <v>7710829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31696579</v>
      </c>
      <c r="D153" s="137">
        <f>'DOE25'!H490</f>
        <v>509250</v>
      </c>
      <c r="E153" s="137">
        <f>'DOE25'!I490</f>
        <v>0</v>
      </c>
      <c r="F153" s="137">
        <f>'DOE25'!J490</f>
        <v>0</v>
      </c>
      <c r="G153" s="138">
        <f t="shared" si="0"/>
        <v>32205829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1850000</v>
      </c>
      <c r="D154" s="137">
        <f>'DOE25'!H491</f>
        <v>485000</v>
      </c>
      <c r="E154" s="137">
        <f>'DOE25'!I491</f>
        <v>0</v>
      </c>
      <c r="F154" s="137">
        <f>'DOE25'!J491</f>
        <v>0</v>
      </c>
      <c r="G154" s="138">
        <f t="shared" si="0"/>
        <v>2335000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1087718</v>
      </c>
      <c r="D155" s="137">
        <f>'DOE25'!H492</f>
        <v>24250</v>
      </c>
      <c r="E155" s="137">
        <f>'DOE25'!I492</f>
        <v>0</v>
      </c>
      <c r="F155" s="137">
        <f>'DOE25'!J492</f>
        <v>0</v>
      </c>
      <c r="G155" s="138">
        <f t="shared" si="0"/>
        <v>1111968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2937718</v>
      </c>
      <c r="D156" s="137">
        <f>'DOE25'!H493</f>
        <v>509250</v>
      </c>
      <c r="E156" s="137">
        <f>'DOE25'!I493</f>
        <v>0</v>
      </c>
      <c r="F156" s="137">
        <f>'DOE25'!J493</f>
        <v>0</v>
      </c>
      <c r="G156" s="138">
        <f t="shared" si="0"/>
        <v>3446968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D1D8F-0D54-4877-AE61-2794C7841557}">
  <sheetPr codeName="Sheet3">
    <tabColor indexed="43"/>
  </sheetPr>
  <dimension ref="A1:D42"/>
  <sheetViews>
    <sheetView workbookViewId="0">
      <selection sqref="A1:D1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CONWAY SCHOOL DISTRICT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15159</v>
      </c>
    </row>
    <row r="5" spans="1:4" x14ac:dyDescent="0.2">
      <c r="B5" t="s">
        <v>735</v>
      </c>
      <c r="C5" s="179">
        <f>IF('DOE25'!G655+'DOE25'!G660=0,0,ROUND('DOE25'!G662,0))</f>
        <v>14828</v>
      </c>
    </row>
    <row r="6" spans="1:4" x14ac:dyDescent="0.2">
      <c r="B6" t="s">
        <v>62</v>
      </c>
      <c r="C6" s="179">
        <f>IF('DOE25'!H655+'DOE25'!H660=0,0,ROUND('DOE25'!H662,0))</f>
        <v>12816</v>
      </c>
    </row>
    <row r="7" spans="1:4" x14ac:dyDescent="0.2">
      <c r="B7" t="s">
        <v>736</v>
      </c>
      <c r="C7" s="179">
        <f>IF('DOE25'!I655+'DOE25'!I660=0,0,ROUND('DOE25'!I662,0))</f>
        <v>14029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11715955</v>
      </c>
      <c r="D10" s="182">
        <f>ROUND((C10/$C$28)*100,1)</f>
        <v>39.200000000000003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4934296</v>
      </c>
      <c r="D11" s="182">
        <f>ROUND((C11/$C$28)*100,1)</f>
        <v>16.5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778564</v>
      </c>
      <c r="D12" s="182">
        <f>ROUND((C12/$C$28)*100,1)</f>
        <v>2.6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594794</v>
      </c>
      <c r="D13" s="182">
        <f>ROUND((C13/$C$28)*100,1)</f>
        <v>2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2363869</v>
      </c>
      <c r="D15" s="182">
        <f t="shared" ref="D15:D27" si="0">ROUND((C15/$C$28)*100,1)</f>
        <v>7.9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932696</v>
      </c>
      <c r="D16" s="182">
        <f t="shared" si="0"/>
        <v>3.1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904646</v>
      </c>
      <c r="D17" s="182">
        <f t="shared" si="0"/>
        <v>3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1589490</v>
      </c>
      <c r="D18" s="182">
        <f t="shared" si="0"/>
        <v>5.3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3456784</v>
      </c>
      <c r="D20" s="182">
        <f t="shared" si="0"/>
        <v>11.6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880663</v>
      </c>
      <c r="D21" s="182">
        <f t="shared" si="0"/>
        <v>2.9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4896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1255623</v>
      </c>
      <c r="D25" s="182">
        <f t="shared" si="0"/>
        <v>4.2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35672.67</v>
      </c>
      <c r="D26" s="182">
        <f t="shared" si="0"/>
        <v>0.1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420911.08999999997</v>
      </c>
      <c r="D27" s="182">
        <f t="shared" si="0"/>
        <v>1.4</v>
      </c>
    </row>
    <row r="28" spans="1:4" x14ac:dyDescent="0.2">
      <c r="B28" s="187" t="s">
        <v>754</v>
      </c>
      <c r="C28" s="180">
        <f>SUM(C10:C27)</f>
        <v>29868859.760000002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51558</v>
      </c>
    </row>
    <row r="30" spans="1:4" x14ac:dyDescent="0.2">
      <c r="B30" s="187" t="s">
        <v>760</v>
      </c>
      <c r="C30" s="180">
        <f>SUM(C28:C29)</f>
        <v>29920417.760000002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2455000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12781005</v>
      </c>
      <c r="D35" s="182">
        <f t="shared" ref="D35:D40" si="1">ROUND((C35/$C$41)*100,1)</f>
        <v>39.6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9397430.6600000039</v>
      </c>
      <c r="D36" s="182">
        <f t="shared" si="1"/>
        <v>29.1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6358896</v>
      </c>
      <c r="D37" s="182">
        <f t="shared" si="1"/>
        <v>19.7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1665828</v>
      </c>
      <c r="D38" s="182">
        <f t="shared" si="1"/>
        <v>5.2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2087479</v>
      </c>
      <c r="D39" s="182">
        <f t="shared" si="1"/>
        <v>6.5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32290638.660000004</v>
      </c>
      <c r="D41" s="184">
        <f>SUM(D35:D40)</f>
        <v>100.10000000000001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46156-026A-4B51-A9F5-95D3C8BF6C59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CONWAY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879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30A" sheet="1" objects="1" scenarios="1"/>
  <mergeCells count="223"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15:M15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62:M62"/>
    <mergeCell ref="C63:M63"/>
    <mergeCell ref="C64:M64"/>
    <mergeCell ref="C65:M65"/>
    <mergeCell ref="C34:M34"/>
    <mergeCell ref="C35:M35"/>
    <mergeCell ref="C36:M36"/>
    <mergeCell ref="A2:E2"/>
    <mergeCell ref="A1:I1"/>
    <mergeCell ref="C3:M3"/>
    <mergeCell ref="C4:M4"/>
    <mergeCell ref="F2:I2"/>
    <mergeCell ref="C19:M19"/>
    <mergeCell ref="C9:M9"/>
    <mergeCell ref="C10:M10"/>
    <mergeCell ref="C11:M11"/>
    <mergeCell ref="C12:M12"/>
    <mergeCell ref="P32:Z32"/>
    <mergeCell ref="C5:M5"/>
    <mergeCell ref="C6:M6"/>
    <mergeCell ref="C7:M7"/>
    <mergeCell ref="C8:M8"/>
    <mergeCell ref="C16:M16"/>
    <mergeCell ref="C17:M17"/>
    <mergeCell ref="C18:M18"/>
    <mergeCell ref="C13:M13"/>
    <mergeCell ref="C14:M14"/>
    <mergeCell ref="C30:M30"/>
    <mergeCell ref="C31:M31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IC29:IM29"/>
    <mergeCell ref="IP29:IV29"/>
    <mergeCell ref="C33:M33"/>
    <mergeCell ref="EC29:EM29"/>
    <mergeCell ref="EP29:EZ29"/>
    <mergeCell ref="FC29:FM29"/>
    <mergeCell ref="P29:Z29"/>
    <mergeCell ref="AC29:AM29"/>
    <mergeCell ref="AP29:AZ29"/>
    <mergeCell ref="C32:M32"/>
    <mergeCell ref="P30:Z30"/>
    <mergeCell ref="AC30:AM30"/>
    <mergeCell ref="AP30:AZ30"/>
    <mergeCell ref="P31:Z31"/>
    <mergeCell ref="HC29:HM29"/>
    <mergeCell ref="HP29:HZ29"/>
    <mergeCell ref="DP29:DZ29"/>
    <mergeCell ref="AC31:AM31"/>
    <mergeCell ref="AP31:AZ31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FC30:FM30"/>
    <mergeCell ref="CC30:CM30"/>
    <mergeCell ref="CP30:CZ30"/>
    <mergeCell ref="DC30:DM30"/>
    <mergeCell ref="DP30:DZ30"/>
    <mergeCell ref="EC30:EM30"/>
    <mergeCell ref="EP30:EZ30"/>
    <mergeCell ref="BC39:BM39"/>
    <mergeCell ref="BP31:BZ31"/>
    <mergeCell ref="BP38:BZ38"/>
    <mergeCell ref="CC31:CM31"/>
    <mergeCell ref="CP31:CZ31"/>
    <mergeCell ref="DC31:DM31"/>
    <mergeCell ref="IC30:IM30"/>
    <mergeCell ref="IP30:IV30"/>
    <mergeCell ref="FP30:FZ30"/>
    <mergeCell ref="GC30:GM30"/>
    <mergeCell ref="GP30:GZ30"/>
    <mergeCell ref="HC30:HM30"/>
    <mergeCell ref="HP30:HZ30"/>
    <mergeCell ref="HP32:HZ32"/>
    <mergeCell ref="IC32:IM32"/>
    <mergeCell ref="IP32:IV32"/>
    <mergeCell ref="FC32:FM32"/>
    <mergeCell ref="GP32:GZ32"/>
    <mergeCell ref="FP31:FZ31"/>
    <mergeCell ref="GC31:GM31"/>
    <mergeCell ref="IP31:IV31"/>
    <mergeCell ref="HC31:HM31"/>
    <mergeCell ref="HP31:HZ31"/>
    <mergeCell ref="IC31:IM31"/>
    <mergeCell ref="DP31:DZ31"/>
    <mergeCell ref="EC31:EM31"/>
    <mergeCell ref="EP31:EZ31"/>
    <mergeCell ref="FC31:FM31"/>
    <mergeCell ref="CC32:CM32"/>
    <mergeCell ref="CP38:CZ38"/>
    <mergeCell ref="AC32:AM32"/>
    <mergeCell ref="AP32:AZ32"/>
    <mergeCell ref="CP32:CZ32"/>
    <mergeCell ref="GP31:GZ31"/>
    <mergeCell ref="BC31:BM31"/>
    <mergeCell ref="BC32:BM32"/>
    <mergeCell ref="HC32:HM32"/>
    <mergeCell ref="DC32:DM32"/>
    <mergeCell ref="DP32:DZ32"/>
    <mergeCell ref="EC32:EM32"/>
    <mergeCell ref="EP32:EZ32"/>
    <mergeCell ref="FP32:FZ32"/>
    <mergeCell ref="GC32:GM32"/>
    <mergeCell ref="FP38:FZ38"/>
    <mergeCell ref="GC38:GM38"/>
    <mergeCell ref="GP38:GZ38"/>
    <mergeCell ref="HC38:HM38"/>
    <mergeCell ref="P38:Z38"/>
    <mergeCell ref="AC38:AM38"/>
    <mergeCell ref="AP38:AZ38"/>
    <mergeCell ref="CC38:CM38"/>
    <mergeCell ref="IC39:IM39"/>
    <mergeCell ref="HC39:HM39"/>
    <mergeCell ref="IC38:IM38"/>
    <mergeCell ref="HP39:HZ39"/>
    <mergeCell ref="IP38:IV38"/>
    <mergeCell ref="DC38:DM38"/>
    <mergeCell ref="DP38:DZ38"/>
    <mergeCell ref="EC38:EM38"/>
    <mergeCell ref="EP38:EZ38"/>
    <mergeCell ref="FC38:FM38"/>
    <mergeCell ref="CC39:CM39"/>
    <mergeCell ref="CP39:CZ39"/>
    <mergeCell ref="BP39:BZ39"/>
    <mergeCell ref="DC39:DM39"/>
    <mergeCell ref="HP38:HZ38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IP40:IV40"/>
    <mergeCell ref="HC40:HM40"/>
    <mergeCell ref="HP40:HZ40"/>
    <mergeCell ref="IC40:IM40"/>
    <mergeCell ref="DP39:DZ39"/>
    <mergeCell ref="EC39:EM39"/>
    <mergeCell ref="GC39:GM39"/>
    <mergeCell ref="C45:M45"/>
    <mergeCell ref="C46:M46"/>
    <mergeCell ref="GC40:GM40"/>
    <mergeCell ref="GP40:GZ40"/>
    <mergeCell ref="EC40:EM40"/>
    <mergeCell ref="C44:M44"/>
    <mergeCell ref="FP40:FZ40"/>
    <mergeCell ref="C43:M43"/>
    <mergeCell ref="AP40:AZ40"/>
    <mergeCell ref="C42:M42"/>
    <mergeCell ref="C41:M41"/>
    <mergeCell ref="BC40:BM40"/>
    <mergeCell ref="BP40:BZ40"/>
    <mergeCell ref="FC40:FM40"/>
    <mergeCell ref="CC40:CM40"/>
    <mergeCell ref="CP40:CZ40"/>
    <mergeCell ref="DC40:DM40"/>
    <mergeCell ref="EP40:EZ40"/>
    <mergeCell ref="DP40:DZ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2011-10-31T13:45:19Z</cp:lastPrinted>
  <dcterms:created xsi:type="dcterms:W3CDTF">1997-12-04T19:04:30Z</dcterms:created>
  <dcterms:modified xsi:type="dcterms:W3CDTF">2025-01-09T20:42:22Z</dcterms:modified>
</cp:coreProperties>
</file>