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4F60CD48-3C10-4AD0-AE94-DE9AA6FB9830}" xr6:coauthVersionLast="47" xr6:coauthVersionMax="47" xr10:uidLastSave="{00000000-0000-0000-0000-000000000000}"/>
  <workbookProtection workbookPassword="B30A" lockStructure="1"/>
  <bookViews>
    <workbookView xWindow="28680" yWindow="-120" windowWidth="29040" windowHeight="15990" tabRatio="855" xr2:uid="{F3C341A0-E725-47B5-B792-E56A2F762879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F462" i="1"/>
  <c r="F42" i="1"/>
  <c r="F43" i="1" s="1"/>
  <c r="F189" i="1"/>
  <c r="B9" i="12" s="1"/>
  <c r="A13" i="12" s="1"/>
  <c r="E10" i="13"/>
  <c r="D39" i="13" s="1"/>
  <c r="D9" i="13"/>
  <c r="C9" i="13" s="1"/>
  <c r="C11" i="12"/>
  <c r="C20" i="12"/>
  <c r="C39" i="12"/>
  <c r="H236" i="1"/>
  <c r="H218" i="1"/>
  <c r="H200" i="1"/>
  <c r="L200" i="1" s="1"/>
  <c r="H594" i="1"/>
  <c r="J189" i="1"/>
  <c r="I517" i="1"/>
  <c r="I516" i="1"/>
  <c r="J516" i="1"/>
  <c r="J519" i="1" s="1"/>
  <c r="J535" i="1" s="1"/>
  <c r="H516" i="1"/>
  <c r="H519" i="1" s="1"/>
  <c r="I518" i="1"/>
  <c r="H518" i="1"/>
  <c r="J511" i="1"/>
  <c r="I512" i="1"/>
  <c r="I511" i="1"/>
  <c r="H512" i="1"/>
  <c r="L512" i="1" s="1"/>
  <c r="F540" i="1" s="1"/>
  <c r="K540" i="1" s="1"/>
  <c r="H511" i="1"/>
  <c r="H513" i="1"/>
  <c r="G517" i="1"/>
  <c r="G516" i="1"/>
  <c r="G519" i="1" s="1"/>
  <c r="F517" i="1"/>
  <c r="L517" i="1" s="1"/>
  <c r="G540" i="1" s="1"/>
  <c r="F516" i="1"/>
  <c r="F518" i="1"/>
  <c r="L518" i="1" s="1"/>
  <c r="G541" i="1" s="1"/>
  <c r="K541" i="1" s="1"/>
  <c r="G511" i="1"/>
  <c r="L511" i="1" s="1"/>
  <c r="F512" i="1"/>
  <c r="F511" i="1"/>
  <c r="I584" i="1"/>
  <c r="I594" i="1"/>
  <c r="I595" i="1" s="1"/>
  <c r="I602" i="1"/>
  <c r="G602" i="1"/>
  <c r="F602" i="1"/>
  <c r="I497" i="1"/>
  <c r="H488" i="1"/>
  <c r="D151" i="2" s="1"/>
  <c r="G488" i="1"/>
  <c r="G490" i="1" s="1"/>
  <c r="F488" i="1"/>
  <c r="F458" i="1"/>
  <c r="H462" i="1"/>
  <c r="H458" i="1"/>
  <c r="I351" i="1"/>
  <c r="I350" i="1"/>
  <c r="I354" i="1" s="1"/>
  <c r="G624" i="1" s="1"/>
  <c r="J624" i="1" s="1"/>
  <c r="G359" i="1"/>
  <c r="F359" i="1"/>
  <c r="I219" i="1"/>
  <c r="I201" i="1"/>
  <c r="L201" i="1" s="1"/>
  <c r="I199" i="1"/>
  <c r="I203" i="1" s="1"/>
  <c r="I249" i="1" s="1"/>
  <c r="I263" i="1" s="1"/>
  <c r="G215" i="1"/>
  <c r="L215" i="1" s="1"/>
  <c r="G197" i="1"/>
  <c r="H225" i="1"/>
  <c r="H207" i="1"/>
  <c r="H292" i="1"/>
  <c r="H273" i="1"/>
  <c r="H325" i="1"/>
  <c r="L325" i="1" s="1"/>
  <c r="E106" i="2" s="1"/>
  <c r="H311" i="1"/>
  <c r="K351" i="1"/>
  <c r="H351" i="1"/>
  <c r="G351" i="1"/>
  <c r="G354" i="1" s="1"/>
  <c r="F351" i="1"/>
  <c r="F354" i="1" s="1"/>
  <c r="H189" i="1"/>
  <c r="H203" i="1" s="1"/>
  <c r="G192" i="1"/>
  <c r="K253" i="1"/>
  <c r="K262" i="1" s="1"/>
  <c r="H243" i="1"/>
  <c r="I217" i="1"/>
  <c r="H217" i="1"/>
  <c r="G217" i="1"/>
  <c r="L217" i="1" s="1"/>
  <c r="F217" i="1"/>
  <c r="H199" i="1"/>
  <c r="G199" i="1"/>
  <c r="F199" i="1"/>
  <c r="L199" i="1" s="1"/>
  <c r="J215" i="1"/>
  <c r="H215" i="1"/>
  <c r="J197" i="1"/>
  <c r="H197" i="1"/>
  <c r="K213" i="1"/>
  <c r="I213" i="1"/>
  <c r="H213" i="1"/>
  <c r="G213" i="1"/>
  <c r="L213" i="1" s="1"/>
  <c r="F213" i="1"/>
  <c r="I195" i="1"/>
  <c r="H195" i="1"/>
  <c r="G195" i="1"/>
  <c r="F195" i="1"/>
  <c r="L195" i="1" s="1"/>
  <c r="F212" i="1"/>
  <c r="L212" i="1" s="1"/>
  <c r="F194" i="1"/>
  <c r="G212" i="1"/>
  <c r="G194" i="1"/>
  <c r="I212" i="1"/>
  <c r="I194" i="1"/>
  <c r="H194" i="1"/>
  <c r="L194" i="1" s="1"/>
  <c r="H212" i="1"/>
  <c r="H230" i="1"/>
  <c r="L230" i="1" s="1"/>
  <c r="L239" i="1" s="1"/>
  <c r="H650" i="1" s="1"/>
  <c r="I210" i="1"/>
  <c r="H210" i="1"/>
  <c r="H221" i="1" s="1"/>
  <c r="G210" i="1"/>
  <c r="F210" i="1"/>
  <c r="F192" i="1"/>
  <c r="L192" i="1" s="1"/>
  <c r="I208" i="1"/>
  <c r="I190" i="1"/>
  <c r="H208" i="1"/>
  <c r="H190" i="1"/>
  <c r="G208" i="1"/>
  <c r="C18" i="12" s="1"/>
  <c r="G190" i="1"/>
  <c r="F208" i="1"/>
  <c r="L208" i="1" s="1"/>
  <c r="F190" i="1"/>
  <c r="L190" i="1" s="1"/>
  <c r="G189" i="1"/>
  <c r="L189" i="1" s="1"/>
  <c r="G207" i="1"/>
  <c r="G221" i="1" s="1"/>
  <c r="F207" i="1"/>
  <c r="F221" i="1" s="1"/>
  <c r="H147" i="1"/>
  <c r="H146" i="1"/>
  <c r="G150" i="1"/>
  <c r="F102" i="1"/>
  <c r="F109" i="1"/>
  <c r="F58" i="1"/>
  <c r="F71" i="1" s="1"/>
  <c r="F56" i="1"/>
  <c r="H23" i="1"/>
  <c r="H25" i="1"/>
  <c r="E24" i="2" s="1"/>
  <c r="H13" i="1"/>
  <c r="E13" i="2" s="1"/>
  <c r="F9" i="1"/>
  <c r="C9" i="2" s="1"/>
  <c r="C19" i="2" s="1"/>
  <c r="C37" i="10"/>
  <c r="C60" i="2"/>
  <c r="B2" i="13"/>
  <c r="F8" i="13"/>
  <c r="G8" i="13"/>
  <c r="L196" i="1"/>
  <c r="L214" i="1"/>
  <c r="C112" i="2" s="1"/>
  <c r="L232" i="1"/>
  <c r="F13" i="13"/>
  <c r="G13" i="13"/>
  <c r="L198" i="1"/>
  <c r="C19" i="10" s="1"/>
  <c r="L216" i="1"/>
  <c r="L234" i="1"/>
  <c r="F16" i="13"/>
  <c r="G16" i="13"/>
  <c r="L219" i="1"/>
  <c r="L237" i="1"/>
  <c r="F5" i="13"/>
  <c r="G5" i="13"/>
  <c r="G33" i="13" s="1"/>
  <c r="L207" i="1"/>
  <c r="L225" i="1"/>
  <c r="L226" i="1"/>
  <c r="L210" i="1"/>
  <c r="L191" i="1"/>
  <c r="L209" i="1"/>
  <c r="C12" i="10" s="1"/>
  <c r="L227" i="1"/>
  <c r="L228" i="1"/>
  <c r="F6" i="13"/>
  <c r="G6" i="13"/>
  <c r="F7" i="13"/>
  <c r="G7" i="13"/>
  <c r="L231" i="1"/>
  <c r="F12" i="13"/>
  <c r="G12" i="13"/>
  <c r="L197" i="1"/>
  <c r="C113" i="2" s="1"/>
  <c r="L233" i="1"/>
  <c r="F14" i="13"/>
  <c r="G14" i="13"/>
  <c r="L235" i="1"/>
  <c r="F15" i="13"/>
  <c r="G15" i="13"/>
  <c r="L218" i="1"/>
  <c r="L236" i="1"/>
  <c r="F17" i="13"/>
  <c r="G17" i="13"/>
  <c r="L243" i="1"/>
  <c r="D17" i="13" s="1"/>
  <c r="C17" i="13" s="1"/>
  <c r="F18" i="13"/>
  <c r="G18" i="13"/>
  <c r="L244" i="1"/>
  <c r="D18" i="13" s="1"/>
  <c r="C18" i="13" s="1"/>
  <c r="F19" i="13"/>
  <c r="D19" i="13" s="1"/>
  <c r="C19" i="13" s="1"/>
  <c r="G19" i="13"/>
  <c r="L245" i="1"/>
  <c r="F29" i="13"/>
  <c r="G29" i="13"/>
  <c r="L351" i="1"/>
  <c r="L352" i="1"/>
  <c r="I359" i="1"/>
  <c r="I361" i="1" s="1"/>
  <c r="H624" i="1" s="1"/>
  <c r="J282" i="1"/>
  <c r="F31" i="13" s="1"/>
  <c r="J301" i="1"/>
  <c r="J320" i="1"/>
  <c r="K282" i="1"/>
  <c r="K301" i="1"/>
  <c r="G31" i="13" s="1"/>
  <c r="K320" i="1"/>
  <c r="L268" i="1"/>
  <c r="L269" i="1"/>
  <c r="E102" i="2" s="1"/>
  <c r="L273" i="1"/>
  <c r="L270" i="1"/>
  <c r="L271" i="1"/>
  <c r="L274" i="1"/>
  <c r="L275" i="1"/>
  <c r="L276" i="1"/>
  <c r="L277" i="1"/>
  <c r="E114" i="2" s="1"/>
  <c r="L278" i="1"/>
  <c r="L279" i="1"/>
  <c r="L280" i="1"/>
  <c r="E117" i="2" s="1"/>
  <c r="L287" i="1"/>
  <c r="L288" i="1"/>
  <c r="L289" i="1"/>
  <c r="L290" i="1"/>
  <c r="L292" i="1"/>
  <c r="L293" i="1"/>
  <c r="L294" i="1"/>
  <c r="L295" i="1"/>
  <c r="L296" i="1"/>
  <c r="L301" i="1" s="1"/>
  <c r="L297" i="1"/>
  <c r="L298" i="1"/>
  <c r="L299" i="1"/>
  <c r="L306" i="1"/>
  <c r="L320" i="1" s="1"/>
  <c r="L307" i="1"/>
  <c r="L311" i="1"/>
  <c r="L308" i="1"/>
  <c r="L309" i="1"/>
  <c r="L312" i="1"/>
  <c r="L313" i="1"/>
  <c r="E112" i="2" s="1"/>
  <c r="L314" i="1"/>
  <c r="L315" i="1"/>
  <c r="L316" i="1"/>
  <c r="L317" i="1"/>
  <c r="E116" i="2" s="1"/>
  <c r="L318" i="1"/>
  <c r="L326" i="1"/>
  <c r="L327" i="1"/>
  <c r="L252" i="1"/>
  <c r="L333" i="1"/>
  <c r="L334" i="1"/>
  <c r="L247" i="1"/>
  <c r="C122" i="2" s="1"/>
  <c r="L328" i="1"/>
  <c r="F22" i="13" s="1"/>
  <c r="C11" i="13"/>
  <c r="L353" i="1"/>
  <c r="B4" i="12"/>
  <c r="B36" i="12"/>
  <c r="A40" i="12" s="1"/>
  <c r="C36" i="12"/>
  <c r="B40" i="12"/>
  <c r="C40" i="12"/>
  <c r="B27" i="12"/>
  <c r="A31" i="12" s="1"/>
  <c r="C27" i="12"/>
  <c r="B31" i="12"/>
  <c r="C31" i="12"/>
  <c r="B13" i="12"/>
  <c r="C9" i="12"/>
  <c r="C13" i="12"/>
  <c r="B18" i="12"/>
  <c r="B22" i="12"/>
  <c r="C22" i="12"/>
  <c r="B1" i="12"/>
  <c r="L379" i="1"/>
  <c r="L380" i="1"/>
  <c r="L385" i="1" s="1"/>
  <c r="L381" i="1"/>
  <c r="L382" i="1"/>
  <c r="L383" i="1"/>
  <c r="L384" i="1"/>
  <c r="L387" i="1"/>
  <c r="L393" i="1" s="1"/>
  <c r="C131" i="2" s="1"/>
  <c r="L388" i="1"/>
  <c r="L389" i="1"/>
  <c r="L390" i="1"/>
  <c r="L391" i="1"/>
  <c r="L392" i="1"/>
  <c r="L395" i="1"/>
  <c r="L399" i="1" s="1"/>
  <c r="C132" i="2" s="1"/>
  <c r="L396" i="1"/>
  <c r="L397" i="1"/>
  <c r="L398" i="1"/>
  <c r="L258" i="1"/>
  <c r="J52" i="1"/>
  <c r="G48" i="2" s="1"/>
  <c r="G51" i="2"/>
  <c r="G54" i="2" s="1"/>
  <c r="G53" i="2"/>
  <c r="F2" i="11"/>
  <c r="L603" i="1"/>
  <c r="H653" i="1" s="1"/>
  <c r="L602" i="1"/>
  <c r="G653" i="1" s="1"/>
  <c r="L601" i="1"/>
  <c r="F653" i="1" s="1"/>
  <c r="C40" i="10"/>
  <c r="F52" i="1"/>
  <c r="G52" i="1"/>
  <c r="C35" i="10" s="1"/>
  <c r="H52" i="1"/>
  <c r="I52" i="1"/>
  <c r="F103" i="1"/>
  <c r="J103" i="1"/>
  <c r="J104" i="1"/>
  <c r="G103" i="1"/>
  <c r="H103" i="1"/>
  <c r="H104" i="1"/>
  <c r="F86" i="1"/>
  <c r="H71" i="1"/>
  <c r="H86" i="1"/>
  <c r="I103" i="1"/>
  <c r="I104" i="1" s="1"/>
  <c r="I185" i="1" s="1"/>
  <c r="G620" i="1" s="1"/>
  <c r="J620" i="1" s="1"/>
  <c r="F113" i="1"/>
  <c r="F132" i="1" s="1"/>
  <c r="F128" i="1"/>
  <c r="G113" i="1"/>
  <c r="G128" i="1"/>
  <c r="G132" i="1"/>
  <c r="G154" i="1"/>
  <c r="G161" i="1" s="1"/>
  <c r="H618" i="1"/>
  <c r="H113" i="1"/>
  <c r="H132" i="1" s="1"/>
  <c r="H128" i="1"/>
  <c r="I113" i="1"/>
  <c r="I128" i="1"/>
  <c r="I132" i="1"/>
  <c r="J113" i="1"/>
  <c r="J132" i="1" s="1"/>
  <c r="J185" i="1" s="1"/>
  <c r="J128" i="1"/>
  <c r="F139" i="1"/>
  <c r="F161" i="1" s="1"/>
  <c r="F154" i="1"/>
  <c r="G139" i="1"/>
  <c r="H139" i="1"/>
  <c r="H154" i="1"/>
  <c r="H161" i="1" s="1"/>
  <c r="I139" i="1"/>
  <c r="I154" i="1"/>
  <c r="I161" i="1"/>
  <c r="L242" i="1"/>
  <c r="C23" i="10" s="1"/>
  <c r="L324" i="1"/>
  <c r="L246" i="1"/>
  <c r="L260" i="1"/>
  <c r="L261" i="1"/>
  <c r="C26" i="10"/>
  <c r="L341" i="1"/>
  <c r="L342" i="1"/>
  <c r="I655" i="1"/>
  <c r="I659" i="1"/>
  <c r="I660" i="1"/>
  <c r="G652" i="1"/>
  <c r="H652" i="1"/>
  <c r="C6" i="10"/>
  <c r="C42" i="10"/>
  <c r="C32" i="10"/>
  <c r="L366" i="1"/>
  <c r="L367" i="1"/>
  <c r="L368" i="1"/>
  <c r="L369" i="1"/>
  <c r="L370" i="1"/>
  <c r="C29" i="10" s="1"/>
  <c r="L371" i="1"/>
  <c r="L372" i="1"/>
  <c r="B2" i="10"/>
  <c r="L336" i="1"/>
  <c r="L343" i="1" s="1"/>
  <c r="L337" i="1"/>
  <c r="L338" i="1"/>
  <c r="E129" i="2" s="1"/>
  <c r="L339" i="1"/>
  <c r="K343" i="1"/>
  <c r="L513" i="1"/>
  <c r="F541" i="1"/>
  <c r="L516" i="1"/>
  <c r="G539" i="1" s="1"/>
  <c r="G542" i="1" s="1"/>
  <c r="L521" i="1"/>
  <c r="H539" i="1" s="1"/>
  <c r="H542" i="1" s="1"/>
  <c r="L522" i="1"/>
  <c r="H540" i="1"/>
  <c r="L523" i="1"/>
  <c r="H541" i="1" s="1"/>
  <c r="L526" i="1"/>
  <c r="I539" i="1"/>
  <c r="L527" i="1"/>
  <c r="I540" i="1"/>
  <c r="L528" i="1"/>
  <c r="I541" i="1"/>
  <c r="I542" i="1" s="1"/>
  <c r="L531" i="1"/>
  <c r="J539" i="1" s="1"/>
  <c r="J542" i="1" s="1"/>
  <c r="L532" i="1"/>
  <c r="J540" i="1"/>
  <c r="L533" i="1"/>
  <c r="J541" i="1" s="1"/>
  <c r="E124" i="2"/>
  <c r="E123" i="2"/>
  <c r="J262" i="1"/>
  <c r="I262" i="1"/>
  <c r="H262" i="1"/>
  <c r="G262" i="1"/>
  <c r="F262" i="1"/>
  <c r="L262" i="1" s="1"/>
  <c r="C123" i="2"/>
  <c r="A1" i="2"/>
  <c r="A2" i="2"/>
  <c r="D9" i="2"/>
  <c r="E9" i="2"/>
  <c r="F9" i="2"/>
  <c r="I431" i="1"/>
  <c r="J9" i="1" s="1"/>
  <c r="C10" i="2"/>
  <c r="D10" i="2"/>
  <c r="D19" i="2" s="1"/>
  <c r="E10" i="2"/>
  <c r="F10" i="2"/>
  <c r="F19" i="2" s="1"/>
  <c r="I432" i="1"/>
  <c r="J10" i="1" s="1"/>
  <c r="G10" i="2" s="1"/>
  <c r="C11" i="2"/>
  <c r="C12" i="2"/>
  <c r="D12" i="2"/>
  <c r="E12" i="2"/>
  <c r="F12" i="2"/>
  <c r="I433" i="1"/>
  <c r="J12" i="1"/>
  <c r="G12" i="2"/>
  <c r="C13" i="2"/>
  <c r="D13" i="2"/>
  <c r="F13" i="2"/>
  <c r="I434" i="1"/>
  <c r="J13" i="1"/>
  <c r="G13" i="2" s="1"/>
  <c r="C14" i="2"/>
  <c r="D14" i="2"/>
  <c r="E14" i="2"/>
  <c r="F14" i="2"/>
  <c r="I435" i="1"/>
  <c r="J14" i="1" s="1"/>
  <c r="G14" i="2" s="1"/>
  <c r="F15" i="2"/>
  <c r="C16" i="2"/>
  <c r="D16" i="2"/>
  <c r="E16" i="2"/>
  <c r="F16" i="2"/>
  <c r="C17" i="2"/>
  <c r="D17" i="2"/>
  <c r="E17" i="2"/>
  <c r="F17" i="2"/>
  <c r="I436" i="1"/>
  <c r="J17" i="1" s="1"/>
  <c r="G17" i="2" s="1"/>
  <c r="C18" i="2"/>
  <c r="D18" i="2"/>
  <c r="E18" i="2"/>
  <c r="F18" i="2"/>
  <c r="I437" i="1"/>
  <c r="J18" i="1"/>
  <c r="G18" i="2" s="1"/>
  <c r="C22" i="2"/>
  <c r="C32" i="2" s="1"/>
  <c r="D22" i="2"/>
  <c r="E22" i="2"/>
  <c r="F22" i="2"/>
  <c r="I440" i="1"/>
  <c r="J23" i="1" s="1"/>
  <c r="C23" i="2"/>
  <c r="D23" i="2"/>
  <c r="E23" i="2"/>
  <c r="F23" i="2"/>
  <c r="I441" i="1"/>
  <c r="J24" i="1"/>
  <c r="G23" i="2"/>
  <c r="C24" i="2"/>
  <c r="D24" i="2"/>
  <c r="F24" i="2"/>
  <c r="I442" i="1"/>
  <c r="J25" i="1"/>
  <c r="G24" i="2" s="1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 s="1"/>
  <c r="G31" i="2" s="1"/>
  <c r="C34" i="2"/>
  <c r="C42" i="2" s="1"/>
  <c r="D34" i="2"/>
  <c r="D42" i="2" s="1"/>
  <c r="D43" i="2" s="1"/>
  <c r="E34" i="2"/>
  <c r="E42" i="2" s="1"/>
  <c r="F34" i="2"/>
  <c r="F42" i="2" s="1"/>
  <c r="F43" i="2" s="1"/>
  <c r="C35" i="2"/>
  <c r="D35" i="2"/>
  <c r="E35" i="2"/>
  <c r="F35" i="2"/>
  <c r="C36" i="2"/>
  <c r="D36" i="2"/>
  <c r="E36" i="2"/>
  <c r="F36" i="2"/>
  <c r="I446" i="1"/>
  <c r="J37" i="1"/>
  <c r="G36" i="2" s="1"/>
  <c r="C37" i="2"/>
  <c r="D37" i="2"/>
  <c r="E37" i="2"/>
  <c r="F37" i="2"/>
  <c r="I447" i="1"/>
  <c r="J38" i="1" s="1"/>
  <c r="G37" i="2" s="1"/>
  <c r="C38" i="2"/>
  <c r="D38" i="2"/>
  <c r="E38" i="2"/>
  <c r="F38" i="2"/>
  <c r="I448" i="1"/>
  <c r="J40" i="1" s="1"/>
  <c r="G39" i="2" s="1"/>
  <c r="C40" i="2"/>
  <c r="D40" i="2"/>
  <c r="E40" i="2"/>
  <c r="F40" i="2"/>
  <c r="I449" i="1"/>
  <c r="J41" i="1" s="1"/>
  <c r="G40" i="2" s="1"/>
  <c r="C41" i="2"/>
  <c r="D41" i="2"/>
  <c r="E41" i="2"/>
  <c r="F41" i="2"/>
  <c r="C48" i="2"/>
  <c r="E48" i="2"/>
  <c r="E55" i="2" s="1"/>
  <c r="F48" i="2"/>
  <c r="E49" i="2"/>
  <c r="E54" i="2" s="1"/>
  <c r="C50" i="2"/>
  <c r="E50" i="2"/>
  <c r="C51" i="2"/>
  <c r="D51" i="2"/>
  <c r="D54" i="2" s="1"/>
  <c r="E51" i="2"/>
  <c r="F51" i="2"/>
  <c r="D52" i="2"/>
  <c r="C53" i="2"/>
  <c r="D53" i="2"/>
  <c r="E53" i="2"/>
  <c r="F53" i="2"/>
  <c r="F54" i="2" s="1"/>
  <c r="F55" i="2" s="1"/>
  <c r="C58" i="2"/>
  <c r="C59" i="2"/>
  <c r="C61" i="2"/>
  <c r="D61" i="2"/>
  <c r="E61" i="2"/>
  <c r="E62" i="2"/>
  <c r="F61" i="2"/>
  <c r="G61" i="2"/>
  <c r="G62" i="2"/>
  <c r="D62" i="2"/>
  <c r="F62" i="2"/>
  <c r="C64" i="2"/>
  <c r="C70" i="2" s="1"/>
  <c r="C73" i="2" s="1"/>
  <c r="F64" i="2"/>
  <c r="F70" i="2" s="1"/>
  <c r="F73" i="2" s="1"/>
  <c r="C65" i="2"/>
  <c r="F65" i="2"/>
  <c r="C66" i="2"/>
  <c r="C67" i="2"/>
  <c r="C68" i="2"/>
  <c r="E68" i="2"/>
  <c r="E70" i="2" s="1"/>
  <c r="E73" i="2" s="1"/>
  <c r="F68" i="2"/>
  <c r="C69" i="2"/>
  <c r="D69" i="2"/>
  <c r="D70" i="2"/>
  <c r="D73" i="2" s="1"/>
  <c r="E69" i="2"/>
  <c r="F69" i="2"/>
  <c r="G69" i="2"/>
  <c r="G70" i="2" s="1"/>
  <c r="G73" i="2" s="1"/>
  <c r="C71" i="2"/>
  <c r="D71" i="2"/>
  <c r="E71" i="2"/>
  <c r="C72" i="2"/>
  <c r="E72" i="2"/>
  <c r="C77" i="2"/>
  <c r="C83" i="2" s="1"/>
  <c r="D77" i="2"/>
  <c r="D83" i="2" s="1"/>
  <c r="E77" i="2"/>
  <c r="F77" i="2"/>
  <c r="F83" i="2" s="1"/>
  <c r="C79" i="2"/>
  <c r="E79" i="2"/>
  <c r="F79" i="2"/>
  <c r="C80" i="2"/>
  <c r="D80" i="2"/>
  <c r="E80" i="2"/>
  <c r="F80" i="2"/>
  <c r="C81" i="2"/>
  <c r="D81" i="2"/>
  <c r="E81" i="2"/>
  <c r="F81" i="2"/>
  <c r="C82" i="2"/>
  <c r="C85" i="2"/>
  <c r="F85" i="2"/>
  <c r="F95" i="2" s="1"/>
  <c r="C86" i="2"/>
  <c r="C95" i="2" s="1"/>
  <c r="F86" i="2"/>
  <c r="D88" i="2"/>
  <c r="E88" i="2"/>
  <c r="E95" i="2" s="1"/>
  <c r="F88" i="2"/>
  <c r="G88" i="2"/>
  <c r="G95" i="2" s="1"/>
  <c r="C89" i="2"/>
  <c r="D89" i="2"/>
  <c r="E89" i="2"/>
  <c r="F89" i="2"/>
  <c r="G89" i="2"/>
  <c r="C90" i="2"/>
  <c r="D90" i="2"/>
  <c r="E90" i="2"/>
  <c r="E91" i="2"/>
  <c r="E92" i="2"/>
  <c r="E93" i="2"/>
  <c r="E94" i="2"/>
  <c r="G90" i="2"/>
  <c r="C91" i="2"/>
  <c r="D91" i="2"/>
  <c r="F91" i="2"/>
  <c r="C92" i="2"/>
  <c r="D92" i="2"/>
  <c r="F92" i="2"/>
  <c r="C93" i="2"/>
  <c r="D93" i="2"/>
  <c r="F93" i="2"/>
  <c r="C94" i="2"/>
  <c r="D94" i="2"/>
  <c r="F94" i="2"/>
  <c r="E101" i="2"/>
  <c r="E103" i="2"/>
  <c r="E104" i="2"/>
  <c r="E105" i="2"/>
  <c r="D107" i="2"/>
  <c r="F107" i="2"/>
  <c r="G107" i="2"/>
  <c r="E110" i="2"/>
  <c r="E111" i="2"/>
  <c r="E113" i="2"/>
  <c r="E115" i="2"/>
  <c r="F120" i="2"/>
  <c r="G120" i="2"/>
  <c r="E122" i="2"/>
  <c r="E136" i="2" s="1"/>
  <c r="D126" i="2"/>
  <c r="D136" i="2" s="1"/>
  <c r="E126" i="2"/>
  <c r="F126" i="2"/>
  <c r="K411" i="1"/>
  <c r="K426" i="1" s="1"/>
  <c r="G126" i="2" s="1"/>
  <c r="G136" i="2" s="1"/>
  <c r="G137" i="2" s="1"/>
  <c r="K419" i="1"/>
  <c r="K425" i="1"/>
  <c r="L255" i="1"/>
  <c r="C127" i="2"/>
  <c r="E127" i="2"/>
  <c r="L256" i="1"/>
  <c r="C128" i="2" s="1"/>
  <c r="L257" i="1"/>
  <c r="C129" i="2" s="1"/>
  <c r="C134" i="2"/>
  <c r="E134" i="2"/>
  <c r="C135" i="2"/>
  <c r="E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C149" i="2"/>
  <c r="D149" i="2"/>
  <c r="G149" i="2" s="1"/>
  <c r="E149" i="2"/>
  <c r="F149" i="2"/>
  <c r="B150" i="2"/>
  <c r="G150" i="2" s="1"/>
  <c r="C150" i="2"/>
  <c r="D150" i="2"/>
  <c r="E150" i="2"/>
  <c r="F150" i="2"/>
  <c r="B151" i="2"/>
  <c r="C151" i="2"/>
  <c r="G151" i="2" s="1"/>
  <c r="E151" i="2"/>
  <c r="F151" i="2"/>
  <c r="B152" i="2"/>
  <c r="G152" i="2" s="1"/>
  <c r="C152" i="2"/>
  <c r="D152" i="2"/>
  <c r="E152" i="2"/>
  <c r="F152" i="2"/>
  <c r="F490" i="1"/>
  <c r="B153" i="2" s="1"/>
  <c r="I490" i="1"/>
  <c r="E153" i="2"/>
  <c r="J490" i="1"/>
  <c r="F153" i="2"/>
  <c r="B154" i="2"/>
  <c r="C154" i="2"/>
  <c r="D154" i="2"/>
  <c r="E154" i="2"/>
  <c r="F154" i="2"/>
  <c r="G154" i="2"/>
  <c r="B155" i="2"/>
  <c r="C155" i="2"/>
  <c r="D155" i="2"/>
  <c r="E155" i="2"/>
  <c r="F155" i="2"/>
  <c r="G155" i="2"/>
  <c r="F493" i="1"/>
  <c r="B156" i="2" s="1"/>
  <c r="G493" i="1"/>
  <c r="C156" i="2" s="1"/>
  <c r="H493" i="1"/>
  <c r="D156" i="2"/>
  <c r="I493" i="1"/>
  <c r="E156" i="2" s="1"/>
  <c r="J493" i="1"/>
  <c r="F156" i="2"/>
  <c r="F19" i="1"/>
  <c r="G19" i="1"/>
  <c r="G608" i="1" s="1"/>
  <c r="I19" i="1"/>
  <c r="F33" i="1"/>
  <c r="G33" i="1"/>
  <c r="I33" i="1"/>
  <c r="G607" i="1"/>
  <c r="G43" i="1"/>
  <c r="G44" i="1" s="1"/>
  <c r="H608" i="1" s="1"/>
  <c r="H43" i="1"/>
  <c r="I43" i="1"/>
  <c r="G615" i="1" s="1"/>
  <c r="F169" i="1"/>
  <c r="I169" i="1"/>
  <c r="I184" i="1" s="1"/>
  <c r="F175" i="1"/>
  <c r="F184" i="1" s="1"/>
  <c r="G175" i="1"/>
  <c r="H175" i="1"/>
  <c r="H184" i="1" s="1"/>
  <c r="I175" i="1"/>
  <c r="J175" i="1"/>
  <c r="J184" i="1"/>
  <c r="F180" i="1"/>
  <c r="G180" i="1"/>
  <c r="H180" i="1"/>
  <c r="I180" i="1"/>
  <c r="G184" i="1"/>
  <c r="I221" i="1"/>
  <c r="I248" i="1"/>
  <c r="J203" i="1"/>
  <c r="J249" i="1" s="1"/>
  <c r="K203" i="1"/>
  <c r="K249" i="1" s="1"/>
  <c r="K263" i="1" s="1"/>
  <c r="K221" i="1"/>
  <c r="G248" i="1"/>
  <c r="J221" i="1"/>
  <c r="F239" i="1"/>
  <c r="G239" i="1"/>
  <c r="H239" i="1"/>
  <c r="I239" i="1"/>
  <c r="J239" i="1"/>
  <c r="K239" i="1"/>
  <c r="F248" i="1"/>
  <c r="H248" i="1"/>
  <c r="L248" i="1"/>
  <c r="H622" i="1"/>
  <c r="J248" i="1"/>
  <c r="K248" i="1"/>
  <c r="F282" i="1"/>
  <c r="G282" i="1"/>
  <c r="G329" i="1"/>
  <c r="H282" i="1"/>
  <c r="I282" i="1"/>
  <c r="I330" i="1" s="1"/>
  <c r="I344" i="1" s="1"/>
  <c r="I329" i="1"/>
  <c r="F301" i="1"/>
  <c r="G301" i="1"/>
  <c r="H301" i="1"/>
  <c r="I301" i="1"/>
  <c r="F320" i="1"/>
  <c r="G320" i="1"/>
  <c r="G330" i="1" s="1"/>
  <c r="G344" i="1" s="1"/>
  <c r="H320" i="1"/>
  <c r="I320" i="1"/>
  <c r="F329" i="1"/>
  <c r="J329" i="1"/>
  <c r="J330" i="1" s="1"/>
  <c r="J344" i="1" s="1"/>
  <c r="K329" i="1"/>
  <c r="F330" i="1"/>
  <c r="F344" i="1" s="1"/>
  <c r="H354" i="1"/>
  <c r="J354" i="1"/>
  <c r="K354" i="1"/>
  <c r="I360" i="1"/>
  <c r="F361" i="1"/>
  <c r="G361" i="1"/>
  <c r="H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G393" i="1"/>
  <c r="H393" i="1"/>
  <c r="I393" i="1"/>
  <c r="I400" i="1" s="1"/>
  <c r="F399" i="1"/>
  <c r="G399" i="1"/>
  <c r="H399" i="1"/>
  <c r="H400" i="1" s="1"/>
  <c r="H634" i="1" s="1"/>
  <c r="J634" i="1" s="1"/>
  <c r="I399" i="1"/>
  <c r="F400" i="1"/>
  <c r="H633" i="1" s="1"/>
  <c r="G400" i="1"/>
  <c r="H635" i="1" s="1"/>
  <c r="J635" i="1" s="1"/>
  <c r="L405" i="1"/>
  <c r="L406" i="1"/>
  <c r="L411" i="1" s="1"/>
  <c r="L426" i="1" s="1"/>
  <c r="G628" i="1" s="1"/>
  <c r="J628" i="1" s="1"/>
  <c r="L407" i="1"/>
  <c r="L408" i="1"/>
  <c r="L409" i="1"/>
  <c r="L410" i="1"/>
  <c r="F411" i="1"/>
  <c r="F426" i="1" s="1"/>
  <c r="G411" i="1"/>
  <c r="G426" i="1" s="1"/>
  <c r="H411" i="1"/>
  <c r="H426" i="1" s="1"/>
  <c r="I411" i="1"/>
  <c r="I426" i="1" s="1"/>
  <c r="J411" i="1"/>
  <c r="L413" i="1"/>
  <c r="L414" i="1"/>
  <c r="L419" i="1" s="1"/>
  <c r="L415" i="1"/>
  <c r="L416" i="1"/>
  <c r="L417" i="1"/>
  <c r="L418" i="1"/>
  <c r="F419" i="1"/>
  <c r="G419" i="1"/>
  <c r="H419" i="1"/>
  <c r="I419" i="1"/>
  <c r="J419" i="1"/>
  <c r="L421" i="1"/>
  <c r="L422" i="1"/>
  <c r="L425" i="1" s="1"/>
  <c r="L423" i="1"/>
  <c r="L424" i="1"/>
  <c r="F425" i="1"/>
  <c r="G425" i="1"/>
  <c r="H425" i="1"/>
  <c r="I425" i="1"/>
  <c r="J425" i="1"/>
  <c r="J426" i="1"/>
  <c r="F438" i="1"/>
  <c r="G438" i="1"/>
  <c r="G630" i="1" s="1"/>
  <c r="H438" i="1"/>
  <c r="G631" i="1" s="1"/>
  <c r="J631" i="1" s="1"/>
  <c r="F444" i="1"/>
  <c r="F451" i="1" s="1"/>
  <c r="H629" i="1" s="1"/>
  <c r="G444" i="1"/>
  <c r="G451" i="1" s="1"/>
  <c r="H630" i="1" s="1"/>
  <c r="H444" i="1"/>
  <c r="F450" i="1"/>
  <c r="G450" i="1"/>
  <c r="H450" i="1"/>
  <c r="I450" i="1"/>
  <c r="H451" i="1"/>
  <c r="H631" i="1" s="1"/>
  <c r="F460" i="1"/>
  <c r="F466" i="1" s="1"/>
  <c r="H612" i="1" s="1"/>
  <c r="G460" i="1"/>
  <c r="H460" i="1"/>
  <c r="H466" i="1" s="1"/>
  <c r="H614" i="1" s="1"/>
  <c r="I460" i="1"/>
  <c r="J460" i="1"/>
  <c r="F464" i="1"/>
  <c r="G464" i="1"/>
  <c r="G466" i="1"/>
  <c r="H613" i="1" s="1"/>
  <c r="H464" i="1"/>
  <c r="I464" i="1"/>
  <c r="I466" i="1"/>
  <c r="H615" i="1" s="1"/>
  <c r="J464" i="1"/>
  <c r="J466" i="1"/>
  <c r="H616" i="1" s="1"/>
  <c r="K485" i="1"/>
  <c r="K486" i="1"/>
  <c r="K487" i="1"/>
  <c r="K488" i="1"/>
  <c r="K489" i="1"/>
  <c r="K491" i="1"/>
  <c r="K492" i="1"/>
  <c r="F507" i="1"/>
  <c r="G507" i="1"/>
  <c r="H507" i="1"/>
  <c r="I507" i="1"/>
  <c r="F514" i="1"/>
  <c r="F524" i="1"/>
  <c r="F519" i="1"/>
  <c r="F535" i="1" s="1"/>
  <c r="G514" i="1"/>
  <c r="G535" i="1" s="1"/>
  <c r="H534" i="1"/>
  <c r="H529" i="1"/>
  <c r="I514" i="1"/>
  <c r="I535" i="1" s="1"/>
  <c r="J514" i="1"/>
  <c r="K514" i="1"/>
  <c r="K535" i="1" s="1"/>
  <c r="L534" i="1"/>
  <c r="L529" i="1"/>
  <c r="I519" i="1"/>
  <c r="K519" i="1"/>
  <c r="G524" i="1"/>
  <c r="H524" i="1"/>
  <c r="I524" i="1"/>
  <c r="J524" i="1"/>
  <c r="K524" i="1"/>
  <c r="F529" i="1"/>
  <c r="G529" i="1"/>
  <c r="I529" i="1"/>
  <c r="J529" i="1"/>
  <c r="K529" i="1"/>
  <c r="F534" i="1"/>
  <c r="G534" i="1"/>
  <c r="I534" i="1"/>
  <c r="J534" i="1"/>
  <c r="K534" i="1"/>
  <c r="L547" i="1"/>
  <c r="L550" i="1" s="1"/>
  <c r="L561" i="1" s="1"/>
  <c r="L548" i="1"/>
  <c r="L549" i="1"/>
  <c r="F550" i="1"/>
  <c r="F561" i="1" s="1"/>
  <c r="G550" i="1"/>
  <c r="G555" i="1"/>
  <c r="G560" i="1"/>
  <c r="G561" i="1"/>
  <c r="H550" i="1"/>
  <c r="I550" i="1"/>
  <c r="I561" i="1" s="1"/>
  <c r="I555" i="1"/>
  <c r="I560" i="1"/>
  <c r="J550" i="1"/>
  <c r="K550" i="1"/>
  <c r="K560" i="1"/>
  <c r="K561" i="1" s="1"/>
  <c r="L552" i="1"/>
  <c r="L553" i="1"/>
  <c r="L555" i="1"/>
  <c r="L554" i="1"/>
  <c r="F555" i="1"/>
  <c r="H555" i="1"/>
  <c r="J555" i="1"/>
  <c r="K555" i="1"/>
  <c r="L557" i="1"/>
  <c r="L558" i="1"/>
  <c r="L560" i="1"/>
  <c r="L559" i="1"/>
  <c r="F560" i="1"/>
  <c r="H560" i="1"/>
  <c r="J560" i="1"/>
  <c r="J561" i="1" s="1"/>
  <c r="H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4" i="1"/>
  <c r="K588" i="1" s="1"/>
  <c r="G637" i="1" s="1"/>
  <c r="K585" i="1"/>
  <c r="K586" i="1"/>
  <c r="K587" i="1"/>
  <c r="H588" i="1"/>
  <c r="H639" i="1" s="1"/>
  <c r="I588" i="1"/>
  <c r="J588" i="1"/>
  <c r="H641" i="1" s="1"/>
  <c r="J641" i="1" s="1"/>
  <c r="K592" i="1"/>
  <c r="K593" i="1"/>
  <c r="H595" i="1"/>
  <c r="J595" i="1"/>
  <c r="F604" i="1"/>
  <c r="G604" i="1"/>
  <c r="H604" i="1"/>
  <c r="I604" i="1"/>
  <c r="J604" i="1"/>
  <c r="K604" i="1"/>
  <c r="L604" i="1"/>
  <c r="G610" i="1"/>
  <c r="H617" i="1"/>
  <c r="H619" i="1"/>
  <c r="H620" i="1"/>
  <c r="H621" i="1"/>
  <c r="H623" i="1"/>
  <c r="H625" i="1"/>
  <c r="H626" i="1"/>
  <c r="H627" i="1"/>
  <c r="H628" i="1"/>
  <c r="G629" i="1"/>
  <c r="J629" i="1" s="1"/>
  <c r="G633" i="1"/>
  <c r="G634" i="1"/>
  <c r="G635" i="1"/>
  <c r="G640" i="1"/>
  <c r="H640" i="1"/>
  <c r="J640" i="1" s="1"/>
  <c r="G641" i="1"/>
  <c r="G642" i="1"/>
  <c r="J642" i="1"/>
  <c r="H642" i="1"/>
  <c r="G643" i="1"/>
  <c r="J643" i="1" s="1"/>
  <c r="H643" i="1"/>
  <c r="G644" i="1"/>
  <c r="H644" i="1"/>
  <c r="J644" i="1" s="1"/>
  <c r="G645" i="1"/>
  <c r="H645" i="1"/>
  <c r="J645" i="1"/>
  <c r="F32" i="2"/>
  <c r="D32" i="2"/>
  <c r="D95" i="2"/>
  <c r="E83" i="2"/>
  <c r="C62" i="2"/>
  <c r="C116" i="2" l="1"/>
  <c r="C21" i="10"/>
  <c r="D15" i="13"/>
  <c r="C15" i="13" s="1"/>
  <c r="H637" i="1"/>
  <c r="J637" i="1" s="1"/>
  <c r="G639" i="1"/>
  <c r="J639" i="1" s="1"/>
  <c r="F652" i="1"/>
  <c r="I652" i="1" s="1"/>
  <c r="J630" i="1"/>
  <c r="H638" i="1"/>
  <c r="J263" i="1"/>
  <c r="J608" i="1"/>
  <c r="E120" i="2"/>
  <c r="C130" i="2"/>
  <c r="C133" i="2" s="1"/>
  <c r="L400" i="1"/>
  <c r="D5" i="13"/>
  <c r="E43" i="2"/>
  <c r="G9" i="2"/>
  <c r="G19" i="2" s="1"/>
  <c r="J19" i="1"/>
  <c r="G611" i="1" s="1"/>
  <c r="G42" i="2"/>
  <c r="G43" i="2" s="1"/>
  <c r="E32" i="2"/>
  <c r="I653" i="1"/>
  <c r="C36" i="10"/>
  <c r="C49" i="2"/>
  <c r="C54" i="2" s="1"/>
  <c r="C55" i="2" s="1"/>
  <c r="C96" i="2" s="1"/>
  <c r="F104" i="1"/>
  <c r="F185" i="1" s="1"/>
  <c r="G617" i="1" s="1"/>
  <c r="J617" i="1" s="1"/>
  <c r="C110" i="2"/>
  <c r="D6" i="13"/>
  <c r="C6" i="13" s="1"/>
  <c r="C15" i="10"/>
  <c r="C43" i="2"/>
  <c r="H185" i="1"/>
  <c r="G619" i="1" s="1"/>
  <c r="J619" i="1" s="1"/>
  <c r="L514" i="1"/>
  <c r="F539" i="1"/>
  <c r="K595" i="1"/>
  <c r="G638" i="1" s="1"/>
  <c r="J615" i="1"/>
  <c r="F96" i="2"/>
  <c r="C13" i="10"/>
  <c r="C104" i="2"/>
  <c r="L329" i="1"/>
  <c r="H44" i="1"/>
  <c r="H609" i="1" s="1"/>
  <c r="E96" i="2"/>
  <c r="J33" i="1"/>
  <c r="G22" i="2"/>
  <c r="G32" i="2" s="1"/>
  <c r="A22" i="12"/>
  <c r="H249" i="1"/>
  <c r="H263" i="1" s="1"/>
  <c r="D12" i="13"/>
  <c r="C12" i="13" s="1"/>
  <c r="C18" i="10"/>
  <c r="C153" i="2"/>
  <c r="G153" i="2" s="1"/>
  <c r="J633" i="1"/>
  <c r="D7" i="13"/>
  <c r="C7" i="13" s="1"/>
  <c r="C111" i="2"/>
  <c r="C16" i="10"/>
  <c r="E107" i="2"/>
  <c r="C10" i="10"/>
  <c r="L203" i="1"/>
  <c r="C101" i="2"/>
  <c r="C20" i="10"/>
  <c r="D14" i="13"/>
  <c r="C14" i="13" s="1"/>
  <c r="C115" i="2"/>
  <c r="E16" i="13"/>
  <c r="C16" i="13" s="1"/>
  <c r="C117" i="2"/>
  <c r="C17" i="10"/>
  <c r="G156" i="2"/>
  <c r="C39" i="10"/>
  <c r="G55" i="2"/>
  <c r="G96" i="2" s="1"/>
  <c r="F33" i="13"/>
  <c r="C22" i="13"/>
  <c r="C11" i="10"/>
  <c r="C102" i="2"/>
  <c r="F44" i="1"/>
  <c r="H607" i="1" s="1"/>
  <c r="J607" i="1" s="1"/>
  <c r="G612" i="1"/>
  <c r="J612" i="1" s="1"/>
  <c r="E19" i="2"/>
  <c r="G621" i="1"/>
  <c r="J621" i="1" s="1"/>
  <c r="G636" i="1"/>
  <c r="C38" i="10"/>
  <c r="L221" i="1"/>
  <c r="G650" i="1" s="1"/>
  <c r="H33" i="1"/>
  <c r="C114" i="2"/>
  <c r="C106" i="2"/>
  <c r="D48" i="2"/>
  <c r="D55" i="2" s="1"/>
  <c r="D96" i="2" s="1"/>
  <c r="L253" i="1"/>
  <c r="J43" i="1"/>
  <c r="G614" i="1"/>
  <c r="J614" i="1" s="1"/>
  <c r="K594" i="1"/>
  <c r="H329" i="1"/>
  <c r="H330" i="1" s="1"/>
  <c r="H344" i="1" s="1"/>
  <c r="C105" i="2"/>
  <c r="G104" i="1"/>
  <c r="G185" i="1" s="1"/>
  <c r="G618" i="1" s="1"/>
  <c r="J618" i="1" s="1"/>
  <c r="C10" i="13"/>
  <c r="E8" i="13"/>
  <c r="L519" i="1"/>
  <c r="K493" i="1"/>
  <c r="G203" i="1"/>
  <c r="G249" i="1" s="1"/>
  <c r="G263" i="1" s="1"/>
  <c r="L524" i="1"/>
  <c r="I444" i="1"/>
  <c r="I451" i="1" s="1"/>
  <c r="H632" i="1" s="1"/>
  <c r="F203" i="1"/>
  <c r="F249" i="1" s="1"/>
  <c r="F263" i="1" s="1"/>
  <c r="C103" i="2"/>
  <c r="C24" i="10"/>
  <c r="E13" i="13"/>
  <c r="C13" i="13" s="1"/>
  <c r="H514" i="1"/>
  <c r="H535" i="1" s="1"/>
  <c r="H19" i="1"/>
  <c r="G609" i="1" s="1"/>
  <c r="L282" i="1"/>
  <c r="I438" i="1"/>
  <c r="G632" i="1" s="1"/>
  <c r="L374" i="1"/>
  <c r="G626" i="1" s="1"/>
  <c r="J626" i="1" s="1"/>
  <c r="F122" i="2"/>
  <c r="F136" i="2" s="1"/>
  <c r="F137" i="2" s="1"/>
  <c r="G613" i="1"/>
  <c r="J613" i="1" s="1"/>
  <c r="K330" i="1"/>
  <c r="K344" i="1" s="1"/>
  <c r="I44" i="1"/>
  <c r="H610" i="1" s="1"/>
  <c r="J610" i="1" s="1"/>
  <c r="L350" i="1"/>
  <c r="H490" i="1"/>
  <c r="D153" i="2" s="1"/>
  <c r="J632" i="1" l="1"/>
  <c r="D36" i="10"/>
  <c r="F542" i="1"/>
  <c r="K539" i="1"/>
  <c r="K542" i="1" s="1"/>
  <c r="E137" i="2"/>
  <c r="L535" i="1"/>
  <c r="J636" i="1"/>
  <c r="D39" i="10"/>
  <c r="J638" i="1"/>
  <c r="L354" i="1"/>
  <c r="H651" i="1"/>
  <c r="H654" i="1" s="1"/>
  <c r="D29" i="13"/>
  <c r="C29" i="13" s="1"/>
  <c r="F651" i="1"/>
  <c r="D119" i="2"/>
  <c r="D120" i="2" s="1"/>
  <c r="D137" i="2" s="1"/>
  <c r="G651" i="1"/>
  <c r="G654" i="1" s="1"/>
  <c r="G616" i="1"/>
  <c r="J616" i="1" s="1"/>
  <c r="J44" i="1"/>
  <c r="H611" i="1" s="1"/>
  <c r="J611" i="1" s="1"/>
  <c r="C124" i="2"/>
  <c r="C136" i="2" s="1"/>
  <c r="C25" i="10"/>
  <c r="H25" i="13"/>
  <c r="D31" i="13"/>
  <c r="C31" i="13" s="1"/>
  <c r="L330" i="1"/>
  <c r="L344" i="1" s="1"/>
  <c r="G623" i="1" s="1"/>
  <c r="J623" i="1" s="1"/>
  <c r="C107" i="2"/>
  <c r="C137" i="2" s="1"/>
  <c r="J609" i="1"/>
  <c r="L249" i="1"/>
  <c r="L263" i="1" s="1"/>
  <c r="G622" i="1" s="1"/>
  <c r="J622" i="1" s="1"/>
  <c r="F650" i="1"/>
  <c r="G627" i="1"/>
  <c r="J627" i="1" s="1"/>
  <c r="H636" i="1"/>
  <c r="C120" i="2"/>
  <c r="C8" i="13"/>
  <c r="E33" i="13"/>
  <c r="D35" i="13" s="1"/>
  <c r="K490" i="1"/>
  <c r="C5" i="13"/>
  <c r="D38" i="10"/>
  <c r="C41" i="10"/>
  <c r="G662" i="1" l="1"/>
  <c r="C5" i="10" s="1"/>
  <c r="G657" i="1"/>
  <c r="C25" i="13"/>
  <c r="H33" i="13"/>
  <c r="C27" i="10"/>
  <c r="G625" i="1"/>
  <c r="J625" i="1" s="1"/>
  <c r="I650" i="1"/>
  <c r="I654" i="1" s="1"/>
  <c r="F654" i="1"/>
  <c r="D33" i="13"/>
  <c r="D36" i="13" s="1"/>
  <c r="D40" i="10"/>
  <c r="D37" i="10"/>
  <c r="D35" i="10"/>
  <c r="I651" i="1"/>
  <c r="H662" i="1"/>
  <c r="H657" i="1"/>
  <c r="F662" i="1" l="1"/>
  <c r="C4" i="10" s="1"/>
  <c r="F657" i="1"/>
  <c r="H646" i="1"/>
  <c r="I662" i="1"/>
  <c r="C7" i="10" s="1"/>
  <c r="I657" i="1"/>
  <c r="C28" i="10"/>
  <c r="D41" i="10"/>
  <c r="C30" i="10" l="1"/>
  <c r="D22" i="10"/>
  <c r="D23" i="10"/>
  <c r="D19" i="10"/>
  <c r="D12" i="10"/>
  <c r="D26" i="10"/>
  <c r="D15" i="10"/>
  <c r="D10" i="10"/>
  <c r="D17" i="10"/>
  <c r="D20" i="10"/>
  <c r="D21" i="10"/>
  <c r="D24" i="10"/>
  <c r="D11" i="10"/>
  <c r="D13" i="10"/>
  <c r="D16" i="10"/>
  <c r="D18" i="10"/>
  <c r="D25" i="10"/>
  <c r="D27" i="10"/>
  <c r="D28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891EC9DA-6F4D-42A5-BDF7-B081C9224687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1276C8B2-C842-4D7D-BF19-75F0970B714F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1F508E1A-4545-472F-A588-4FE3DE80019E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23EBA2B0-921B-48D1-B7A9-EFC9AA8F416E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24104EEC-29DA-4AF4-B13D-EB2D9869E23D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5FDE4207-19D3-4CD1-99A2-440868215313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13AC4879-F4A3-461C-B0B7-360836A9F9B4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D0CD4841-EA5A-47CB-B4E8-C209CACD0E68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682F0C84-6ACA-49C6-A8DA-A7E94719A121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221AB934-70F1-4802-A2EA-44A8F0D76D76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9BE312D4-8F36-49CC-A785-95A1FAB6EF88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6E57B7CE-73EA-4827-825E-F0581FBF8F6A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<sst xmlns="http://schemas.openxmlformats.org/spreadsheetml/2006/main" count="3868" uniqueCount="903">
  <si>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</si>
  <si>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</si>
  <si>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</si>
  <si>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</si>
  <si>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</si>
  <si>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</si>
  <si>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</si>
  <si>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</si>
  <si>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</si>
  <si>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</si>
  <si>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</si>
  <si>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</si>
  <si>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</si>
  <si>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</si>
  <si>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</si>
  <si>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</si>
  <si>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</si>
  <si>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</si>
  <si>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</si>
  <si>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</si>
  <si>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</si>
  <si>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</si>
  <si>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</si>
  <si>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</si>
  <si>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</si>
  <si>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</si>
  <si>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</si>
  <si>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</si>
  <si>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</si>
  <si>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</si>
  <si>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</si>
  <si>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</si>
  <si>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</si>
  <si>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</si>
  <si>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</si>
  <si>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</si>
  <si>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</si>
  <si>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</si>
  <si>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</si>
  <si>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</si>
  <si>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</si>
  <si>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</si>
  <si>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</si>
  <si>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</si>
  <si>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</si>
  <si>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</si>
  <si>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</si>
  <si>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</si>
  <si>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</si>
  <si>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</si>
  <si>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</si>
  <si>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</si>
  <si>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</si>
  <si>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</si>
  <si>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</si>
  <si>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</si>
  <si>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</si>
  <si>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</si>
  <si>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</si>
  <si>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</si>
  <si>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</si>
  <si>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</si>
  <si>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</si>
  <si>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</si>
  <si>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</si>
  <si>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</si>
  <si>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</si>
  <si>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</si>
  <si>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</si>
  <si>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</si>
  <si>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</si>
  <si>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</si>
  <si>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</si>
  <si>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</si>
  <si>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</si>
  <si>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</si>
  <si>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</si>
  <si>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</si>
  <si>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</si>
  <si>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</si>
  <si>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</si>
  <si>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</si>
  <si>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</si>
  <si>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</si>
  <si>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</si>
  <si>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</si>
  <si>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</si>
  <si>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</si>
  <si>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</si>
  <si>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</si>
  <si>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</si>
  <si>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</si>
  <si>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</si>
  <si>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</si>
  <si>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</si>
  <si>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</si>
  <si>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</si>
  <si>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</si>
  <si>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</si>
  <si>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</si>
  <si>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</si>
  <si>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</si>
  <si>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</si>
  <si>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</si>
  <si>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</si>
  <si>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</si>
  <si>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</si>
  <si>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</si>
  <si>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</si>
  <si>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</si>
  <si>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</si>
  <si>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</si>
  <si>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</si>
  <si>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</si>
  <si>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</si>
  <si>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</si>
  <si>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</si>
  <si>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</si>
  <si>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</si>
  <si>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</si>
  <si>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</si>
  <si>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</si>
  <si>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</si>
  <si>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</si>
  <si>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</si>
  <si>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</si>
  <si>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</si>
  <si>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</si>
  <si>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</si>
  <si>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</si>
  <si>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</si>
  <si>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</si>
  <si>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</si>
  <si>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</si>
  <si>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</si>
  <si>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</si>
  <si>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</si>
  <si>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</si>
  <si>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</si>
  <si>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</si>
  <si>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</si>
  <si>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</si>
  <si>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</si>
  <si>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</si>
  <si>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</si>
  <si>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</si>
  <si>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</si>
  <si>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</si>
  <si>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</si>
  <si>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</si>
  <si>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</si>
  <si>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</si>
  <si>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</si>
  <si>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</si>
  <si>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</si>
  <si>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</si>
  <si>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</si>
  <si>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</si>
  <si>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</si>
  <si>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</si>
  <si>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</si>
  <si>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</si>
  <si>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</si>
  <si>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</si>
  <si>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</si>
  <si>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</si>
  <si>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</si>
  <si>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</si>
  <si>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</si>
  <si>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</si>
  <si>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</si>
  <si>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</si>
  <si>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</si>
  <si>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</si>
  <si>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</si>
  <si>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</si>
  <si>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</si>
  <si>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</si>
  <si>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</si>
  <si>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</si>
  <si>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</si>
  <si>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</si>
  <si>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</si>
  <si>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</si>
  <si>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</si>
  <si>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</si>
  <si>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</si>
  <si>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</si>
  <si>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</si>
  <si>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</si>
  <si>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</si>
  <si>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</si>
  <si>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</si>
  <si>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</si>
  <si>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</si>
  <si>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</si>
  <si>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</si>
  <si>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</si>
  <si>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</si>
  <si>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</si>
  <si>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</si>
  <si>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</si>
  <si>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</si>
  <si>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</si>
  <si>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</si>
  <si>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</si>
  <si>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</si>
  <si>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</si>
  <si>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</si>
  <si>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</si>
  <si>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</si>
  <si>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</si>
  <si>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</si>
  <si>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</si>
  <si>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</si>
  <si>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</si>
  <si>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</si>
  <si>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</si>
  <si>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</si>
  <si>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</si>
  <si>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</si>
  <si>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</si>
  <si>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</si>
  <si>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</si>
  <si>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</si>
  <si>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</si>
  <si>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</si>
  <si>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</si>
  <si>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</si>
  <si>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</si>
  <si>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</si>
  <si>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</si>
  <si>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</si>
  <si>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</si>
  <si>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</si>
  <si>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</si>
  <si>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</si>
  <si>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</si>
  <si>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</si>
  <si>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</si>
  <si>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</si>
  <si>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</si>
  <si>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</si>
  <si>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</si>
  <si>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</si>
  <si>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</si>
  <si>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</si>
  <si>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</si>
  <si>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</si>
  <si>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</si>
  <si>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</si>
  <si>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</si>
  <si>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</si>
  <si>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</si>
  <si>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</si>
  <si>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</si>
  <si>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</si>
  <si>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</si>
  <si>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</si>
  <si>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</si>
  <si>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</si>
  <si>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</si>
  <si>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</si>
  <si>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</si>
  <si>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</si>
  <si>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</si>
  <si>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</si>
  <si>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</si>
  <si>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</si>
  <si>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</si>
  <si>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</si>
  <si>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</si>
  <si>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</si>
  <si>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</si>
  <si>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</si>
  <si>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</si>
  <si>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</si>
  <si>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</si>
  <si>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</si>
  <si>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</si>
  <si>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</si>
  <si>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</si>
  <si>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</si>
  <si>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</si>
  <si>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</si>
  <si>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</si>
  <si>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</si>
  <si>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</si>
  <si>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</si>
  <si>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</si>
  <si>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</si>
  <si>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</si>
  <si>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</si>
  <si>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</si>
  <si>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</si>
  <si>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</si>
  <si>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</si>
  <si>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</si>
  <si>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</si>
  <si>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</si>
  <si>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</si>
  <si>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</si>
  <si>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</si>
  <si>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</si>
  <si>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</si>
  <si>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</si>
  <si>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</si>
  <si>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</si>
  <si>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</si>
  <si>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</si>
  <si>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</si>
  <si>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</si>
  <si>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</si>
  <si>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</si>
  <si>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</si>
  <si>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</si>
  <si>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</si>
  <si>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</si>
  <si>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</si>
  <si>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</si>
  <si>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</si>
  <si>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</si>
  <si>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</si>
  <si>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</si>
  <si>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</si>
  <si>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</si>
  <si>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</si>
  <si>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</si>
  <si>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</si>
  <si>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</si>
  <si>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</si>
  <si>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</si>
  <si>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</si>
  <si>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</si>
  <si>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</si>
  <si>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</si>
  <si>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</si>
  <si>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</si>
  <si>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</si>
  <si>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</si>
  <si>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</si>
  <si>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</si>
  <si>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</si>
  <si>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</si>
  <si>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</si>
  <si>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</si>
  <si>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</si>
  <si>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</si>
  <si>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</si>
  <si>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</si>
  <si>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</si>
  <si>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</si>
  <si>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</si>
  <si>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</si>
  <si>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</si>
  <si>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</si>
  <si>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</si>
  <si>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</si>
  <si>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</si>
  <si>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</si>
  <si>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</si>
  <si>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</si>
  <si>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</si>
  <si>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</si>
  <si>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</si>
  <si>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</si>
  <si>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</si>
  <si>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</si>
  <si>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</si>
  <si>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</si>
  <si>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</si>
  <si>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</si>
  <si>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</si>
  <si>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</si>
  <si>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</si>
  <si>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</si>
  <si>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</si>
  <si>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</si>
  <si>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</si>
  <si>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</si>
  <si>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</si>
  <si>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</si>
  <si>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</si>
  <si>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</si>
  <si>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</si>
  <si>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</si>
  <si>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</si>
  <si>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</si>
  <si>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</si>
  <si>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</si>
  <si>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</si>
  <si>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</si>
  <si>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</si>
  <si>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</si>
  <si>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</si>
  <si>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</si>
  <si>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</si>
  <si>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</si>
  <si>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</si>
  <si>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</si>
  <si>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</si>
  <si>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</si>
  <si>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</si>
  <si>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</si>
  <si>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</si>
  <si>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</si>
  <si>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</si>
  <si>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</si>
  <si>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</si>
  <si>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</si>
  <si>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</si>
  <si>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</si>
  <si>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</si>
  <si>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</si>
  <si>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</si>
  <si>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</si>
  <si>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</si>
  <si>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</si>
  <si>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</si>
  <si>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</si>
  <si>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</si>
  <si>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</si>
  <si>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</si>
  <si>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</si>
  <si>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</si>
  <si>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</si>
  <si>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</si>
  <si>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</si>
  <si>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</si>
  <si>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</si>
  <si>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</si>
  <si>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</si>
  <si>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</si>
  <si>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</si>
  <si>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</si>
  <si>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</si>
  <si>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</si>
  <si>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</si>
  <si>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</si>
  <si>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</si>
  <si>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</si>
  <si>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</si>
  <si>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</si>
  <si>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</si>
  <si>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</si>
  <si>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</si>
  <si>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</si>
  <si>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</si>
  <si>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</si>
  <si>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</si>
  <si>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</si>
  <si>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</si>
  <si>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</si>
  <si>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</si>
  <si>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</si>
  <si>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</si>
  <si>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</si>
  <si>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</si>
  <si>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</si>
  <si>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</si>
  <si>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</si>
  <si>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</si>
  <si>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</si>
  <si>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</si>
  <si>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</si>
  <si>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</si>
  <si>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</si>
  <si>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</si>
  <si>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</si>
  <si>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</si>
  <si>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</si>
  <si>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</si>
  <si>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</si>
  <si>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</si>
  <si>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</si>
  <si>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</si>
  <si>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</si>
  <si>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</si>
  <si>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</si>
  <si>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</si>
  <si>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</si>
  <si>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</si>
  <si>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</si>
  <si>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</si>
  <si>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</si>
  <si>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</si>
  <si>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</si>
  <si>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</si>
  <si>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</si>
  <si>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</si>
  <si>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</si>
  <si>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</si>
  <si>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</si>
  <si>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</si>
  <si>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</si>
  <si>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</si>
  <si>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</si>
  <si>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</si>
  <si>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</si>
  <si>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</si>
  <si>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</si>
  <si>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</si>
  <si>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</si>
  <si>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</si>
  <si>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</si>
  <si>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</si>
  <si>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</si>
  <si>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</si>
  <si>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</si>
  <si>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</si>
  <si>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</si>
  <si>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</si>
  <si>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</si>
  <si>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</si>
  <si>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</si>
  <si>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</si>
  <si>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</si>
  <si>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</si>
  <si>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</si>
  <si>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</si>
  <si>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</si>
  <si>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</si>
  <si>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</si>
  <si>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</si>
  <si>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</si>
  <si>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</si>
  <si>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</si>
  <si>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</si>
  <si>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</si>
  <si>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</si>
  <si>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</si>
  <si>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</si>
  <si>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</si>
  <si>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</si>
  <si>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</si>
  <si>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</si>
  <si>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</si>
  <si>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</si>
  <si>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</si>
  <si>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</si>
  <si>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</si>
  <si>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</si>
  <si>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</si>
  <si>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</si>
  <si>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</si>
  <si>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</si>
  <si>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</si>
  <si>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</si>
  <si>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</si>
  <si>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</si>
  <si>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</si>
  <si>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</si>
  <si>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</si>
  <si>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</si>
  <si>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</si>
  <si>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</si>
  <si>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</si>
  <si>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</si>
  <si>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</si>
  <si>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</si>
  <si>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</si>
  <si>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</si>
  <si>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</si>
  <si>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</si>
  <si>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</si>
  <si>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</si>
  <si>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</si>
  <si>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</si>
  <si>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</si>
  <si>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</si>
  <si>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</si>
  <si>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</si>
  <si>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</si>
  <si>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</si>
  <si>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</si>
  <si>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</si>
  <si>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</si>
  <si>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</si>
  <si>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</si>
  <si>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</si>
  <si>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</si>
  <si>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</si>
  <si>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</si>
  <si>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</si>
  <si>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</si>
  <si>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</si>
  <si>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</si>
  <si>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</si>
  <si>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</si>
  <si>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</si>
  <si>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</si>
  <si>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</si>
  <si>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</si>
  <si>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</si>
  <si>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</si>
  <si>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</si>
  <si>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</si>
  <si>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</si>
  <si>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</si>
  <si>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</si>
  <si>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</si>
  <si>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</si>
  <si>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</si>
  <si>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</si>
  <si>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</si>
  <si>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</si>
  <si>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</si>
  <si>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</si>
  <si>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</si>
  <si>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</si>
  <si>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</si>
  <si>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</si>
  <si>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</si>
  <si>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</si>
  <si>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</si>
  <si>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</si>
  <si>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</si>
  <si>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</si>
  <si>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</si>
  <si>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</si>
  <si>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</si>
  <si>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</si>
  <si>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</si>
  <si>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</si>
  <si>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</si>
  <si>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</si>
  <si>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</si>
  <si>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</si>
  <si>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</si>
  <si>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</si>
  <si>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</si>
  <si>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</si>
  <si>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</si>
  <si>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</si>
  <si>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</si>
  <si>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</si>
  <si>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</si>
  <si>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</si>
  <si>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</si>
  <si>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</si>
  <si>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</si>
  <si>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</si>
  <si>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</si>
  <si>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</si>
  <si>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</si>
  <si>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</si>
  <si>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</si>
  <si>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</si>
  <si>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</si>
  <si>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</si>
  <si>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</si>
  <si>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</si>
  <si>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</si>
  <si>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</si>
  <si>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</si>
  <si>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</si>
  <si>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</si>
  <si>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</si>
  <si>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</si>
  <si>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</si>
  <si>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</si>
  <si>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</si>
  <si>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</si>
  <si>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</si>
  <si>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</si>
  <si>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</si>
  <si>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</si>
  <si>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</si>
  <si>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</si>
  <si>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</si>
  <si>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</si>
  <si>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</si>
  <si>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</si>
  <si>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</si>
  <si>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</si>
  <si>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</si>
  <si>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</si>
  <si>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</si>
  <si>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</si>
  <si>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</si>
  <si>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</si>
  <si>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</si>
  <si>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</si>
  <si>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</si>
  <si>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</si>
  <si>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</si>
  <si>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</si>
  <si>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</si>
  <si>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</si>
  <si>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</si>
  <si>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</si>
  <si>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</si>
  <si>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</si>
  <si>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</si>
  <si>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</si>
  <si>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</si>
  <si>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</si>
  <si>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</si>
  <si>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</si>
  <si>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</si>
  <si>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</si>
  <si>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</si>
  <si>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</si>
  <si>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</si>
  <si>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</si>
  <si>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</si>
  <si>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</si>
  <si>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</si>
  <si>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</si>
  <si>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</si>
  <si>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</si>
  <si>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</si>
  <si>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</si>
  <si>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</si>
  <si>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</si>
  <si>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</si>
  <si>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</si>
  <si>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</si>
  <si>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</si>
  <si>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</si>
  <si>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</si>
  <si>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</si>
  <si>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</si>
  <si>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</si>
  <si>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</si>
  <si>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</si>
  <si>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</si>
  <si>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</si>
  <si>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</si>
  <si>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</si>
  <si>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</si>
  <si>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</si>
  <si>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</si>
  <si>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</si>
  <si>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</si>
  <si>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</si>
  <si>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</si>
  <si>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</si>
  <si>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</si>
  <si>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</si>
  <si>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</si>
  <si>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</si>
  <si>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</si>
  <si>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</si>
  <si>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</si>
  <si>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</si>
  <si>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</si>
  <si>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</si>
  <si>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</si>
  <si>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</si>
  <si>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</si>
  <si>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</si>
  <si>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</si>
  <si>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</si>
  <si>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</si>
  <si>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</si>
  <si>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</si>
  <si>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</si>
  <si>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</si>
  <si>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</si>
  <si>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</si>
  <si>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</si>
  <si>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</si>
  <si>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</si>
  <si>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</si>
  <si>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</si>
  <si>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</si>
  <si>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</si>
  <si>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</si>
  <si>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</si>
  <si>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</si>
  <si>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</si>
  <si>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</si>
  <si>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</si>
  <si>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</si>
  <si>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</si>
  <si>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</si>
  <si>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</si>
  <si>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</si>
  <si>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</si>
  <si>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</si>
  <si>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</si>
  <si>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</si>
  <si>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</si>
  <si>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</si>
  <si>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</si>
  <si>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</si>
  <si>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</si>
  <si>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</si>
  <si>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</si>
  <si>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</si>
  <si>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</si>
  <si>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</si>
  <si>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</si>
  <si>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</si>
  <si>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</si>
  <si>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</si>
  <si>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</si>
  <si>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</si>
  <si>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</si>
  <si>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</si>
  <si>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</si>
  <si>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</si>
  <si>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</si>
  <si>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</si>
  <si>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</si>
  <si>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</si>
  <si>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</si>
  <si>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</si>
  <si>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</si>
  <si>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</si>
  <si>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</si>
  <si>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</si>
  <si>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</si>
  <si>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</si>
  <si>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</si>
  <si>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</si>
  <si>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</si>
  <si>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</si>
  <si>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</si>
  <si>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</si>
  <si>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</si>
  <si>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</si>
  <si>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</si>
  <si>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</si>
  <si>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</si>
  <si>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</si>
  <si>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</si>
  <si>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</si>
  <si>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</si>
  <si>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</si>
  <si>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</si>
  <si>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</si>
  <si>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</si>
  <si>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</si>
  <si>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</si>
  <si>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</si>
  <si>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</si>
  <si>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</si>
  <si>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</si>
  <si>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</si>
  <si>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</si>
  <si>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</si>
  <si>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</si>
  <si>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</si>
  <si>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</si>
  <si>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</si>
  <si>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</si>
  <si>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</si>
  <si>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</si>
  <si>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</si>
  <si>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</si>
  <si>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</si>
  <si>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</si>
  <si>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</si>
  <si>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</si>
  <si>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</si>
  <si>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</si>
  <si>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</si>
  <si>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</si>
  <si>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</si>
  <si>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</si>
  <si>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</si>
  <si>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</si>
  <si>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</si>
  <si>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</si>
  <si>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</si>
  <si>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</si>
  <si>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</si>
  <si>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</si>
  <si>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</si>
  <si>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</si>
  <si>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</si>
  <si>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</si>
  <si>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</si>
  <si>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</si>
  <si>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</si>
  <si>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</si>
  <si>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</si>
  <si>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</si>
  <si>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</si>
  <si>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</si>
  <si>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</si>
  <si>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</si>
  <si>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</si>
  <si>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</si>
  <si>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</si>
  <si>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</si>
  <si>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</si>
  <si>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</si>
  <si>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</si>
  <si>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</si>
  <si>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</si>
  <si>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</si>
  <si>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DERRY COOPERATIVE SCHOOL DISTRICT</t>
  </si>
  <si>
    <t>02/94</t>
  </si>
  <si>
    <t>06/14</t>
  </si>
  <si>
    <t>06/00</t>
  </si>
  <si>
    <t>06/20</t>
  </si>
  <si>
    <t>07/03</t>
  </si>
  <si>
    <t>07/23</t>
  </si>
  <si>
    <t>01/11</t>
  </si>
  <si>
    <t>7/19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</si>
</sst>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8A13A-624D-4603-9790-0D1439A9FC4F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I655" sqref="I65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131</v>
      </c>
      <c r="C2" s="21">
        <v>0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f>-546201.17+5124333.51+200</f>
        <v>4578332.34</v>
      </c>
      <c r="G9" s="18">
        <v>925</v>
      </c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761207.65</v>
      </c>
      <c r="G12" s="18">
        <v>115849.59</v>
      </c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87475.97</v>
      </c>
      <c r="G13" s="18">
        <v>96484.03</v>
      </c>
      <c r="H13" s="18">
        <f>565727.56+284820.18</f>
        <v>850547.74</v>
      </c>
      <c r="I13" s="18"/>
      <c r="J13" s="67">
        <f>SUM(I434)</f>
        <v>359348.71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f>21043.24-1</f>
        <v>21042.240000000002</v>
      </c>
      <c r="G14" s="18">
        <v>1040.1300000000001</v>
      </c>
      <c r="H14" s="18">
        <v>10008.91</v>
      </c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>
        <v>106660.21</v>
      </c>
      <c r="G16" s="18">
        <v>44716.92</v>
      </c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5554718.4100000001</v>
      </c>
      <c r="G19" s="41">
        <f>SUM(G9:G18)</f>
        <v>259015.66999999998</v>
      </c>
      <c r="H19" s="41">
        <f>SUM(H9:H18)</f>
        <v>860556.65</v>
      </c>
      <c r="I19" s="41">
        <f>SUM(I9:I18)</f>
        <v>0</v>
      </c>
      <c r="J19" s="41">
        <f>SUM(J9:J18)</f>
        <v>359348.71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46413.54</v>
      </c>
      <c r="G23" s="18"/>
      <c r="H23" s="18">
        <f>2133.02+552255.5+276255.18</f>
        <v>830643.7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178631.66</v>
      </c>
      <c r="G25" s="18">
        <v>2256.64</v>
      </c>
      <c r="H25" s="18">
        <f>567.55+12696.55+8565</f>
        <v>21829.1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504175.68</v>
      </c>
      <c r="G29" s="18">
        <v>3975.27</v>
      </c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27750</v>
      </c>
      <c r="G31" s="18">
        <v>25285.200000000001</v>
      </c>
      <c r="H31" s="18">
        <v>775.51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756970.88</v>
      </c>
      <c r="G33" s="41">
        <f>SUM(G23:G32)</f>
        <v>31517.11</v>
      </c>
      <c r="H33" s="41">
        <f>SUM(H23:H32)</f>
        <v>853248.30999999994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>
        <v>106660.21</v>
      </c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715166.12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227498.56</v>
      </c>
      <c r="H41" s="18">
        <v>7308.34</v>
      </c>
      <c r="I41" s="18"/>
      <c r="J41" s="13">
        <f>SUM(I449)</f>
        <v>359348.71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f>3300501.71+675420.49-1</f>
        <v>3975921.2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4797747.53</v>
      </c>
      <c r="G43" s="41">
        <f>SUM(G35:G42)</f>
        <v>227498.56</v>
      </c>
      <c r="H43" s="41">
        <f>SUM(H35:H42)</f>
        <v>7308.34</v>
      </c>
      <c r="I43" s="41">
        <f>SUM(I35:I42)</f>
        <v>0</v>
      </c>
      <c r="J43" s="41">
        <f>SUM(J35:J42)</f>
        <v>359348.71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5554718.4100000001</v>
      </c>
      <c r="G44" s="41">
        <f>G43+G33</f>
        <v>259015.66999999998</v>
      </c>
      <c r="H44" s="41">
        <f>H43+H33</f>
        <v>860556.64999999991</v>
      </c>
      <c r="I44" s="41">
        <f>I43+I33</f>
        <v>0</v>
      </c>
      <c r="J44" s="41">
        <f>J43+J33</f>
        <v>359348.71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38494007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38494007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95640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>
        <f>454.3+13624.17</f>
        <v>14078.47</v>
      </c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>
        <f>88572.32+2360</f>
        <v>90932.32</v>
      </c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>
        <v>21102.89</v>
      </c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221753.68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12356.76</v>
      </c>
      <c r="G88" s="18"/>
      <c r="H88" s="18"/>
      <c r="I88" s="18"/>
      <c r="J88" s="18">
        <v>2781.71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826051.36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102273.98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f>230246.91+20088.71</f>
        <v>250335.62</v>
      </c>
      <c r="G102" s="18"/>
      <c r="H102" s="18">
        <v>44013</v>
      </c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364966.36</v>
      </c>
      <c r="G103" s="41">
        <f>SUM(G88:G102)</f>
        <v>826051.36</v>
      </c>
      <c r="H103" s="41">
        <f>SUM(H88:H102)</f>
        <v>44013</v>
      </c>
      <c r="I103" s="41">
        <f>SUM(I88:I102)</f>
        <v>0</v>
      </c>
      <c r="J103" s="41">
        <f>SUM(J88:J102)</f>
        <v>2781.71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39080727.039999999</v>
      </c>
      <c r="G104" s="41">
        <f>G52+G103</f>
        <v>826051.36</v>
      </c>
      <c r="H104" s="41">
        <f>H52+H71+H86+H103</f>
        <v>44013</v>
      </c>
      <c r="I104" s="41">
        <f>I52+I103</f>
        <v>0</v>
      </c>
      <c r="J104" s="41">
        <f>J52+J103</f>
        <v>2781.71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f>27194827-951826.22</f>
        <v>26243000.780000001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6113548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951826.22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33308375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763745.38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>
        <v>495075</v>
      </c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655694.34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18538.18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1914514.7199999997</v>
      </c>
      <c r="G128" s="41">
        <f>SUM(G115:G127)</f>
        <v>18538.18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35222889.719999999</v>
      </c>
      <c r="G132" s="41">
        <f>G113+SUM(G128:G129)</f>
        <v>18538.18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f>23216.92+325775.79+5258.45</f>
        <v>354251.16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f>1158716.8+970589.45-354251.16</f>
        <v>1775055.09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f>396628.36+76915.88+4515.11+48329.52</f>
        <v>526388.87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764850.6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288057.78999999998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288057.78999999998</v>
      </c>
      <c r="G154" s="41">
        <f>SUM(G142:G153)</f>
        <v>526388.87</v>
      </c>
      <c r="H154" s="41">
        <f>SUM(H142:H153)</f>
        <v>2894156.85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288057.78999999998</v>
      </c>
      <c r="G161" s="41">
        <f>G139+G154+SUM(G155:G160)</f>
        <v>526388.87</v>
      </c>
      <c r="H161" s="41">
        <f>H139+H154+SUM(H155:H160)</f>
        <v>2894156.85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>
        <v>50000</v>
      </c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50000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50000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74591674.549999997</v>
      </c>
      <c r="G185" s="47">
        <f>G104+G132+G161+G184</f>
        <v>1370978.4100000001</v>
      </c>
      <c r="H185" s="47">
        <f>H104+H132+H161+H184</f>
        <v>2988169.85</v>
      </c>
      <c r="I185" s="47">
        <f>I104+I132+I161+I184</f>
        <v>0</v>
      </c>
      <c r="J185" s="47">
        <f>J104+J132+J184</f>
        <v>2781.71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f>7574723.5+20400+205712.44+1</f>
        <v>7800836.9400000004</v>
      </c>
      <c r="G189" s="18">
        <f>3415879.94+71256.84</f>
        <v>3487136.78</v>
      </c>
      <c r="H189" s="18">
        <f>6070+693.8</f>
        <v>6763.8</v>
      </c>
      <c r="I189" s="18">
        <v>100697.82</v>
      </c>
      <c r="J189" s="18">
        <f>14660.03+2058</f>
        <v>16718.03</v>
      </c>
      <c r="K189" s="18">
        <v>0</v>
      </c>
      <c r="L189" s="19">
        <f>SUM(F189:K189)</f>
        <v>11412153.370000001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f>3278469.63+184019.05</f>
        <v>3462488.6799999997</v>
      </c>
      <c r="G190" s="18">
        <f>1263721.76+45502.14</f>
        <v>1309223.8999999999</v>
      </c>
      <c r="H190" s="18">
        <f>1016.16+490+1039.46+609310.19</f>
        <v>611855.80999999994</v>
      </c>
      <c r="I190" s="18">
        <f>3925.81+1238.3</f>
        <v>5164.1099999999997</v>
      </c>
      <c r="J190" s="18">
        <v>1739.96</v>
      </c>
      <c r="K190" s="18">
        <v>799.92</v>
      </c>
      <c r="L190" s="19">
        <f>SUM(F190:K190)</f>
        <v>5391272.3799999999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f>14976.99+6294.28</f>
        <v>21271.27</v>
      </c>
      <c r="G192" s="18">
        <f>2257.76+904.99</f>
        <v>3162.75</v>
      </c>
      <c r="H192" s="18">
        <v>0</v>
      </c>
      <c r="I192" s="18">
        <v>79.19</v>
      </c>
      <c r="J192" s="18"/>
      <c r="K192" s="18"/>
      <c r="L192" s="19">
        <f>SUM(F192:K192)</f>
        <v>24513.21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f>1137076.01+783872.56+8521.12</f>
        <v>1929469.6900000002</v>
      </c>
      <c r="G194" s="18">
        <f>454917.59+370895.93+4340</f>
        <v>830153.52</v>
      </c>
      <c r="H194" s="18">
        <f>299895.35+44182.7+16054.24</f>
        <v>360132.29</v>
      </c>
      <c r="I194" s="18">
        <f>7347.47+1762.51</f>
        <v>9109.98</v>
      </c>
      <c r="J194" s="18"/>
      <c r="K194" s="18"/>
      <c r="L194" s="19">
        <f t="shared" ref="L194:L200" si="0">SUM(F194:K194)</f>
        <v>3128865.48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f>184959.45+357040.66</f>
        <v>542000.11</v>
      </c>
      <c r="G195" s="18">
        <f>68161.97+176082.73</f>
        <v>244244.7</v>
      </c>
      <c r="H195" s="18">
        <f>10113.42+774+28865.83+8652.54</f>
        <v>48405.79</v>
      </c>
      <c r="I195" s="18">
        <f>38549.03+83252.44</f>
        <v>121801.47</v>
      </c>
      <c r="J195" s="18">
        <v>45902.16</v>
      </c>
      <c r="K195" s="18">
        <v>210</v>
      </c>
      <c r="L195" s="19">
        <f t="shared" si="0"/>
        <v>1002564.2300000001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284760.12</v>
      </c>
      <c r="G196" s="18">
        <v>126198.66</v>
      </c>
      <c r="H196" s="18">
        <v>69473.600000000006</v>
      </c>
      <c r="I196" s="18">
        <v>4265.51</v>
      </c>
      <c r="J196" s="18">
        <v>0</v>
      </c>
      <c r="K196" s="18">
        <v>7629.53</v>
      </c>
      <c r="L196" s="19">
        <f t="shared" si="0"/>
        <v>492327.42000000004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1140733.23</v>
      </c>
      <c r="G197" s="18">
        <f>581089.78+22073.77+1050.9</f>
        <v>604214.45000000007</v>
      </c>
      <c r="H197" s="18">
        <f>2614+49054.44+3057.5</f>
        <v>54725.94</v>
      </c>
      <c r="I197" s="18">
        <v>13609.85</v>
      </c>
      <c r="J197" s="18">
        <f>17922.38+5389.66</f>
        <v>23312.04</v>
      </c>
      <c r="K197" s="18">
        <v>7338</v>
      </c>
      <c r="L197" s="19">
        <f t="shared" si="0"/>
        <v>1843933.5100000002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>
        <v>179041.36</v>
      </c>
      <c r="G198" s="18">
        <v>85252.84</v>
      </c>
      <c r="H198" s="18">
        <v>291.41000000000003</v>
      </c>
      <c r="I198" s="18">
        <v>2120.85</v>
      </c>
      <c r="J198" s="18">
        <v>0</v>
      </c>
      <c r="K198" s="18">
        <v>770.64</v>
      </c>
      <c r="L198" s="19">
        <f t="shared" si="0"/>
        <v>267477.09999999992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f>718203.39+233571.73</f>
        <v>951775.12</v>
      </c>
      <c r="G199" s="18">
        <f>385401.67+117580.27</f>
        <v>502981.94</v>
      </c>
      <c r="H199" s="18">
        <f>57659.74+168028.17+36544.07+91263.88</f>
        <v>353495.86</v>
      </c>
      <c r="I199" s="18">
        <f>629292.76+111758.03+35.54</f>
        <v>741086.33000000007</v>
      </c>
      <c r="J199" s="18">
        <v>0</v>
      </c>
      <c r="K199" s="18">
        <v>0</v>
      </c>
      <c r="L199" s="19">
        <f t="shared" si="0"/>
        <v>2549339.25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f>1864776.2-13005+7390-719668.49</f>
        <v>1139492.71</v>
      </c>
      <c r="I200" s="18"/>
      <c r="J200" s="18"/>
      <c r="K200" s="18"/>
      <c r="L200" s="19">
        <f t="shared" si="0"/>
        <v>1139492.71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>
        <f>73536.04+20661.5</f>
        <v>94197.54</v>
      </c>
      <c r="J201" s="18"/>
      <c r="K201" s="18"/>
      <c r="L201" s="19">
        <f>SUM(F201:K201)</f>
        <v>94197.54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16312376.519999998</v>
      </c>
      <c r="G203" s="41">
        <f t="shared" si="1"/>
        <v>7192569.54</v>
      </c>
      <c r="H203" s="41">
        <f t="shared" si="1"/>
        <v>2644637.21</v>
      </c>
      <c r="I203" s="41">
        <f t="shared" si="1"/>
        <v>1092132.6500000001</v>
      </c>
      <c r="J203" s="41">
        <f t="shared" si="1"/>
        <v>87672.19</v>
      </c>
      <c r="K203" s="41">
        <f t="shared" si="1"/>
        <v>16748.09</v>
      </c>
      <c r="L203" s="41">
        <f t="shared" si="1"/>
        <v>27346136.200000007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f>4961370.92+64600+137141.63</f>
        <v>5163112.55</v>
      </c>
      <c r="G207" s="18">
        <f>2103160.27+47504.56</f>
        <v>2150664.83</v>
      </c>
      <c r="H207" s="18">
        <f>1100+1796.52+180</f>
        <v>3076.52</v>
      </c>
      <c r="I207" s="18">
        <v>64761.34</v>
      </c>
      <c r="J207" s="18">
        <v>4150.33</v>
      </c>
      <c r="K207" s="18">
        <v>0</v>
      </c>
      <c r="L207" s="19">
        <f>SUM(F207:K207)</f>
        <v>7385765.5699999994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f>1677290.17+94797.69</f>
        <v>1772087.8599999999</v>
      </c>
      <c r="G208" s="18">
        <f>629989.06+23440.49</f>
        <v>653429.55000000005</v>
      </c>
      <c r="H208" s="18">
        <f>523.47+535.48+282641.95</f>
        <v>283700.90000000002</v>
      </c>
      <c r="I208" s="18">
        <f>2495.66+637.91</f>
        <v>3133.5699999999997</v>
      </c>
      <c r="J208" s="18">
        <v>896.34</v>
      </c>
      <c r="K208" s="18">
        <v>412.08</v>
      </c>
      <c r="L208" s="19">
        <f>SUM(F208:K208)</f>
        <v>2713660.3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f>127667+53651.27</f>
        <v>181318.27</v>
      </c>
      <c r="G210" s="18">
        <f>18662.65+7713.94</f>
        <v>26376.59</v>
      </c>
      <c r="H210" s="18">
        <f>18609.98+118.38+163</f>
        <v>18891.36</v>
      </c>
      <c r="I210" s="18">
        <f>6953.94+674.99</f>
        <v>7628.9299999999994</v>
      </c>
      <c r="J210" s="18">
        <v>7994.41</v>
      </c>
      <c r="K210" s="18">
        <v>882.02</v>
      </c>
      <c r="L210" s="19">
        <f>SUM(F210:K210)</f>
        <v>243091.57999999996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f>674378.2+464332.16+5047.54</f>
        <v>1143757.8999999999</v>
      </c>
      <c r="G212" s="18">
        <f>269898.23+141.04+219702.69+2570.83</f>
        <v>492312.79</v>
      </c>
      <c r="H212" s="18">
        <f>81021.45+11950.5+798+9509.83</f>
        <v>103279.78</v>
      </c>
      <c r="I212" s="18">
        <f>4070.08+1044.04</f>
        <v>5114.12</v>
      </c>
      <c r="J212" s="18"/>
      <c r="K212" s="18"/>
      <c r="L212" s="19">
        <f t="shared" ref="L212:L218" si="2">SUM(F212:K212)</f>
        <v>1744464.59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f>35342.08+238027.1</f>
        <v>273369.18</v>
      </c>
      <c r="G213" s="18">
        <f>9799.15+117388.48</f>
        <v>127187.62999999999</v>
      </c>
      <c r="H213" s="18">
        <f>8124.82+516+25041.66+5768.36</f>
        <v>39450.839999999997</v>
      </c>
      <c r="I213" s="18">
        <f>20668.28+55501.62</f>
        <v>76169.899999999994</v>
      </c>
      <c r="J213" s="18">
        <v>67771.679999999993</v>
      </c>
      <c r="K213" s="18">
        <f>120+140</f>
        <v>260</v>
      </c>
      <c r="L213" s="19">
        <f t="shared" si="2"/>
        <v>584209.23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174530.39</v>
      </c>
      <c r="G214" s="18">
        <v>77347.56</v>
      </c>
      <c r="H214" s="18">
        <v>42580.6</v>
      </c>
      <c r="I214" s="18">
        <v>2614.35</v>
      </c>
      <c r="J214" s="18">
        <v>0</v>
      </c>
      <c r="K214" s="18">
        <v>4676.17</v>
      </c>
      <c r="L214" s="19">
        <f t="shared" si="2"/>
        <v>301749.06999999995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v>707320.97</v>
      </c>
      <c r="G215" s="18">
        <f>292950.35+13529.09+644.1</f>
        <v>307123.53999999998</v>
      </c>
      <c r="H215" s="18">
        <f>1950+23238.81+4599.32</f>
        <v>29788.13</v>
      </c>
      <c r="I215" s="18">
        <v>8071.42</v>
      </c>
      <c r="J215" s="18">
        <f>13294.81+3303.34</f>
        <v>16598.150000000001</v>
      </c>
      <c r="K215" s="18">
        <v>4395.5</v>
      </c>
      <c r="L215" s="19">
        <f t="shared" si="2"/>
        <v>1073297.71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>
        <v>109735.03</v>
      </c>
      <c r="G216" s="18">
        <v>52251.74</v>
      </c>
      <c r="H216" s="18">
        <v>178.6</v>
      </c>
      <c r="I216" s="18">
        <v>1299.8800000000001</v>
      </c>
      <c r="J216" s="18">
        <v>0</v>
      </c>
      <c r="K216" s="18">
        <v>472.32</v>
      </c>
      <c r="L216" s="19">
        <f t="shared" si="2"/>
        <v>163937.57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f>388764.16+143156.86</f>
        <v>531921.02</v>
      </c>
      <c r="G217" s="18">
        <f>173775.4+72065.33</f>
        <v>245840.72999999998</v>
      </c>
      <c r="H217" s="18">
        <f>45667.1+102985+20624.9+55935.93</f>
        <v>225212.93</v>
      </c>
      <c r="I217" s="18">
        <f>435946.76+68496.85</f>
        <v>504443.61</v>
      </c>
      <c r="J217" s="18">
        <v>0</v>
      </c>
      <c r="K217" s="18">
        <v>0</v>
      </c>
      <c r="L217" s="19">
        <f t="shared" si="2"/>
        <v>1507418.29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>
        <f>710044.78+170-14425.91</f>
        <v>695788.87</v>
      </c>
      <c r="I218" s="18"/>
      <c r="J218" s="18"/>
      <c r="K218" s="18"/>
      <c r="L218" s="19">
        <f t="shared" si="2"/>
        <v>695788.87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>
        <f>45070.47+12663.5</f>
        <v>57733.97</v>
      </c>
      <c r="J219" s="18"/>
      <c r="K219" s="18"/>
      <c r="L219" s="19">
        <f>SUM(F219:K219)</f>
        <v>57733.97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10057153.17</v>
      </c>
      <c r="G221" s="41">
        <f>SUM(G207:G220)</f>
        <v>4132534.96</v>
      </c>
      <c r="H221" s="41">
        <f>SUM(H207:H220)</f>
        <v>1441948.5299999998</v>
      </c>
      <c r="I221" s="41">
        <f>SUM(I207:I220)</f>
        <v>730971.09</v>
      </c>
      <c r="J221" s="41">
        <f>SUM(J207:J220)</f>
        <v>97410.91</v>
      </c>
      <c r="K221" s="41">
        <f t="shared" si="3"/>
        <v>11098.09</v>
      </c>
      <c r="L221" s="41">
        <f t="shared" si="3"/>
        <v>16471116.75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f>33634.86+19765357.58+1560</f>
        <v>19800552.439999998</v>
      </c>
      <c r="I225" s="18"/>
      <c r="J225" s="18"/>
      <c r="K225" s="18"/>
      <c r="L225" s="19">
        <f>SUM(F225:K225)</f>
        <v>19800552.439999998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>
        <v>5537440.5099999998</v>
      </c>
      <c r="I226" s="18"/>
      <c r="J226" s="18"/>
      <c r="K226" s="18"/>
      <c r="L226" s="19">
        <f>SUM(F226:K226)</f>
        <v>5537440.5099999998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>
        <f>82491.95+12155.36</f>
        <v>94647.31</v>
      </c>
      <c r="I230" s="18"/>
      <c r="J230" s="18"/>
      <c r="K230" s="18"/>
      <c r="L230" s="19">
        <f t="shared" ref="L230:L236" si="4">SUM(F230:K230)</f>
        <v>94647.31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f>464164.07+734094.4</f>
        <v>1198258.47</v>
      </c>
      <c r="I236" s="18"/>
      <c r="J236" s="18"/>
      <c r="K236" s="18"/>
      <c r="L236" s="19">
        <f t="shared" si="4"/>
        <v>1198258.47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26630898.729999993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26630898.729999993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>
        <v>62611.7</v>
      </c>
      <c r="G243" s="18">
        <v>5452.96</v>
      </c>
      <c r="H243" s="18">
        <f>939.93+10473.42</f>
        <v>11413.35</v>
      </c>
      <c r="I243" s="18">
        <v>9782.5300000000007</v>
      </c>
      <c r="J243" s="18"/>
      <c r="K243" s="18"/>
      <c r="L243" s="19">
        <f t="shared" si="6"/>
        <v>89260.540000000008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62611.7</v>
      </c>
      <c r="G248" s="41">
        <f t="shared" si="7"/>
        <v>5452.96</v>
      </c>
      <c r="H248" s="41">
        <f t="shared" si="7"/>
        <v>11413.35</v>
      </c>
      <c r="I248" s="41">
        <f t="shared" si="7"/>
        <v>9782.5300000000007</v>
      </c>
      <c r="J248" s="41">
        <f t="shared" si="7"/>
        <v>0</v>
      </c>
      <c r="K248" s="41">
        <f t="shared" si="7"/>
        <v>0</v>
      </c>
      <c r="L248" s="41">
        <f>SUM(F248:K248)</f>
        <v>89260.540000000008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26432141.389999997</v>
      </c>
      <c r="G249" s="41">
        <f t="shared" si="8"/>
        <v>11330557.460000001</v>
      </c>
      <c r="H249" s="41">
        <f t="shared" si="8"/>
        <v>30728897.819999993</v>
      </c>
      <c r="I249" s="41">
        <f t="shared" si="8"/>
        <v>1832886.2700000003</v>
      </c>
      <c r="J249" s="41">
        <f t="shared" si="8"/>
        <v>185083.1</v>
      </c>
      <c r="K249" s="41">
        <f t="shared" si="8"/>
        <v>27846.18</v>
      </c>
      <c r="L249" s="41">
        <f t="shared" si="8"/>
        <v>70537412.219999999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1950000</v>
      </c>
      <c r="L252" s="19">
        <f>SUM(F252:K252)</f>
        <v>1950000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f>804234.23+44241.97</f>
        <v>848476.2</v>
      </c>
      <c r="L253" s="19">
        <f>SUM(F253:K253)</f>
        <v>848476.2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>
        <v>50000</v>
      </c>
      <c r="L256" s="19">
        <f t="shared" ref="L256:L262" si="9">SUM(F256:K256)</f>
        <v>50000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2848476.2</v>
      </c>
      <c r="L262" s="41">
        <f t="shared" si="9"/>
        <v>2848476.2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26432141.389999997</v>
      </c>
      <c r="G263" s="42">
        <f t="shared" si="11"/>
        <v>11330557.460000001</v>
      </c>
      <c r="H263" s="42">
        <f t="shared" si="11"/>
        <v>30728897.819999993</v>
      </c>
      <c r="I263" s="42">
        <f t="shared" si="11"/>
        <v>1832886.2700000003</v>
      </c>
      <c r="J263" s="42">
        <f t="shared" si="11"/>
        <v>185083.1</v>
      </c>
      <c r="K263" s="42">
        <f t="shared" si="11"/>
        <v>2876322.3800000004</v>
      </c>
      <c r="L263" s="42">
        <f t="shared" si="11"/>
        <v>73385888.420000002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/>
      <c r="G268" s="18"/>
      <c r="H268" s="18"/>
      <c r="I268" s="18"/>
      <c r="J268" s="18"/>
      <c r="K268" s="18"/>
      <c r="L268" s="19">
        <f>SUM(F268:K268)</f>
        <v>0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/>
      <c r="I269" s="18"/>
      <c r="J269" s="18"/>
      <c r="K269" s="18"/>
      <c r="L269" s="19">
        <f>SUM(F269:K269)</f>
        <v>0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>
        <f>970589.45-117501.68+1225801.03</f>
        <v>2078888.8</v>
      </c>
      <c r="I273" s="18"/>
      <c r="J273" s="18"/>
      <c r="K273" s="18"/>
      <c r="L273" s="19">
        <f t="shared" ref="L273:L279" si="12">SUM(F273:K273)</f>
        <v>2078888.8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/>
      <c r="I274" s="18"/>
      <c r="J274" s="18"/>
      <c r="K274" s="18"/>
      <c r="L274" s="19">
        <f t="shared" si="12"/>
        <v>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0</v>
      </c>
      <c r="G282" s="42">
        <f t="shared" si="13"/>
        <v>0</v>
      </c>
      <c r="H282" s="42">
        <f t="shared" si="13"/>
        <v>2078888.8</v>
      </c>
      <c r="I282" s="42">
        <f t="shared" si="13"/>
        <v>0</v>
      </c>
      <c r="J282" s="42">
        <f t="shared" si="13"/>
        <v>0</v>
      </c>
      <c r="K282" s="42">
        <f t="shared" si="13"/>
        <v>0</v>
      </c>
      <c r="L282" s="41">
        <f t="shared" si="13"/>
        <v>2078888.8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>
        <f>1977098.43-1225801.03</f>
        <v>751297.39999999991</v>
      </c>
      <c r="I292" s="18"/>
      <c r="J292" s="18"/>
      <c r="K292" s="18"/>
      <c r="L292" s="19">
        <f t="shared" ref="L292:L298" si="14">SUM(F292:K292)</f>
        <v>751297.39999999991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751297.39999999991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751297.39999999991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>
        <f>117501.68+7830.22</f>
        <v>125331.9</v>
      </c>
      <c r="I311" s="18"/>
      <c r="J311" s="18"/>
      <c r="K311" s="18"/>
      <c r="L311" s="19">
        <f t="shared" ref="L311:L317" si="16">SUM(F311:K311)</f>
        <v>125331.9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125331.9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125331.9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>
        <v>0</v>
      </c>
      <c r="G325" s="18">
        <v>0</v>
      </c>
      <c r="H325" s="18">
        <f>29639.82</f>
        <v>29639.82</v>
      </c>
      <c r="I325" s="18">
        <v>3922.33</v>
      </c>
      <c r="J325" s="18"/>
      <c r="K325" s="18"/>
      <c r="L325" s="19">
        <f t="shared" si="18"/>
        <v>33562.15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29639.82</v>
      </c>
      <c r="I329" s="41">
        <f t="shared" si="19"/>
        <v>3922.33</v>
      </c>
      <c r="J329" s="41">
        <f t="shared" si="19"/>
        <v>0</v>
      </c>
      <c r="K329" s="41">
        <f t="shared" si="19"/>
        <v>0</v>
      </c>
      <c r="L329" s="41">
        <f t="shared" si="18"/>
        <v>33562.15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0</v>
      </c>
      <c r="G330" s="41">
        <f t="shared" si="20"/>
        <v>0</v>
      </c>
      <c r="H330" s="41">
        <f t="shared" si="20"/>
        <v>2985157.92</v>
      </c>
      <c r="I330" s="41">
        <f t="shared" si="20"/>
        <v>3922.33</v>
      </c>
      <c r="J330" s="41">
        <f t="shared" si="20"/>
        <v>0</v>
      </c>
      <c r="K330" s="41">
        <f t="shared" si="20"/>
        <v>0</v>
      </c>
      <c r="L330" s="41">
        <f t="shared" si="20"/>
        <v>2989080.25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0</v>
      </c>
      <c r="G344" s="41">
        <f>G330</f>
        <v>0</v>
      </c>
      <c r="H344" s="41">
        <f>H330</f>
        <v>2985157.92</v>
      </c>
      <c r="I344" s="41">
        <f>I330</f>
        <v>3922.33</v>
      </c>
      <c r="J344" s="41">
        <f>J330</f>
        <v>0</v>
      </c>
      <c r="K344" s="47">
        <f>K330+K343</f>
        <v>0</v>
      </c>
      <c r="L344" s="41">
        <f>L330+L343</f>
        <v>2989080.25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292008.69</v>
      </c>
      <c r="G350" s="18">
        <v>105966.91</v>
      </c>
      <c r="H350" s="18">
        <v>24652.54</v>
      </c>
      <c r="I350" s="18">
        <f>31192.09+259868.97+19738.16+1394.56+8254.82</f>
        <v>320448.59999999998</v>
      </c>
      <c r="J350" s="18"/>
      <c r="K350" s="18">
        <v>570.4</v>
      </c>
      <c r="L350" s="13">
        <f>SUM(F350:K350)</f>
        <v>743647.14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f>470981.76-292008.69</f>
        <v>178973.07</v>
      </c>
      <c r="G351" s="18">
        <f>170914.37-105966.91</f>
        <v>64947.459999999992</v>
      </c>
      <c r="H351" s="18">
        <f>39762.16-24652.54</f>
        <v>15109.620000000003</v>
      </c>
      <c r="I351" s="18">
        <f>264554.86+17137.43+10142.34+6281.64+13314.22-8254.82</f>
        <v>303175.67</v>
      </c>
      <c r="J351" s="18"/>
      <c r="K351" s="18">
        <f>920-570.4</f>
        <v>349.6</v>
      </c>
      <c r="L351" s="19">
        <f>SUM(F351:K351)</f>
        <v>562555.41999999993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470981.76</v>
      </c>
      <c r="G354" s="47">
        <f t="shared" si="22"/>
        <v>170914.37</v>
      </c>
      <c r="H354" s="47">
        <f t="shared" si="22"/>
        <v>39762.160000000003</v>
      </c>
      <c r="I354" s="47">
        <f t="shared" si="22"/>
        <v>623624.27</v>
      </c>
      <c r="J354" s="47">
        <f t="shared" si="22"/>
        <v>0</v>
      </c>
      <c r="K354" s="47">
        <f t="shared" si="22"/>
        <v>920</v>
      </c>
      <c r="L354" s="47">
        <f t="shared" si="22"/>
        <v>1306202.56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f>31192.09+259868.97</f>
        <v>291061.06</v>
      </c>
      <c r="G359" s="18">
        <f>264554.86+17137.43</f>
        <v>281692.28999999998</v>
      </c>
      <c r="H359" s="18"/>
      <c r="I359" s="56">
        <f>SUM(F359:H359)</f>
        <v>572753.35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29387.54</v>
      </c>
      <c r="G360" s="63">
        <v>21483.38</v>
      </c>
      <c r="H360" s="63"/>
      <c r="I360" s="56">
        <f>SUM(F360:H360)</f>
        <v>50870.92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320448.59999999998</v>
      </c>
      <c r="G361" s="47">
        <f>SUM(G359:G360)</f>
        <v>303175.67</v>
      </c>
      <c r="H361" s="47">
        <f>SUM(H359:H360)</f>
        <v>0</v>
      </c>
      <c r="I361" s="47">
        <f>SUM(I359:I360)</f>
        <v>623624.27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>
        <v>2781.71</v>
      </c>
      <c r="I384" s="18"/>
      <c r="J384" s="24" t="s">
        <v>312</v>
      </c>
      <c r="K384" s="24" t="s">
        <v>312</v>
      </c>
      <c r="L384" s="56">
        <f t="shared" si="25"/>
        <v>2781.71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2781.71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2781.71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0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0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2781.71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2781.71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>
        <v>359348.71</v>
      </c>
      <c r="G434" s="18"/>
      <c r="H434" s="18"/>
      <c r="I434" s="56">
        <f t="shared" si="33"/>
        <v>359348.71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359348.71</v>
      </c>
      <c r="G438" s="13">
        <f>SUM(G431:G437)</f>
        <v>0</v>
      </c>
      <c r="H438" s="13">
        <f>SUM(H431:H437)</f>
        <v>0</v>
      </c>
      <c r="I438" s="13">
        <f>SUM(I431:I437)</f>
        <v>359348.71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359348.71</v>
      </c>
      <c r="G449" s="18"/>
      <c r="H449" s="18"/>
      <c r="I449" s="56">
        <f>SUM(F449:H449)</f>
        <v>359348.71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359348.71</v>
      </c>
      <c r="G450" s="83">
        <f>SUM(G446:G449)</f>
        <v>0</v>
      </c>
      <c r="H450" s="83">
        <f>SUM(H446:H449)</f>
        <v>0</v>
      </c>
      <c r="I450" s="83">
        <f>SUM(I446:I449)</f>
        <v>359348.71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359348.71</v>
      </c>
      <c r="G451" s="42">
        <f>G444+G450</f>
        <v>0</v>
      </c>
      <c r="H451" s="42">
        <f>H444+H450</f>
        <v>0</v>
      </c>
      <c r="I451" s="42">
        <f>I444+I450</f>
        <v>359348.71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3591961.4</v>
      </c>
      <c r="G455" s="18">
        <v>162722.71</v>
      </c>
      <c r="H455" s="18">
        <v>8218.74</v>
      </c>
      <c r="I455" s="18"/>
      <c r="J455" s="18">
        <v>356567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f>74591674.55</f>
        <v>74591674.549999997</v>
      </c>
      <c r="G458" s="18">
        <v>1370978.41</v>
      </c>
      <c r="H458" s="18">
        <f>1923567.4+970589.45+94013</f>
        <v>2988169.8499999996</v>
      </c>
      <c r="I458" s="18"/>
      <c r="J458" s="18">
        <v>2781.71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74591674.549999997</v>
      </c>
      <c r="G460" s="53">
        <f>SUM(G458:G459)</f>
        <v>1370978.41</v>
      </c>
      <c r="H460" s="53">
        <f>SUM(H458:H459)</f>
        <v>2988169.8499999996</v>
      </c>
      <c r="I460" s="53">
        <f>SUM(I458:I459)</f>
        <v>0</v>
      </c>
      <c r="J460" s="53">
        <f>SUM(J458:J459)</f>
        <v>2781.71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f>73339473.88+46413.54+1</f>
        <v>73385888.420000002</v>
      </c>
      <c r="G462" s="18">
        <v>1306202.56</v>
      </c>
      <c r="H462" s="18">
        <f>1923567.4+970589.45+94923.4</f>
        <v>2989080.2499999995</v>
      </c>
      <c r="I462" s="18"/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73385888.420000002</v>
      </c>
      <c r="G464" s="53">
        <f>SUM(G462:G463)</f>
        <v>1306202.56</v>
      </c>
      <c r="H464" s="53">
        <f>SUM(H462:H463)</f>
        <v>2989080.2499999995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4797747.5300000012</v>
      </c>
      <c r="G466" s="53">
        <f>(G455+G460)- G464</f>
        <v>227498.55999999982</v>
      </c>
      <c r="H466" s="53">
        <f>(H455+H460)- H464</f>
        <v>7308.3400000003166</v>
      </c>
      <c r="I466" s="53">
        <f>(I455+I460)- I464</f>
        <v>0</v>
      </c>
      <c r="J466" s="53">
        <f>(J455+J460)- J464</f>
        <v>359348.71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20</v>
      </c>
      <c r="G480" s="154">
        <v>20</v>
      </c>
      <c r="H480" s="154">
        <v>20</v>
      </c>
      <c r="I480" s="154">
        <v>10</v>
      </c>
      <c r="J480" s="154">
        <v>20</v>
      </c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895</v>
      </c>
      <c r="G481" s="155" t="s">
        <v>895</v>
      </c>
      <c r="H481" s="155" t="s">
        <v>899</v>
      </c>
      <c r="I481" s="155" t="s">
        <v>901</v>
      </c>
      <c r="J481" s="155" t="s">
        <v>897</v>
      </c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896</v>
      </c>
      <c r="G482" s="155" t="s">
        <v>896</v>
      </c>
      <c r="H482" s="155" t="s">
        <v>900</v>
      </c>
      <c r="I482" s="155" t="s">
        <v>902</v>
      </c>
      <c r="J482" s="155" t="s">
        <v>898</v>
      </c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6375000</v>
      </c>
      <c r="G483" s="18">
        <v>2125000</v>
      </c>
      <c r="H483" s="18">
        <v>23959000</v>
      </c>
      <c r="I483" s="18">
        <v>2355000</v>
      </c>
      <c r="J483" s="18">
        <v>5115000</v>
      </c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5.2</v>
      </c>
      <c r="G484" s="18">
        <v>5.3</v>
      </c>
      <c r="H484" s="18">
        <v>3.75</v>
      </c>
      <c r="I484" s="18">
        <v>2.2200000000000002</v>
      </c>
      <c r="J484" s="18">
        <v>4.9000000000000004</v>
      </c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1280000</v>
      </c>
      <c r="G485" s="18">
        <v>420000</v>
      </c>
      <c r="H485" s="18">
        <v>16800000</v>
      </c>
      <c r="I485" s="18">
        <v>0</v>
      </c>
      <c r="J485" s="18">
        <v>2550000</v>
      </c>
      <c r="K485" s="53">
        <f>SUM(F485:J485)</f>
        <v>21050000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>
        <v>2355000</v>
      </c>
      <c r="J486" s="18"/>
      <c r="K486" s="53">
        <f t="shared" ref="K486:K493" si="34">SUM(F486:J486)</f>
        <v>2355000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320000</v>
      </c>
      <c r="G487" s="18">
        <v>105000</v>
      </c>
      <c r="H487" s="18">
        <v>1200000</v>
      </c>
      <c r="I487" s="18">
        <v>0</v>
      </c>
      <c r="J487" s="18">
        <v>2550000</v>
      </c>
      <c r="K487" s="53">
        <f t="shared" si="34"/>
        <v>4175000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f>F485-F487</f>
        <v>960000</v>
      </c>
      <c r="G488" s="205">
        <f>G485-G487</f>
        <v>315000</v>
      </c>
      <c r="H488" s="205">
        <f>H485-H487</f>
        <v>15600000</v>
      </c>
      <c r="I488" s="205">
        <v>2355000</v>
      </c>
      <c r="J488" s="205">
        <v>0</v>
      </c>
      <c r="K488" s="206">
        <f t="shared" si="34"/>
        <v>19230000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82800</v>
      </c>
      <c r="G489" s="18">
        <v>27759.39</v>
      </c>
      <c r="H489" s="18">
        <v>4122000</v>
      </c>
      <c r="I489" s="18">
        <v>338165.66</v>
      </c>
      <c r="J489" s="18">
        <v>0</v>
      </c>
      <c r="K489" s="53">
        <f t="shared" si="34"/>
        <v>4570725.05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1042800</v>
      </c>
      <c r="G490" s="42">
        <f>SUM(G488:G489)</f>
        <v>342759.39</v>
      </c>
      <c r="H490" s="42">
        <f>SUM(H488:H489)</f>
        <v>19722000</v>
      </c>
      <c r="I490" s="42">
        <f>SUM(I488:I489)</f>
        <v>2693165.66</v>
      </c>
      <c r="J490" s="42">
        <f>SUM(J488:J489)</f>
        <v>0</v>
      </c>
      <c r="K490" s="42">
        <f t="shared" si="34"/>
        <v>23800725.050000001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320000</v>
      </c>
      <c r="G491" s="205">
        <v>105000</v>
      </c>
      <c r="H491" s="205">
        <v>1200000</v>
      </c>
      <c r="I491" s="205">
        <v>160000</v>
      </c>
      <c r="J491" s="205">
        <v>0</v>
      </c>
      <c r="K491" s="206">
        <f t="shared" si="34"/>
        <v>1785000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46000</v>
      </c>
      <c r="G492" s="18">
        <v>15421.88</v>
      </c>
      <c r="H492" s="18">
        <v>595500</v>
      </c>
      <c r="I492" s="18">
        <v>64968.76</v>
      </c>
      <c r="J492" s="18">
        <v>0</v>
      </c>
      <c r="K492" s="53">
        <f t="shared" si="34"/>
        <v>721890.64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366000</v>
      </c>
      <c r="G493" s="42">
        <f>SUM(G491:G492)</f>
        <v>120421.88</v>
      </c>
      <c r="H493" s="42">
        <f>SUM(H491:H492)</f>
        <v>1795500</v>
      </c>
      <c r="I493" s="42">
        <f>SUM(I491:I492)</f>
        <v>224968.76</v>
      </c>
      <c r="J493" s="42">
        <f>SUM(J491:J492)</f>
        <v>0</v>
      </c>
      <c r="K493" s="42">
        <f t="shared" si="34"/>
        <v>2506890.6399999997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>
        <v>1992266.65</v>
      </c>
      <c r="G497" s="144">
        <v>13421.78</v>
      </c>
      <c r="H497" s="144">
        <v>521486</v>
      </c>
      <c r="I497" s="144">
        <f>F497+G497-H497</f>
        <v>1484202.43</v>
      </c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>1895995.94+405952.9+668566.73+1795+169819.54+607940.48</f>
        <v>3750070.59</v>
      </c>
      <c r="G511" s="18">
        <f>44152.92+1269863.12</f>
        <v>1314016.04</v>
      </c>
      <c r="H511" s="18">
        <f>438.98+490+609310.19+944.96</f>
        <v>611184.12999999989</v>
      </c>
      <c r="I511" s="18">
        <f>2400.31+4103.71+3925.81+227.89</f>
        <v>10657.72</v>
      </c>
      <c r="J511" s="18">
        <f>13648.11+1581.78</f>
        <v>15229.890000000001</v>
      </c>
      <c r="K511" s="18">
        <v>587.4</v>
      </c>
      <c r="L511" s="88">
        <f>SUM(F511:K511)</f>
        <v>5701745.7699999996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f>902476.44+132898.29+401472.44+405293.66</f>
        <v>1842140.8299999998</v>
      </c>
      <c r="G512" s="18">
        <v>654171.91</v>
      </c>
      <c r="H512" s="18">
        <f>292.66+282641.95+629.98</f>
        <v>283564.58999999997</v>
      </c>
      <c r="I512" s="18">
        <f>2735.81+2495.66+151.93</f>
        <v>5383.4</v>
      </c>
      <c r="J512" s="18">
        <v>1054.52</v>
      </c>
      <c r="K512" s="18">
        <v>391.6</v>
      </c>
      <c r="L512" s="88">
        <f>SUM(F512:K512)</f>
        <v>2786706.8499999996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>
        <f>1583+5537440.51</f>
        <v>5539023.5099999998</v>
      </c>
      <c r="I513" s="18"/>
      <c r="J513" s="18"/>
      <c r="K513" s="18"/>
      <c r="L513" s="88">
        <f>SUM(F513:K513)</f>
        <v>5539023.5099999998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5592211.4199999999</v>
      </c>
      <c r="G514" s="108">
        <f t="shared" ref="G514:L514" si="35">SUM(G511:G513)</f>
        <v>1968187.9500000002</v>
      </c>
      <c r="H514" s="108">
        <f t="shared" si="35"/>
        <v>6433772.2299999995</v>
      </c>
      <c r="I514" s="108">
        <f t="shared" si="35"/>
        <v>16041.119999999999</v>
      </c>
      <c r="J514" s="108">
        <f t="shared" si="35"/>
        <v>16284.410000000002</v>
      </c>
      <c r="K514" s="108">
        <f t="shared" si="35"/>
        <v>979</v>
      </c>
      <c r="L514" s="89">
        <f t="shared" si="35"/>
        <v>14027476.129999999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f>354959.85+79718+413332.92</f>
        <v>848010.77</v>
      </c>
      <c r="G516" s="18">
        <f>118466.56+80616.89+77766.75+29305.64</f>
        <v>306155.84000000003</v>
      </c>
      <c r="H516" s="18">
        <f>523163.81+321530.02</f>
        <v>844693.83000000007</v>
      </c>
      <c r="I516" s="18">
        <f>22705.37+12708.44+8608.12</f>
        <v>44021.93</v>
      </c>
      <c r="J516" s="18">
        <f>35035.49+870.68</f>
        <v>35906.17</v>
      </c>
      <c r="K516" s="18">
        <v>705.19</v>
      </c>
      <c r="L516" s="88">
        <f>SUM(F516:K516)</f>
        <v>2079493.73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f>124382+275555.28</f>
        <v>399937.28000000003</v>
      </c>
      <c r="G517" s="18">
        <f>59129.41+51844.5+19537.1</f>
        <v>130511.01000000001</v>
      </c>
      <c r="H517" s="18">
        <v>214353.35</v>
      </c>
      <c r="I517" s="18">
        <f>8472.3+5738.74</f>
        <v>14211.039999999999</v>
      </c>
      <c r="J517" s="18">
        <v>580.46</v>
      </c>
      <c r="K517" s="18">
        <v>470.13</v>
      </c>
      <c r="L517" s="88">
        <f>SUM(F517:K517)</f>
        <v>760063.27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f>104647.17-1795</f>
        <v>102852.17</v>
      </c>
      <c r="G518" s="18">
        <v>38742</v>
      </c>
      <c r="H518" s="18">
        <f>40157.65+4605.46+1520</f>
        <v>46283.11</v>
      </c>
      <c r="I518" s="18">
        <f>1619.56+3111.07+1607.7</f>
        <v>6338.33</v>
      </c>
      <c r="J518" s="18"/>
      <c r="K518" s="18"/>
      <c r="L518" s="88">
        <f>SUM(F518:K518)</f>
        <v>194215.60999999996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1350800.22</v>
      </c>
      <c r="G519" s="89">
        <f t="shared" ref="G519:L519" si="36">SUM(G516:G518)</f>
        <v>475408.85000000003</v>
      </c>
      <c r="H519" s="89">
        <f t="shared" si="36"/>
        <v>1105330.2900000003</v>
      </c>
      <c r="I519" s="89">
        <f t="shared" si="36"/>
        <v>64571.3</v>
      </c>
      <c r="J519" s="89">
        <f t="shared" si="36"/>
        <v>36486.629999999997</v>
      </c>
      <c r="K519" s="89">
        <f t="shared" si="36"/>
        <v>1175.3200000000002</v>
      </c>
      <c r="L519" s="89">
        <f t="shared" si="36"/>
        <v>3033772.61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313632.46999999997</v>
      </c>
      <c r="G521" s="18">
        <v>159274.87</v>
      </c>
      <c r="H521" s="18"/>
      <c r="I521" s="18"/>
      <c r="J521" s="18"/>
      <c r="K521" s="18"/>
      <c r="L521" s="88">
        <f>SUM(F521:K521)</f>
        <v>472907.33999999997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v>209088.32</v>
      </c>
      <c r="G522" s="18">
        <v>106183.25</v>
      </c>
      <c r="H522" s="18"/>
      <c r="I522" s="18"/>
      <c r="J522" s="18"/>
      <c r="K522" s="18"/>
      <c r="L522" s="88">
        <f>SUM(F522:K522)</f>
        <v>315271.57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522720.79</v>
      </c>
      <c r="G524" s="89">
        <f t="shared" ref="G524:L524" si="37">SUM(G521:G523)</f>
        <v>265458.12</v>
      </c>
      <c r="H524" s="89">
        <f t="shared" si="37"/>
        <v>0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788178.90999999992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v>5341.9</v>
      </c>
      <c r="I526" s="18"/>
      <c r="J526" s="18"/>
      <c r="K526" s="18"/>
      <c r="L526" s="88">
        <f>SUM(F526:K526)</f>
        <v>5341.9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>
        <v>6232.22</v>
      </c>
      <c r="I527" s="18"/>
      <c r="J527" s="18"/>
      <c r="K527" s="18"/>
      <c r="L527" s="88">
        <f>SUM(F527:K527)</f>
        <v>6232.22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>
        <v>6232.22</v>
      </c>
      <c r="I528" s="18"/>
      <c r="J528" s="18"/>
      <c r="K528" s="18"/>
      <c r="L528" s="88">
        <f>SUM(F528:K528)</f>
        <v>6232.22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17806.34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17806.34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400451.54</v>
      </c>
      <c r="I531" s="18"/>
      <c r="J531" s="18"/>
      <c r="K531" s="18"/>
      <c r="L531" s="88">
        <f>SUM(F531:K531)</f>
        <v>400451.54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>
        <v>207166.93</v>
      </c>
      <c r="I532" s="18"/>
      <c r="J532" s="18"/>
      <c r="K532" s="18"/>
      <c r="L532" s="88">
        <f>SUM(F532:K532)</f>
        <v>207166.93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460252.31</v>
      </c>
      <c r="I533" s="18"/>
      <c r="J533" s="18"/>
      <c r="K533" s="18"/>
      <c r="L533" s="88">
        <f>SUM(F533:K533)</f>
        <v>460252.31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1067870.78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1067870.78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7465732.4299999997</v>
      </c>
      <c r="G535" s="89">
        <f t="shared" ref="G535:L535" si="40">G514+G519+G524+G529+G534</f>
        <v>2709054.9200000004</v>
      </c>
      <c r="H535" s="89">
        <f t="shared" si="40"/>
        <v>8624779.6399999987</v>
      </c>
      <c r="I535" s="89">
        <f t="shared" si="40"/>
        <v>80612.42</v>
      </c>
      <c r="J535" s="89">
        <f t="shared" si="40"/>
        <v>52771.040000000001</v>
      </c>
      <c r="K535" s="89">
        <f t="shared" si="40"/>
        <v>2154.3200000000002</v>
      </c>
      <c r="L535" s="89">
        <f t="shared" si="40"/>
        <v>18935104.77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5701745.7699999996</v>
      </c>
      <c r="G539" s="87">
        <f>L516</f>
        <v>2079493.73</v>
      </c>
      <c r="H539" s="87">
        <f>L521</f>
        <v>472907.33999999997</v>
      </c>
      <c r="I539" s="87">
        <f>L526</f>
        <v>5341.9</v>
      </c>
      <c r="J539" s="87">
        <f>L531</f>
        <v>400451.54</v>
      </c>
      <c r="K539" s="87">
        <f>SUM(F539:J539)</f>
        <v>8659940.2799999993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2786706.8499999996</v>
      </c>
      <c r="G540" s="87">
        <f>L517</f>
        <v>760063.27</v>
      </c>
      <c r="H540" s="87">
        <f>L522</f>
        <v>315271.57</v>
      </c>
      <c r="I540" s="87">
        <f>L527</f>
        <v>6232.22</v>
      </c>
      <c r="J540" s="87">
        <f>L532</f>
        <v>207166.93</v>
      </c>
      <c r="K540" s="87">
        <f>SUM(F540:J540)</f>
        <v>4075440.84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5539023.5099999998</v>
      </c>
      <c r="G541" s="87">
        <f>L518</f>
        <v>194215.60999999996</v>
      </c>
      <c r="H541" s="87">
        <f>L523</f>
        <v>0</v>
      </c>
      <c r="I541" s="87">
        <f>L528</f>
        <v>6232.22</v>
      </c>
      <c r="J541" s="87">
        <f>L533</f>
        <v>460252.31</v>
      </c>
      <c r="K541" s="87">
        <f>SUM(F541:J541)</f>
        <v>6199723.6499999994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14027476.129999999</v>
      </c>
      <c r="G542" s="89">
        <f t="shared" si="41"/>
        <v>3033772.61</v>
      </c>
      <c r="H542" s="89">
        <f t="shared" si="41"/>
        <v>788178.90999999992</v>
      </c>
      <c r="I542" s="89">
        <f t="shared" si="41"/>
        <v>17806.34</v>
      </c>
      <c r="J542" s="89">
        <f t="shared" si="41"/>
        <v>1067870.78</v>
      </c>
      <c r="K542" s="89">
        <f t="shared" si="41"/>
        <v>18935104.77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>
        <v>95992.48</v>
      </c>
      <c r="G552" s="18">
        <v>27221.81</v>
      </c>
      <c r="H552" s="18">
        <v>215.6</v>
      </c>
      <c r="I552" s="18">
        <v>775.49</v>
      </c>
      <c r="J552" s="18"/>
      <c r="K552" s="18"/>
      <c r="L552" s="88">
        <f>SUM(F552:K552)</f>
        <v>124205.38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>
        <v>75422.66</v>
      </c>
      <c r="G553" s="18">
        <v>21388.560000000001</v>
      </c>
      <c r="H553" s="18">
        <v>169.4</v>
      </c>
      <c r="I553" s="18">
        <v>609.30999999999995</v>
      </c>
      <c r="J553" s="18"/>
      <c r="K553" s="18"/>
      <c r="L553" s="88">
        <f>SUM(F553:K553)</f>
        <v>97589.93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171415.14</v>
      </c>
      <c r="G555" s="89">
        <f t="shared" si="43"/>
        <v>48610.37</v>
      </c>
      <c r="H555" s="89">
        <f t="shared" si="43"/>
        <v>385</v>
      </c>
      <c r="I555" s="89">
        <f t="shared" si="43"/>
        <v>1384.8</v>
      </c>
      <c r="J555" s="89">
        <f t="shared" si="43"/>
        <v>0</v>
      </c>
      <c r="K555" s="89">
        <f t="shared" si="43"/>
        <v>0</v>
      </c>
      <c r="L555" s="89">
        <f t="shared" si="43"/>
        <v>221795.31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>
        <v>307954.06</v>
      </c>
      <c r="G557" s="18">
        <v>119432.01</v>
      </c>
      <c r="H557" s="18">
        <v>646.59</v>
      </c>
      <c r="I557" s="18">
        <v>62.49</v>
      </c>
      <c r="J557" s="18"/>
      <c r="K557" s="18">
        <v>130.47999999999999</v>
      </c>
      <c r="L557" s="88">
        <f>SUM(F557:K557)</f>
        <v>428225.63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>
        <v>240443</v>
      </c>
      <c r="G558" s="18">
        <v>93044.82</v>
      </c>
      <c r="H558" s="18">
        <v>508.04</v>
      </c>
      <c r="I558" s="18">
        <v>49.1</v>
      </c>
      <c r="J558" s="18"/>
      <c r="K558" s="18">
        <v>102.52</v>
      </c>
      <c r="L558" s="88">
        <f>SUM(F558:K558)</f>
        <v>334147.48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548397.06000000006</v>
      </c>
      <c r="G560" s="194">
        <f t="shared" ref="G560:L560" si="44">SUM(G557:G559)</f>
        <v>212476.83000000002</v>
      </c>
      <c r="H560" s="194">
        <f t="shared" si="44"/>
        <v>1154.6300000000001</v>
      </c>
      <c r="I560" s="194">
        <f t="shared" si="44"/>
        <v>111.59</v>
      </c>
      <c r="J560" s="194">
        <f t="shared" si="44"/>
        <v>0</v>
      </c>
      <c r="K560" s="194">
        <f t="shared" si="44"/>
        <v>233</v>
      </c>
      <c r="L560" s="194">
        <f t="shared" si="44"/>
        <v>762373.11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719812.20000000007</v>
      </c>
      <c r="G561" s="89">
        <f t="shared" ref="G561:L561" si="45">G550+G555+G560</f>
        <v>261087.2</v>
      </c>
      <c r="H561" s="89">
        <f t="shared" si="45"/>
        <v>1539.63</v>
      </c>
      <c r="I561" s="89">
        <f t="shared" si="45"/>
        <v>1496.3899999999999</v>
      </c>
      <c r="J561" s="89">
        <f t="shared" si="45"/>
        <v>0</v>
      </c>
      <c r="K561" s="89">
        <f t="shared" si="45"/>
        <v>233</v>
      </c>
      <c r="L561" s="89">
        <f t="shared" si="45"/>
        <v>984168.41999999993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>
        <v>19765357.579999998</v>
      </c>
      <c r="I567" s="87">
        <f t="shared" si="46"/>
        <v>19765357.579999998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>
        <v>4174578</v>
      </c>
      <c r="I571" s="87">
        <f t="shared" si="46"/>
        <v>4174578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608965.18999999994</v>
      </c>
      <c r="G572" s="18">
        <v>282641.95</v>
      </c>
      <c r="H572" s="18">
        <v>1374550.27</v>
      </c>
      <c r="I572" s="87">
        <f t="shared" si="46"/>
        <v>2266157.41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738006.17</v>
      </c>
      <c r="I581" s="18">
        <v>466109.16</v>
      </c>
      <c r="J581" s="18">
        <v>738006.16</v>
      </c>
      <c r="K581" s="104">
        <f t="shared" ref="K581:K587" si="47">SUM(H581:J581)</f>
        <v>1942121.4900000002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400451.54</v>
      </c>
      <c r="I582" s="18">
        <v>207166.93</v>
      </c>
      <c r="J582" s="18">
        <v>460252.31</v>
      </c>
      <c r="K582" s="104">
        <f t="shared" si="47"/>
        <v>1067870.78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>
        <f>7956.37+14556.41</f>
        <v>22512.78</v>
      </c>
      <c r="J584" s="18"/>
      <c r="K584" s="104">
        <f t="shared" si="47"/>
        <v>22512.78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1035</v>
      </c>
      <c r="I585" s="18"/>
      <c r="J585" s="18"/>
      <c r="K585" s="104">
        <f t="shared" si="47"/>
        <v>1035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1139492.71</v>
      </c>
      <c r="I588" s="108">
        <f>SUM(I581:I587)</f>
        <v>695788.87</v>
      </c>
      <c r="J588" s="108">
        <f>SUM(J581:J587)</f>
        <v>1198258.47</v>
      </c>
      <c r="K588" s="108">
        <f>SUM(K581:K587)</f>
        <v>3033540.0500000003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f>78484.57+5211.48+2058</f>
        <v>85754.05</v>
      </c>
      <c r="I594" s="18">
        <f>93211.23+6117.82</f>
        <v>99329.049999999988</v>
      </c>
      <c r="J594" s="18"/>
      <c r="K594" s="104">
        <f>SUM(H594:J594)</f>
        <v>185083.09999999998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85754.05</v>
      </c>
      <c r="I595" s="108">
        <f>SUM(I592:I594)</f>
        <v>99329.049999999988</v>
      </c>
      <c r="J595" s="108">
        <f>SUM(J592:J594)</f>
        <v>0</v>
      </c>
      <c r="K595" s="108">
        <f>SUM(K592:K594)</f>
        <v>185083.09999999998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>
        <f>9511.5+7575</f>
        <v>17086.5</v>
      </c>
      <c r="G602" s="18">
        <f>727.64+361.21+579.53+22.9+349.68</f>
        <v>2040.96</v>
      </c>
      <c r="H602" s="18"/>
      <c r="I602" s="18">
        <f>156.53+597.65</f>
        <v>754.18</v>
      </c>
      <c r="J602" s="18"/>
      <c r="K602" s="18"/>
      <c r="L602" s="88">
        <f>SUM(F602:K602)</f>
        <v>19881.64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17086.5</v>
      </c>
      <c r="G604" s="108">
        <f t="shared" si="48"/>
        <v>2040.96</v>
      </c>
      <c r="H604" s="108">
        <f t="shared" si="48"/>
        <v>0</v>
      </c>
      <c r="I604" s="108">
        <f t="shared" si="48"/>
        <v>754.18</v>
      </c>
      <c r="J604" s="108">
        <f t="shared" si="48"/>
        <v>0</v>
      </c>
      <c r="K604" s="108">
        <f t="shared" si="48"/>
        <v>0</v>
      </c>
      <c r="L604" s="89">
        <f t="shared" si="48"/>
        <v>19881.64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5554718.4100000001</v>
      </c>
      <c r="H607" s="109">
        <f>SUM(F44)</f>
        <v>5554718.4100000001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259015.66999999998</v>
      </c>
      <c r="H608" s="109">
        <f>SUM(G44)</f>
        <v>259015.66999999998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860556.65</v>
      </c>
      <c r="H609" s="109">
        <f>SUM(H44)</f>
        <v>860556.64999999991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359348.71</v>
      </c>
      <c r="H611" s="109">
        <f>SUM(J44)</f>
        <v>359348.71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4797747.53</v>
      </c>
      <c r="H612" s="109">
        <f>F466</f>
        <v>4797747.5300000012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227498.56</v>
      </c>
      <c r="H613" s="109">
        <f>G466</f>
        <v>227498.55999999982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7308.34</v>
      </c>
      <c r="H614" s="109">
        <f>H466</f>
        <v>7308.3400000003166</v>
      </c>
      <c r="I614" s="121" t="s">
        <v>110</v>
      </c>
      <c r="J614" s="109">
        <f t="shared" si="49"/>
        <v>-3.1650415621697903E-10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359348.71</v>
      </c>
      <c r="H616" s="109">
        <f>J466</f>
        <v>359348.71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74591674.549999997</v>
      </c>
      <c r="H617" s="104">
        <f>SUM(F458)</f>
        <v>74591674.549999997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1370978.4100000001</v>
      </c>
      <c r="H618" s="104">
        <f>SUM(G458)</f>
        <v>1370978.41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2988169.85</v>
      </c>
      <c r="H619" s="104">
        <f>SUM(H458)</f>
        <v>2988169.8499999996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2781.71</v>
      </c>
      <c r="H621" s="104">
        <f>SUM(J458)</f>
        <v>2781.71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73385888.420000002</v>
      </c>
      <c r="H622" s="104">
        <f>SUM(F462)</f>
        <v>73385888.420000002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2989080.25</v>
      </c>
      <c r="H623" s="104">
        <f>SUM(H462)</f>
        <v>2989080.2499999995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623624.27</v>
      </c>
      <c r="H624" s="104">
        <f>I361</f>
        <v>623624.27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1306202.56</v>
      </c>
      <c r="H625" s="104">
        <f>SUM(G462)</f>
        <v>1306202.56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2781.71</v>
      </c>
      <c r="H627" s="164">
        <f>SUM(J458)</f>
        <v>2781.71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359348.71</v>
      </c>
      <c r="H629" s="104">
        <f>SUM(F451)</f>
        <v>359348.71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0</v>
      </c>
      <c r="H630" s="104">
        <f>SUM(G451)</f>
        <v>0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359348.71</v>
      </c>
      <c r="H632" s="104">
        <f>SUM(I451)</f>
        <v>359348.71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2781.71</v>
      </c>
      <c r="H634" s="104">
        <f>H400</f>
        <v>2781.71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2781.71</v>
      </c>
      <c r="H636" s="104">
        <f>L400</f>
        <v>2781.71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3033540.0500000003</v>
      </c>
      <c r="H637" s="104">
        <f>L200+L218+L236</f>
        <v>3033540.05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185083.09999999998</v>
      </c>
      <c r="H638" s="104">
        <f>(J249+J330)-(J247+J328)</f>
        <v>185083.1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1139492.71</v>
      </c>
      <c r="H639" s="104">
        <f>H588</f>
        <v>1139492.71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695788.87</v>
      </c>
      <c r="H640" s="104">
        <f>I588</f>
        <v>695788.87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1198258.47</v>
      </c>
      <c r="H641" s="104">
        <f>J588</f>
        <v>1198258.47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50000</v>
      </c>
      <c r="H643" s="104">
        <f>K256</f>
        <v>50000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30168672.140000008</v>
      </c>
      <c r="G650" s="19">
        <f>(L221+L301+L351)</f>
        <v>17784969.57</v>
      </c>
      <c r="H650" s="19">
        <f>(L239+L320+L352)</f>
        <v>26756230.629999992</v>
      </c>
      <c r="I650" s="19">
        <f>SUM(F650:H650)</f>
        <v>74709872.340000004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470287.49611171364</v>
      </c>
      <c r="G651" s="19">
        <f>(L351/IF(SUM(L350:L352)=0,1,SUM(L350:L352))*(SUM(G89:G102)))</f>
        <v>355763.86388828629</v>
      </c>
      <c r="H651" s="19">
        <f>(L352/IF(SUM(L350:L352)=0,1,SUM(L350:L352))*(SUM(G89:G102)))</f>
        <v>0</v>
      </c>
      <c r="I651" s="19">
        <f>SUM(F651:H651)</f>
        <v>826051.35999999987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1139492.71</v>
      </c>
      <c r="G652" s="19">
        <f>(L218+L298)-(J218+J298)</f>
        <v>695788.87</v>
      </c>
      <c r="H652" s="19">
        <f>(L236+L317)-(J236+J317)</f>
        <v>1198258.47</v>
      </c>
      <c r="I652" s="19">
        <f>SUM(F652:H652)</f>
        <v>3033540.05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694719.24</v>
      </c>
      <c r="G653" s="200">
        <f>SUM(G565:G577)+SUM(I592:I594)+L602</f>
        <v>401852.64</v>
      </c>
      <c r="H653" s="200">
        <f>SUM(H565:H577)+SUM(J592:J594)+L603</f>
        <v>25314485.849999998</v>
      </c>
      <c r="I653" s="19">
        <f>SUM(F653:H653)</f>
        <v>26411057.729999997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27864172.693888295</v>
      </c>
      <c r="G654" s="19">
        <f>G650-SUM(G651:G653)</f>
        <v>16331564.196111714</v>
      </c>
      <c r="H654" s="19">
        <f>H650-SUM(H651:H653)</f>
        <v>243486.30999999493</v>
      </c>
      <c r="I654" s="19">
        <f>I650-SUM(I651:I653)</f>
        <v>44439223.200000003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2111.11</v>
      </c>
      <c r="G655" s="249">
        <v>1370.6</v>
      </c>
      <c r="H655" s="249"/>
      <c r="I655" s="19">
        <f>SUM(F655:H655)</f>
        <v>3481.71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13198.83</v>
      </c>
      <c r="G657" s="19">
        <f>ROUND(G654/G655,2)</f>
        <v>11915.63</v>
      </c>
      <c r="H657" s="19" t="e">
        <f>ROUND(H654/H655,2)</f>
        <v>#DIV/0!</v>
      </c>
      <c r="I657" s="19">
        <f>ROUND(I654/I655,2)</f>
        <v>12763.62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>
        <v>-243486.31</v>
      </c>
      <c r="I659" s="19">
        <f>SUM(F659:H659)</f>
        <v>-243486.31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13198.83</v>
      </c>
      <c r="G662" s="19">
        <f>ROUND((G654+G659)/(G655+G660),2)</f>
        <v>11915.63</v>
      </c>
      <c r="H662" s="19" t="e">
        <f>ROUND((H654+H659)/(H655+H660),2)</f>
        <v>#DIV/0!</v>
      </c>
      <c r="I662" s="19">
        <f>ROUND((I654+I659)/(I655+I660),2)</f>
        <v>12693.69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5D37E-8737-41BA-9810-99B19EB7078F}">
  <sheetPr>
    <tabColor indexed="20"/>
  </sheetPr>
  <dimension ref="A1:C52"/>
  <sheetViews>
    <sheetView topLeftCell="A2" workbookViewId="0">
      <selection activeCell="B14" sqref="B1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DERRY COOPERATIVE SCHOOL DISTRICT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12963949.49</v>
      </c>
      <c r="C9" s="230">
        <f>'DOE25'!G189+'DOE25'!G207+'DOE25'!G225+'DOE25'!G268+'DOE25'!G287+'DOE25'!G306</f>
        <v>5637801.6099999994</v>
      </c>
    </row>
    <row r="10" spans="1:3" x14ac:dyDescent="0.2">
      <c r="A10" t="s">
        <v>810</v>
      </c>
      <c r="B10" s="241">
        <v>12759056.34</v>
      </c>
      <c r="C10" s="241">
        <v>5610379.4900000002</v>
      </c>
    </row>
    <row r="11" spans="1:3" x14ac:dyDescent="0.2">
      <c r="A11" t="s">
        <v>811</v>
      </c>
      <c r="B11" s="241">
        <v>204892.15</v>
      </c>
      <c r="C11" s="241">
        <f>10913.02+16509.1</f>
        <v>27422.12</v>
      </c>
    </row>
    <row r="12" spans="1:3" x14ac:dyDescent="0.2">
      <c r="A12" t="s">
        <v>812</v>
      </c>
      <c r="B12" s="241"/>
      <c r="C12" s="241"/>
    </row>
    <row r="13" spans="1:3" x14ac:dyDescent="0.2">
      <c r="A13" t="str">
        <f>IF(B9=B13,IF(C9=C13,"Check Total OK","Check Total Error"),"Check Total Error")</f>
        <v>Check Total Error</v>
      </c>
      <c r="B13" s="232">
        <f>SUM(B10:B12)</f>
        <v>12963948.49</v>
      </c>
      <c r="C13" s="232">
        <f>SUM(C10:C12)</f>
        <v>5637801.6100000003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5234576.5399999991</v>
      </c>
      <c r="C18" s="230">
        <f>'DOE25'!G190+'DOE25'!G208+'DOE25'!G226+'DOE25'!G269+'DOE25'!G288+'DOE25'!G307</f>
        <v>1962653.45</v>
      </c>
    </row>
    <row r="19" spans="1:3" x14ac:dyDescent="0.2">
      <c r="A19" t="s">
        <v>810</v>
      </c>
      <c r="B19" s="241">
        <v>3550449.58</v>
      </c>
      <c r="C19" s="241">
        <v>1760228.2</v>
      </c>
    </row>
    <row r="20" spans="1:3" x14ac:dyDescent="0.2">
      <c r="A20" t="s">
        <v>811</v>
      </c>
      <c r="B20" s="241">
        <v>1684126.96</v>
      </c>
      <c r="C20" s="241">
        <f>134065.25+68360</f>
        <v>202425.25</v>
      </c>
    </row>
    <row r="21" spans="1:3" x14ac:dyDescent="0.2">
      <c r="A21" t="s">
        <v>812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5234576.54</v>
      </c>
      <c r="C22" s="232">
        <f>SUM(C19:C21)</f>
        <v>1962653.45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202589.53999999998</v>
      </c>
      <c r="C36" s="236">
        <f>'DOE25'!G192+'DOE25'!G210+'DOE25'!G228+'DOE25'!G271+'DOE25'!G290+'DOE25'!G309</f>
        <v>29539.34</v>
      </c>
    </row>
    <row r="37" spans="1:3" x14ac:dyDescent="0.2">
      <c r="A37" t="s">
        <v>810</v>
      </c>
      <c r="B37" s="241">
        <v>57145.55</v>
      </c>
      <c r="C37" s="241">
        <v>8747.26</v>
      </c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>
        <v>145443.99</v>
      </c>
      <c r="C39" s="241">
        <f>10192.56+10599.52</f>
        <v>20792.080000000002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202589.53999999998</v>
      </c>
      <c r="C40" s="232">
        <f>SUM(C37:C39)</f>
        <v>29539.340000000004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E19F5-4813-4661-879E-1BF99FD3034A}">
  <sheetPr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DERRY COOPERATIVE SCHOOL DISTRICT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52508449.359999999</v>
      </c>
      <c r="D5" s="20">
        <f>SUM('DOE25'!L189:L192)+SUM('DOE25'!L207:L210)+SUM('DOE25'!L225:L228)-F5-G5</f>
        <v>52474856.269999996</v>
      </c>
      <c r="E5" s="244"/>
      <c r="F5" s="256">
        <f>SUM('DOE25'!J189:J192)+SUM('DOE25'!J207:J210)+SUM('DOE25'!J225:J228)</f>
        <v>31499.07</v>
      </c>
      <c r="G5" s="53">
        <f>SUM('DOE25'!K189:K192)+SUM('DOE25'!K207:K210)+SUM('DOE25'!K225:K228)</f>
        <v>2094.02</v>
      </c>
      <c r="H5" s="260"/>
    </row>
    <row r="6" spans="1:9" x14ac:dyDescent="0.2">
      <c r="A6" s="32">
        <v>2100</v>
      </c>
      <c r="B6" t="s">
        <v>832</v>
      </c>
      <c r="C6" s="246">
        <f t="shared" si="0"/>
        <v>4967977.38</v>
      </c>
      <c r="D6" s="20">
        <f>'DOE25'!L194+'DOE25'!L212+'DOE25'!L230-F6-G6</f>
        <v>4967977.38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865</v>
      </c>
      <c r="C7" s="246">
        <f t="shared" si="0"/>
        <v>1586773.46</v>
      </c>
      <c r="D7" s="20">
        <f>'DOE25'!L195+'DOE25'!L213+'DOE25'!L231-F7-G7</f>
        <v>1472629.6199999999</v>
      </c>
      <c r="E7" s="244"/>
      <c r="F7" s="256">
        <f>'DOE25'!J195+'DOE25'!J213+'DOE25'!J231</f>
        <v>113673.84</v>
      </c>
      <c r="G7" s="53">
        <f>'DOE25'!K195+'DOE25'!K213+'DOE25'!K231</f>
        <v>470</v>
      </c>
      <c r="H7" s="260"/>
    </row>
    <row r="8" spans="1:9" x14ac:dyDescent="0.2">
      <c r="A8" s="32">
        <v>2300</v>
      </c>
      <c r="B8" t="s">
        <v>833</v>
      </c>
      <c r="C8" s="246">
        <f t="shared" si="0"/>
        <v>320756.27</v>
      </c>
      <c r="D8" s="244"/>
      <c r="E8" s="20">
        <f>'DOE25'!L196+'DOE25'!L214+'DOE25'!L232-F8-G8-D9-D11</f>
        <v>308450.57</v>
      </c>
      <c r="F8" s="256">
        <f>'DOE25'!J196+'DOE25'!J214+'DOE25'!J232</f>
        <v>0</v>
      </c>
      <c r="G8" s="53">
        <f>'DOE25'!K196+'DOE25'!K214+'DOE25'!K232</f>
        <v>12305.7</v>
      </c>
      <c r="H8" s="260"/>
    </row>
    <row r="9" spans="1:9" x14ac:dyDescent="0.2">
      <c r="A9" s="32">
        <v>2310</v>
      </c>
      <c r="B9" t="s">
        <v>849</v>
      </c>
      <c r="C9" s="246">
        <f t="shared" si="0"/>
        <v>21384.04</v>
      </c>
      <c r="D9" s="245">
        <f>13076.92+1165.2+7141.92</f>
        <v>21384.04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33000</v>
      </c>
      <c r="D10" s="244"/>
      <c r="E10" s="245">
        <f>25500+7500</f>
        <v>33000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451936.18</v>
      </c>
      <c r="D11" s="245">
        <v>451936.18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2917231.22</v>
      </c>
      <c r="D12" s="20">
        <f>'DOE25'!L197+'DOE25'!L215+'DOE25'!L233-F12-G12</f>
        <v>2865587.5300000003</v>
      </c>
      <c r="E12" s="244"/>
      <c r="F12" s="256">
        <f>'DOE25'!J197+'DOE25'!J215+'DOE25'!J233</f>
        <v>39910.19</v>
      </c>
      <c r="G12" s="53">
        <f>'DOE25'!K197+'DOE25'!K215+'DOE25'!K233</f>
        <v>11733.5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431414.66999999993</v>
      </c>
      <c r="D13" s="244"/>
      <c r="E13" s="20">
        <f>'DOE25'!L198+'DOE25'!L216+'DOE25'!L234-F13-G13</f>
        <v>430171.7099999999</v>
      </c>
      <c r="F13" s="256">
        <f>'DOE25'!J198+'DOE25'!J216+'DOE25'!J234</f>
        <v>0</v>
      </c>
      <c r="G13" s="53">
        <f>'DOE25'!K198+'DOE25'!K216+'DOE25'!K234</f>
        <v>1242.96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4056757.54</v>
      </c>
      <c r="D14" s="20">
        <f>'DOE25'!L199+'DOE25'!L217+'DOE25'!L235-F14-G14</f>
        <v>4056757.54</v>
      </c>
      <c r="E14" s="244"/>
      <c r="F14" s="256">
        <f>'DOE25'!J199+'DOE25'!J217+'DOE25'!J235</f>
        <v>0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3033540.05</v>
      </c>
      <c r="D15" s="20">
        <f>'DOE25'!L200+'DOE25'!L218+'DOE25'!L236-F15-G15</f>
        <v>3033540.05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151931.51</v>
      </c>
      <c r="D16" s="244"/>
      <c r="E16" s="20">
        <f>'DOE25'!L201+'DOE25'!L219+'DOE25'!L237-F16-G16</f>
        <v>151931.51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89260.540000000008</v>
      </c>
      <c r="D17" s="20">
        <f>'DOE25'!L243-F17-G17</f>
        <v>89260.540000000008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2798476.2</v>
      </c>
      <c r="D25" s="244"/>
      <c r="E25" s="244"/>
      <c r="F25" s="259"/>
      <c r="G25" s="257"/>
      <c r="H25" s="258">
        <f>'DOE25'!L252+'DOE25'!L253+'DOE25'!L333+'DOE25'!L334</f>
        <v>2798476.2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733449.21000000008</v>
      </c>
      <c r="D29" s="20">
        <f>'DOE25'!L350+'DOE25'!L351+'DOE25'!L352-'DOE25'!I359-F29-G29</f>
        <v>732529.21000000008</v>
      </c>
      <c r="E29" s="244"/>
      <c r="F29" s="256">
        <f>'DOE25'!J350+'DOE25'!J351+'DOE25'!J352</f>
        <v>0</v>
      </c>
      <c r="G29" s="53">
        <f>'DOE25'!K350+'DOE25'!K351+'DOE25'!K352</f>
        <v>920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2989080.25</v>
      </c>
      <c r="D31" s="20">
        <f>'DOE25'!L282+'DOE25'!L301+'DOE25'!L320+'DOE25'!L325+'DOE25'!L326+'DOE25'!L327-F31-G31</f>
        <v>2989080.25</v>
      </c>
      <c r="E31" s="244"/>
      <c r="F31" s="256">
        <f>'DOE25'!J282+'DOE25'!J301+'DOE25'!J320+'DOE25'!J325+'DOE25'!J326+'DOE25'!J327</f>
        <v>0</v>
      </c>
      <c r="G31" s="53">
        <f>'DOE25'!K282+'DOE25'!K301+'DOE25'!K320+'DOE25'!K325+'DOE25'!K326+'DOE25'!K327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73155538.609999999</v>
      </c>
      <c r="E33" s="247">
        <f>SUM(E5:E31)</f>
        <v>923553.78999999992</v>
      </c>
      <c r="F33" s="247">
        <f>SUM(F5:F31)</f>
        <v>185083.1</v>
      </c>
      <c r="G33" s="247">
        <f>SUM(G5:G31)</f>
        <v>28766.18</v>
      </c>
      <c r="H33" s="247">
        <f>SUM(H5:H31)</f>
        <v>2798476.2</v>
      </c>
    </row>
    <row r="35" spans="2:8" ht="12" thickBot="1" x14ac:dyDescent="0.25">
      <c r="B35" s="254" t="s">
        <v>878</v>
      </c>
      <c r="D35" s="255">
        <f>E33</f>
        <v>923553.78999999992</v>
      </c>
      <c r="E35" s="250"/>
    </row>
    <row r="36" spans="2:8" ht="12" thickTop="1" x14ac:dyDescent="0.2">
      <c r="B36" t="s">
        <v>846</v>
      </c>
      <c r="D36" s="20">
        <f>D33</f>
        <v>73155538.609999999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090EE-8B1A-416D-B787-40DD8CF0823B}">
  <sheetPr transitionEvaluation="1" codeName="Sheet2">
    <tabColor indexed="10"/>
  </sheetPr>
  <dimension ref="A1:I156"/>
  <sheetViews>
    <sheetView zoomScale="75" workbookViewId="0">
      <pane ySplit="2" topLeftCell="A24" activePane="bottomLeft" state="frozen"/>
      <selection pane="bottomLeft" activeCell="C133" sqref="C133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DERRY COOPERATIVE SCHOOL DISTRICT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4578332.34</v>
      </c>
      <c r="D9" s="95">
        <f>'DOE25'!G9</f>
        <v>925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761207.65</v>
      </c>
      <c r="D12" s="95">
        <f>'DOE25'!G12</f>
        <v>115849.59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87475.97</v>
      </c>
      <c r="D13" s="95">
        <f>'DOE25'!G13</f>
        <v>96484.03</v>
      </c>
      <c r="E13" s="95">
        <f>'DOE25'!H13</f>
        <v>850547.74</v>
      </c>
      <c r="F13" s="95">
        <f>'DOE25'!I13</f>
        <v>0</v>
      </c>
      <c r="G13" s="95">
        <f>'DOE25'!J13</f>
        <v>359348.71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21042.240000000002</v>
      </c>
      <c r="D14" s="95">
        <f>'DOE25'!G14</f>
        <v>1040.1300000000001</v>
      </c>
      <c r="E14" s="95">
        <f>'DOE25'!H14</f>
        <v>10008.91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106660.21</v>
      </c>
      <c r="D16" s="95">
        <f>'DOE25'!G16</f>
        <v>44716.92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5554718.4100000001</v>
      </c>
      <c r="D19" s="41">
        <f>SUM(D9:D18)</f>
        <v>259015.66999999998</v>
      </c>
      <c r="E19" s="41">
        <f>SUM(E9:E18)</f>
        <v>860556.65</v>
      </c>
      <c r="F19" s="41">
        <f>SUM(F9:F18)</f>
        <v>0</v>
      </c>
      <c r="G19" s="41">
        <f>SUM(G9:G18)</f>
        <v>359348.71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46413.54</v>
      </c>
      <c r="D22" s="95">
        <f>'DOE25'!G23</f>
        <v>0</v>
      </c>
      <c r="E22" s="95">
        <f>'DOE25'!H23</f>
        <v>830643.7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178631.66</v>
      </c>
      <c r="D24" s="95">
        <f>'DOE25'!G25</f>
        <v>2256.64</v>
      </c>
      <c r="E24" s="95">
        <f>'DOE25'!H25</f>
        <v>21829.1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504175.68</v>
      </c>
      <c r="D28" s="95">
        <f>'DOE25'!G29</f>
        <v>3975.27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27750</v>
      </c>
      <c r="D30" s="95">
        <f>'DOE25'!G31</f>
        <v>25285.200000000001</v>
      </c>
      <c r="E30" s="95">
        <f>'DOE25'!H31</f>
        <v>775.51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756970.88</v>
      </c>
      <c r="D32" s="41">
        <f>SUM(D22:D31)</f>
        <v>31517.11</v>
      </c>
      <c r="E32" s="41">
        <f>SUM(E22:E31)</f>
        <v>853248.30999999994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106660.21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715166.12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227498.56</v>
      </c>
      <c r="E40" s="95">
        <f>'DOE25'!H41</f>
        <v>7308.34</v>
      </c>
      <c r="F40" s="95">
        <f>'DOE25'!I41</f>
        <v>0</v>
      </c>
      <c r="G40" s="95">
        <f>'DOE25'!J41</f>
        <v>359348.71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3975921.2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4797747.53</v>
      </c>
      <c r="D42" s="41">
        <f>SUM(D34:D41)</f>
        <v>227498.56</v>
      </c>
      <c r="E42" s="41">
        <f>SUM(E34:E41)</f>
        <v>7308.34</v>
      </c>
      <c r="F42" s="41">
        <f>SUM(F34:F41)</f>
        <v>0</v>
      </c>
      <c r="G42" s="41">
        <f>SUM(G34:G41)</f>
        <v>359348.71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5554718.4100000001</v>
      </c>
      <c r="D43" s="41">
        <f>D42+D32</f>
        <v>259015.66999999998</v>
      </c>
      <c r="E43" s="41">
        <f>E42+E32</f>
        <v>860556.64999999991</v>
      </c>
      <c r="F43" s="41">
        <f>F42+F32</f>
        <v>0</v>
      </c>
      <c r="G43" s="41">
        <f>G42+G32</f>
        <v>359348.71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38494007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221753.68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12356.76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2781.71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826051.36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352609.6</v>
      </c>
      <c r="D53" s="95">
        <f>SUM('DOE25'!G90:G102)</f>
        <v>0</v>
      </c>
      <c r="E53" s="95">
        <f>SUM('DOE25'!H90:H102)</f>
        <v>44013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586720.04</v>
      </c>
      <c r="D54" s="130">
        <f>SUM(D49:D53)</f>
        <v>826051.36</v>
      </c>
      <c r="E54" s="130">
        <f>SUM(E49:E53)</f>
        <v>44013</v>
      </c>
      <c r="F54" s="130">
        <f>SUM(F49:F53)</f>
        <v>0</v>
      </c>
      <c r="G54" s="130">
        <f>SUM(G49:G53)</f>
        <v>2781.71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39080727.039999999</v>
      </c>
      <c r="D55" s="22">
        <f>D48+D54</f>
        <v>826051.36</v>
      </c>
      <c r="E55" s="22">
        <f>E48+E54</f>
        <v>44013</v>
      </c>
      <c r="F55" s="22">
        <f>F48+F54</f>
        <v>0</v>
      </c>
      <c r="G55" s="22">
        <f>G48+G54</f>
        <v>2781.71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26243000.780000001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6113548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951826.22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33308375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763745.38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495075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655694.34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18538.18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1914514.7199999997</v>
      </c>
      <c r="D70" s="130">
        <f>SUM(D64:D69)</f>
        <v>18538.18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35222889.719999999</v>
      </c>
      <c r="D73" s="130">
        <f>SUM(D71:D72)+D70+D62</f>
        <v>18538.18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288057.78999999998</v>
      </c>
      <c r="D80" s="95">
        <f>SUM('DOE25'!G145:G153)</f>
        <v>526388.87</v>
      </c>
      <c r="E80" s="95">
        <f>SUM('DOE25'!H145:H153)</f>
        <v>2894156.85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288057.78999999998</v>
      </c>
      <c r="D83" s="131">
        <f>SUM(D77:D82)</f>
        <v>526388.87</v>
      </c>
      <c r="E83" s="131">
        <f>SUM(E77:E82)</f>
        <v>2894156.85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0</v>
      </c>
      <c r="E88" s="95">
        <f>'DOE25'!H171</f>
        <v>50000</v>
      </c>
      <c r="F88" s="95">
        <f>'DOE25'!I171</f>
        <v>0</v>
      </c>
      <c r="G88" s="95">
        <f>'DOE25'!J171</f>
        <v>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0</v>
      </c>
      <c r="D95" s="86">
        <f>SUM(D85:D94)</f>
        <v>0</v>
      </c>
      <c r="E95" s="86">
        <f>SUM(E85:E94)</f>
        <v>50000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796</v>
      </c>
      <c r="C96" s="86">
        <f>C55+C73+C83+C95</f>
        <v>74591674.549999997</v>
      </c>
      <c r="D96" s="86">
        <f>D55+D73+D83+D95</f>
        <v>1370978.4100000001</v>
      </c>
      <c r="E96" s="86">
        <f>E55+E73+E83+E95</f>
        <v>2988169.85</v>
      </c>
      <c r="F96" s="86">
        <f>F55+F73+F83+F95</f>
        <v>0</v>
      </c>
      <c r="G96" s="86">
        <f>G55+G73+G95</f>
        <v>2781.71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38598471.379999995</v>
      </c>
      <c r="D101" s="24" t="s">
        <v>312</v>
      </c>
      <c r="E101" s="95">
        <f>('DOE25'!L268)+('DOE25'!L287)+('DOE25'!L306)</f>
        <v>0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13642373.189999999</v>
      </c>
      <c r="D102" s="24" t="s">
        <v>312</v>
      </c>
      <c r="E102" s="95">
        <f>('DOE25'!L269)+('DOE25'!L288)+('DOE25'!L307)</f>
        <v>0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267604.78999999998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89260.540000000008</v>
      </c>
      <c r="D106" s="24" t="s">
        <v>312</v>
      </c>
      <c r="E106" s="95">
        <f>+ SUM('DOE25'!L325:L327)</f>
        <v>33562.15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52597709.899999991</v>
      </c>
      <c r="D107" s="86">
        <f>SUM(D101:D106)</f>
        <v>0</v>
      </c>
      <c r="E107" s="86">
        <f>SUM(E101:E106)</f>
        <v>33562.15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4967977.38</v>
      </c>
      <c r="D110" s="24" t="s">
        <v>312</v>
      </c>
      <c r="E110" s="95">
        <f>+('DOE25'!L273)+('DOE25'!L292)+('DOE25'!L311)</f>
        <v>2955518.1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1586773.46</v>
      </c>
      <c r="D111" s="24" t="s">
        <v>312</v>
      </c>
      <c r="E111" s="95">
        <f>+('DOE25'!L274)+('DOE25'!L293)+('DOE25'!L312)</f>
        <v>0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794076.49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2917231.22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431414.66999999993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4056757.54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3033540.05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151931.51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1306202.56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17939702.320000004</v>
      </c>
      <c r="D120" s="86">
        <f>SUM(D110:D119)</f>
        <v>1306202.56</v>
      </c>
      <c r="E120" s="86">
        <f>SUM(E110:E119)</f>
        <v>2955518.1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1950000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848476.2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50000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2781.71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0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-2781.71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2848476.2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73385888.420000002</v>
      </c>
      <c r="D137" s="86">
        <f>(D107+D120+D136)</f>
        <v>1306202.56</v>
      </c>
      <c r="E137" s="86">
        <f>(E107+E120+E136)</f>
        <v>2989080.25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20</v>
      </c>
      <c r="C143" s="153">
        <f>'DOE25'!G480</f>
        <v>20</v>
      </c>
      <c r="D143" s="153">
        <f>'DOE25'!H480</f>
        <v>20</v>
      </c>
      <c r="E143" s="153">
        <f>'DOE25'!I480</f>
        <v>10</v>
      </c>
      <c r="F143" s="153">
        <f>'DOE25'!J480</f>
        <v>20</v>
      </c>
      <c r="G143" s="24" t="s">
        <v>312</v>
      </c>
    </row>
    <row r="144" spans="1:9" x14ac:dyDescent="0.2">
      <c r="A144" s="136" t="s">
        <v>28</v>
      </c>
      <c r="B144" s="152" t="str">
        <f>'DOE25'!F481</f>
        <v>02/94</v>
      </c>
      <c r="C144" s="152" t="str">
        <f>'DOE25'!G481</f>
        <v>02/94</v>
      </c>
      <c r="D144" s="152" t="str">
        <f>'DOE25'!H481</f>
        <v>07/03</v>
      </c>
      <c r="E144" s="152" t="str">
        <f>'DOE25'!I481</f>
        <v>01/11</v>
      </c>
      <c r="F144" s="152" t="str">
        <f>'DOE25'!J481</f>
        <v>06/00</v>
      </c>
      <c r="G144" s="24" t="s">
        <v>312</v>
      </c>
    </row>
    <row r="145" spans="1:7" x14ac:dyDescent="0.2">
      <c r="A145" s="136" t="s">
        <v>29</v>
      </c>
      <c r="B145" s="152" t="str">
        <f>'DOE25'!F482</f>
        <v>06/14</v>
      </c>
      <c r="C145" s="152" t="str">
        <f>'DOE25'!G482</f>
        <v>06/14</v>
      </c>
      <c r="D145" s="152" t="str">
        <f>'DOE25'!H482</f>
        <v>07/23</v>
      </c>
      <c r="E145" s="152" t="str">
        <f>'DOE25'!I482</f>
        <v>7/19</v>
      </c>
      <c r="F145" s="152" t="str">
        <f>'DOE25'!J482</f>
        <v>06/20</v>
      </c>
      <c r="G145" s="24" t="s">
        <v>312</v>
      </c>
    </row>
    <row r="146" spans="1:7" x14ac:dyDescent="0.2">
      <c r="A146" s="136" t="s">
        <v>30</v>
      </c>
      <c r="B146" s="137">
        <f>'DOE25'!F483</f>
        <v>6375000</v>
      </c>
      <c r="C146" s="137">
        <f>'DOE25'!G483</f>
        <v>2125000</v>
      </c>
      <c r="D146" s="137">
        <f>'DOE25'!H483</f>
        <v>23959000</v>
      </c>
      <c r="E146" s="137">
        <f>'DOE25'!I483</f>
        <v>2355000</v>
      </c>
      <c r="F146" s="137">
        <f>'DOE25'!J483</f>
        <v>5115000</v>
      </c>
      <c r="G146" s="24" t="s">
        <v>312</v>
      </c>
    </row>
    <row r="147" spans="1:7" x14ac:dyDescent="0.2">
      <c r="A147" s="136" t="s">
        <v>31</v>
      </c>
      <c r="B147" s="137">
        <f>'DOE25'!F484</f>
        <v>5.2</v>
      </c>
      <c r="C147" s="137">
        <f>'DOE25'!G484</f>
        <v>5.3</v>
      </c>
      <c r="D147" s="137">
        <f>'DOE25'!H484</f>
        <v>3.75</v>
      </c>
      <c r="E147" s="137">
        <f>'DOE25'!I484</f>
        <v>2.2200000000000002</v>
      </c>
      <c r="F147" s="137">
        <f>'DOE25'!J484</f>
        <v>4.9000000000000004</v>
      </c>
      <c r="G147" s="24" t="s">
        <v>312</v>
      </c>
    </row>
    <row r="148" spans="1:7" x14ac:dyDescent="0.2">
      <c r="A148" s="22" t="s">
        <v>32</v>
      </c>
      <c r="B148" s="137">
        <f>'DOE25'!F485</f>
        <v>1280000</v>
      </c>
      <c r="C148" s="137">
        <f>'DOE25'!G485</f>
        <v>420000</v>
      </c>
      <c r="D148" s="137">
        <f>'DOE25'!H485</f>
        <v>16800000</v>
      </c>
      <c r="E148" s="137">
        <f>'DOE25'!I485</f>
        <v>0</v>
      </c>
      <c r="F148" s="137">
        <f>'DOE25'!J485</f>
        <v>2550000</v>
      </c>
      <c r="G148" s="138">
        <f>SUM(B148:F148)</f>
        <v>21050000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2355000</v>
      </c>
      <c r="F149" s="137">
        <f>'DOE25'!J486</f>
        <v>0</v>
      </c>
      <c r="G149" s="138">
        <f t="shared" ref="G149:G156" si="0">SUM(B149:F149)</f>
        <v>2355000</v>
      </c>
    </row>
    <row r="150" spans="1:7" x14ac:dyDescent="0.2">
      <c r="A150" s="22" t="s">
        <v>34</v>
      </c>
      <c r="B150" s="137">
        <f>'DOE25'!F487</f>
        <v>320000</v>
      </c>
      <c r="C150" s="137">
        <f>'DOE25'!G487</f>
        <v>105000</v>
      </c>
      <c r="D150" s="137">
        <f>'DOE25'!H487</f>
        <v>1200000</v>
      </c>
      <c r="E150" s="137">
        <f>'DOE25'!I487</f>
        <v>0</v>
      </c>
      <c r="F150" s="137">
        <f>'DOE25'!J487</f>
        <v>2550000</v>
      </c>
      <c r="G150" s="138">
        <f t="shared" si="0"/>
        <v>4175000</v>
      </c>
    </row>
    <row r="151" spans="1:7" x14ac:dyDescent="0.2">
      <c r="A151" s="22" t="s">
        <v>35</v>
      </c>
      <c r="B151" s="137">
        <f>'DOE25'!F488</f>
        <v>960000</v>
      </c>
      <c r="C151" s="137">
        <f>'DOE25'!G488</f>
        <v>315000</v>
      </c>
      <c r="D151" s="137">
        <f>'DOE25'!H488</f>
        <v>15600000</v>
      </c>
      <c r="E151" s="137">
        <f>'DOE25'!I488</f>
        <v>2355000</v>
      </c>
      <c r="F151" s="137">
        <f>'DOE25'!J488</f>
        <v>0</v>
      </c>
      <c r="G151" s="138">
        <f t="shared" si="0"/>
        <v>19230000</v>
      </c>
    </row>
    <row r="152" spans="1:7" x14ac:dyDescent="0.2">
      <c r="A152" s="22" t="s">
        <v>36</v>
      </c>
      <c r="B152" s="137">
        <f>'DOE25'!F489</f>
        <v>82800</v>
      </c>
      <c r="C152" s="137">
        <f>'DOE25'!G489</f>
        <v>27759.39</v>
      </c>
      <c r="D152" s="137">
        <f>'DOE25'!H489</f>
        <v>4122000</v>
      </c>
      <c r="E152" s="137">
        <f>'DOE25'!I489</f>
        <v>338165.66</v>
      </c>
      <c r="F152" s="137">
        <f>'DOE25'!J489</f>
        <v>0</v>
      </c>
      <c r="G152" s="138">
        <f t="shared" si="0"/>
        <v>4570725.05</v>
      </c>
    </row>
    <row r="153" spans="1:7" x14ac:dyDescent="0.2">
      <c r="A153" s="22" t="s">
        <v>37</v>
      </c>
      <c r="B153" s="137">
        <f>'DOE25'!F490</f>
        <v>1042800</v>
      </c>
      <c r="C153" s="137">
        <f>'DOE25'!G490</f>
        <v>342759.39</v>
      </c>
      <c r="D153" s="137">
        <f>'DOE25'!H490</f>
        <v>19722000</v>
      </c>
      <c r="E153" s="137">
        <f>'DOE25'!I490</f>
        <v>2693165.66</v>
      </c>
      <c r="F153" s="137">
        <f>'DOE25'!J490</f>
        <v>0</v>
      </c>
      <c r="G153" s="138">
        <f t="shared" si="0"/>
        <v>23800725.050000001</v>
      </c>
    </row>
    <row r="154" spans="1:7" x14ac:dyDescent="0.2">
      <c r="A154" s="22" t="s">
        <v>38</v>
      </c>
      <c r="B154" s="137">
        <f>'DOE25'!F491</f>
        <v>320000</v>
      </c>
      <c r="C154" s="137">
        <f>'DOE25'!G491</f>
        <v>105000</v>
      </c>
      <c r="D154" s="137">
        <f>'DOE25'!H491</f>
        <v>1200000</v>
      </c>
      <c r="E154" s="137">
        <f>'DOE25'!I491</f>
        <v>160000</v>
      </c>
      <c r="F154" s="137">
        <f>'DOE25'!J491</f>
        <v>0</v>
      </c>
      <c r="G154" s="138">
        <f t="shared" si="0"/>
        <v>1785000</v>
      </c>
    </row>
    <row r="155" spans="1:7" x14ac:dyDescent="0.2">
      <c r="A155" s="22" t="s">
        <v>39</v>
      </c>
      <c r="B155" s="137">
        <f>'DOE25'!F492</f>
        <v>46000</v>
      </c>
      <c r="C155" s="137">
        <f>'DOE25'!G492</f>
        <v>15421.88</v>
      </c>
      <c r="D155" s="137">
        <f>'DOE25'!H492</f>
        <v>595500</v>
      </c>
      <c r="E155" s="137">
        <f>'DOE25'!I492</f>
        <v>64968.76</v>
      </c>
      <c r="F155" s="137">
        <f>'DOE25'!J492</f>
        <v>0</v>
      </c>
      <c r="G155" s="138">
        <f t="shared" si="0"/>
        <v>721890.64</v>
      </c>
    </row>
    <row r="156" spans="1:7" x14ac:dyDescent="0.2">
      <c r="A156" s="22" t="s">
        <v>269</v>
      </c>
      <c r="B156" s="137">
        <f>'DOE25'!F493</f>
        <v>366000</v>
      </c>
      <c r="C156" s="137">
        <f>'DOE25'!G493</f>
        <v>120421.88</v>
      </c>
      <c r="D156" s="137">
        <f>'DOE25'!H493</f>
        <v>1795500</v>
      </c>
      <c r="E156" s="137">
        <f>'DOE25'!I493</f>
        <v>224968.76</v>
      </c>
      <c r="F156" s="137">
        <f>'DOE25'!J493</f>
        <v>0</v>
      </c>
      <c r="G156" s="138">
        <f t="shared" si="0"/>
        <v>2506890.6399999997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36FB2-6082-4E82-8C39-D4483F57FD83}">
  <sheetPr codeName="Sheet3">
    <tabColor indexed="43"/>
  </sheetPr>
  <dimension ref="A1:D42"/>
  <sheetViews>
    <sheetView workbookViewId="0">
      <selection activeCell="C4" sqref="C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DERRY COOPERATIVE SCHOOL DISTRICT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13199</v>
      </c>
    </row>
    <row r="5" spans="1:4" x14ac:dyDescent="0.2">
      <c r="B5" t="s">
        <v>735</v>
      </c>
      <c r="C5" s="179">
        <f>IF('DOE25'!G655+'DOE25'!G660=0,0,ROUND('DOE25'!G662,0))</f>
        <v>11916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12694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38598471</v>
      </c>
      <c r="D10" s="182">
        <f>ROUND((C10/$C$28)*100,1)</f>
        <v>51.6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13642373</v>
      </c>
      <c r="D11" s="182">
        <f>ROUND((C11/$C$28)*100,1)</f>
        <v>18.2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267605</v>
      </c>
      <c r="D13" s="182">
        <f>ROUND((C13/$C$28)*100,1)</f>
        <v>0.4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7923495</v>
      </c>
      <c r="D15" s="182">
        <f t="shared" ref="D15:D27" si="0">ROUND((C15/$C$28)*100,1)</f>
        <v>10.6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1586773</v>
      </c>
      <c r="D16" s="182">
        <f t="shared" si="0"/>
        <v>2.1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946008</v>
      </c>
      <c r="D17" s="182">
        <f t="shared" si="0"/>
        <v>1.3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2917231</v>
      </c>
      <c r="D18" s="182">
        <f t="shared" si="0"/>
        <v>3.9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431415</v>
      </c>
      <c r="D19" s="182">
        <f t="shared" si="0"/>
        <v>0.6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4056758</v>
      </c>
      <c r="D20" s="182">
        <f t="shared" si="0"/>
        <v>5.4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3033540</v>
      </c>
      <c r="D21" s="182">
        <f t="shared" si="0"/>
        <v>4.0999999999999996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122823</v>
      </c>
      <c r="D24" s="182">
        <f t="shared" si="0"/>
        <v>0.2</v>
      </c>
    </row>
    <row r="25" spans="1:4" x14ac:dyDescent="0.2">
      <c r="A25">
        <v>5120</v>
      </c>
      <c r="B25" t="s">
        <v>751</v>
      </c>
      <c r="C25" s="179">
        <f>ROUND('DOE25'!L253+'DOE25'!L334,0)</f>
        <v>848476</v>
      </c>
      <c r="D25" s="182">
        <f t="shared" si="0"/>
        <v>1.1000000000000001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480151.64</v>
      </c>
      <c r="D27" s="182">
        <f t="shared" si="0"/>
        <v>0.6</v>
      </c>
    </row>
    <row r="28" spans="1:4" x14ac:dyDescent="0.2">
      <c r="B28" s="187" t="s">
        <v>754</v>
      </c>
      <c r="C28" s="180">
        <f>SUM(C10:C27)</f>
        <v>74855119.640000001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74855119.640000001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1950000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38494007</v>
      </c>
      <c r="D35" s="182">
        <f t="shared" ref="D35:D40" si="1">ROUND((C35/$C$41)*100,1)</f>
        <v>49.3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633514.75</v>
      </c>
      <c r="D36" s="182">
        <f t="shared" si="1"/>
        <v>0.8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33308375</v>
      </c>
      <c r="D37" s="182">
        <f t="shared" si="1"/>
        <v>42.7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1933053</v>
      </c>
      <c r="D38" s="182">
        <f t="shared" si="1"/>
        <v>2.5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3708604</v>
      </c>
      <c r="D39" s="182">
        <f t="shared" si="1"/>
        <v>4.7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78077553.75</v>
      </c>
      <c r="D41" s="184">
        <f>SUM(D35:D40)</f>
        <v>100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4EE6B-7AB6-408F-B7D1-427238742991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DERRY COOPERATIVE SCHOOL DISTRICT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879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3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C52:M52"/>
    <mergeCell ref="C50:M50"/>
    <mergeCell ref="C47:M47"/>
    <mergeCell ref="C48:M48"/>
    <mergeCell ref="C49:M49"/>
    <mergeCell ref="C51:M51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FC40:FM40"/>
    <mergeCell ref="IC40:IM40"/>
    <mergeCell ref="C43:M43"/>
    <mergeCell ref="AP40:AZ40"/>
    <mergeCell ref="FP40:FZ40"/>
    <mergeCell ref="CC40:CM40"/>
    <mergeCell ref="CP40:CZ40"/>
    <mergeCell ref="DC40:DM40"/>
    <mergeCell ref="EP40:EZ40"/>
    <mergeCell ref="DP40:DZ40"/>
    <mergeCell ref="BC40:BM40"/>
    <mergeCell ref="BP40:BZ40"/>
    <mergeCell ref="DC39:DM39"/>
    <mergeCell ref="DP39:DZ39"/>
    <mergeCell ref="P40:Z40"/>
    <mergeCell ref="AC40:AM40"/>
    <mergeCell ref="IP38:IV38"/>
    <mergeCell ref="EC39:EM39"/>
    <mergeCell ref="P39:Z39"/>
    <mergeCell ref="AC39:AM39"/>
    <mergeCell ref="AP39:AZ39"/>
    <mergeCell ref="CC39:CM39"/>
    <mergeCell ref="CP39:CZ39"/>
    <mergeCell ref="BP39:BZ39"/>
    <mergeCell ref="HP39:HZ39"/>
    <mergeCell ref="GC39:GM39"/>
    <mergeCell ref="GP39:GZ39"/>
    <mergeCell ref="HC38:HM38"/>
    <mergeCell ref="HP38:HZ38"/>
    <mergeCell ref="IC38:IM38"/>
    <mergeCell ref="FP38:FZ38"/>
    <mergeCell ref="CP38:CZ38"/>
    <mergeCell ref="DC38:DM38"/>
    <mergeCell ref="DP38:DZ38"/>
    <mergeCell ref="IP39:IV39"/>
    <mergeCell ref="EP39:EZ39"/>
    <mergeCell ref="FC39:FM39"/>
    <mergeCell ref="FP39:FZ39"/>
    <mergeCell ref="IC39:IM39"/>
    <mergeCell ref="HC39:HM39"/>
    <mergeCell ref="GC38:GM38"/>
    <mergeCell ref="EP32:EZ32"/>
    <mergeCell ref="FP32:FZ32"/>
    <mergeCell ref="GC32:GM32"/>
    <mergeCell ref="GP38:GZ38"/>
    <mergeCell ref="BP38:BZ38"/>
    <mergeCell ref="CC38:CM38"/>
    <mergeCell ref="EC38:EM38"/>
    <mergeCell ref="EP38:EZ38"/>
    <mergeCell ref="FC38:FM38"/>
    <mergeCell ref="HP31:HZ31"/>
    <mergeCell ref="CP32:CZ32"/>
    <mergeCell ref="HP32:HZ32"/>
    <mergeCell ref="DC32:DM32"/>
    <mergeCell ref="DP32:DZ32"/>
    <mergeCell ref="EC32:EM32"/>
    <mergeCell ref="DP31:DZ31"/>
    <mergeCell ref="EP31:EZ31"/>
    <mergeCell ref="FC31:FM31"/>
    <mergeCell ref="FC32:FM32"/>
    <mergeCell ref="CC32:CM32"/>
    <mergeCell ref="GP31:GZ31"/>
    <mergeCell ref="HC31:HM31"/>
    <mergeCell ref="IP32:IV32"/>
    <mergeCell ref="IC30:IM30"/>
    <mergeCell ref="IP30:IV30"/>
    <mergeCell ref="FP30:FZ30"/>
    <mergeCell ref="GC30:GM30"/>
    <mergeCell ref="GP30:GZ30"/>
    <mergeCell ref="HC30:HM30"/>
    <mergeCell ref="HP30:HZ30"/>
    <mergeCell ref="GP32:GZ32"/>
    <mergeCell ref="HC32:HM32"/>
    <mergeCell ref="BC39:BM39"/>
    <mergeCell ref="BP31:BZ31"/>
    <mergeCell ref="CC31:CM31"/>
    <mergeCell ref="CP31:CZ31"/>
    <mergeCell ref="DC31:DM31"/>
    <mergeCell ref="IC32:IM32"/>
    <mergeCell ref="IC31:IM31"/>
    <mergeCell ref="FP31:FZ31"/>
    <mergeCell ref="GC31:GM31"/>
    <mergeCell ref="EC31:EM31"/>
    <mergeCell ref="C37:M37"/>
    <mergeCell ref="C38:M38"/>
    <mergeCell ref="C39:M39"/>
    <mergeCell ref="C40:M40"/>
    <mergeCell ref="FC30:FM30"/>
    <mergeCell ref="CC30:CM30"/>
    <mergeCell ref="CP30:CZ30"/>
    <mergeCell ref="DC30:DM30"/>
    <mergeCell ref="DP30:DZ30"/>
    <mergeCell ref="EC30:EM30"/>
    <mergeCell ref="P32:Z32"/>
    <mergeCell ref="AC32:AM32"/>
    <mergeCell ref="AP32:AZ32"/>
    <mergeCell ref="P38:Z38"/>
    <mergeCell ref="AC38:AM38"/>
    <mergeCell ref="AP38:AZ38"/>
    <mergeCell ref="HC29:HM29"/>
    <mergeCell ref="HP29:HZ29"/>
    <mergeCell ref="IC29:IM29"/>
    <mergeCell ref="IP29:IV29"/>
    <mergeCell ref="BP32:BZ32"/>
    <mergeCell ref="BC38:BM38"/>
    <mergeCell ref="EP30:EZ30"/>
    <mergeCell ref="IP31:IV31"/>
    <mergeCell ref="BC31:BM31"/>
    <mergeCell ref="BC32:BM32"/>
    <mergeCell ref="FC29:FM29"/>
    <mergeCell ref="FP29:FZ29"/>
    <mergeCell ref="C42:M42"/>
    <mergeCell ref="P30:Z30"/>
    <mergeCell ref="AC30:AM30"/>
    <mergeCell ref="AP30:AZ30"/>
    <mergeCell ref="C41:M41"/>
    <mergeCell ref="C33:M33"/>
    <mergeCell ref="BC30:BM30"/>
    <mergeCell ref="BP30:BZ30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C8:M8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C18:M18"/>
    <mergeCell ref="C19:M19"/>
    <mergeCell ref="A2:E2"/>
    <mergeCell ref="A1:I1"/>
    <mergeCell ref="C3:M3"/>
    <mergeCell ref="C4:M4"/>
    <mergeCell ref="F2:I2"/>
    <mergeCell ref="C5:M5"/>
    <mergeCell ref="C6:M6"/>
    <mergeCell ref="C7:M7"/>
    <mergeCell ref="C62:M62"/>
    <mergeCell ref="C63:M63"/>
    <mergeCell ref="C64:M64"/>
    <mergeCell ref="C65:M65"/>
    <mergeCell ref="C9:M9"/>
    <mergeCell ref="C10:M10"/>
    <mergeCell ref="C11:M11"/>
    <mergeCell ref="C12:M12"/>
    <mergeCell ref="C16:M16"/>
    <mergeCell ref="C17:M17"/>
    <mergeCell ref="C73:M73"/>
    <mergeCell ref="C74:M74"/>
    <mergeCell ref="C13:M13"/>
    <mergeCell ref="C34:M34"/>
    <mergeCell ref="C35:M35"/>
    <mergeCell ref="C36:M36"/>
    <mergeCell ref="C14:M14"/>
    <mergeCell ref="C15:M15"/>
    <mergeCell ref="C20:M20"/>
    <mergeCell ref="C29:M29"/>
    <mergeCell ref="C66:M66"/>
    <mergeCell ref="C67:M67"/>
    <mergeCell ref="C68:M68"/>
    <mergeCell ref="C69:M69"/>
    <mergeCell ref="C70:M70"/>
    <mergeCell ref="A72:E72"/>
    <mergeCell ref="C89:M89"/>
    <mergeCell ref="C90:M90"/>
    <mergeCell ref="C75:M75"/>
    <mergeCell ref="C76:M76"/>
    <mergeCell ref="C77:M77"/>
    <mergeCell ref="C78:M78"/>
    <mergeCell ref="C79:M79"/>
    <mergeCell ref="C80:M80"/>
    <mergeCell ref="C81:M81"/>
    <mergeCell ref="C82:M82"/>
    <mergeCell ref="C83:M83"/>
    <mergeCell ref="C84:M84"/>
    <mergeCell ref="C85:M85"/>
    <mergeCell ref="C86:M86"/>
    <mergeCell ref="C87:M87"/>
    <mergeCell ref="C88:M88"/>
    <mergeCell ref="C27:M27"/>
    <mergeCell ref="C28:M28"/>
    <mergeCell ref="C21:M21"/>
    <mergeCell ref="C22:M22"/>
    <mergeCell ref="C23:M23"/>
    <mergeCell ref="C24:M24"/>
    <mergeCell ref="C25:M25"/>
    <mergeCell ref="C26:M26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2011-10-26T19:03:11Z</cp:lastPrinted>
  <dcterms:created xsi:type="dcterms:W3CDTF">1997-12-04T19:04:30Z</dcterms:created>
  <dcterms:modified xsi:type="dcterms:W3CDTF">2025-01-09T20:41:38Z</dcterms:modified>
</cp:coreProperties>
</file>