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34618ECC-713B-48E4-9D54-3EDCB424C713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44C7B4A6-7F71-4E23-BB53-103E91AB76F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12" i="1"/>
  <c r="H14" i="1"/>
  <c r="K308" i="1"/>
  <c r="L308" i="1"/>
  <c r="H41" i="1"/>
  <c r="H13" i="1"/>
  <c r="E13" i="2"/>
  <c r="H463" i="1"/>
  <c r="H464" i="1" s="1"/>
  <c r="H455" i="1"/>
  <c r="H25" i="1"/>
  <c r="H29" i="1"/>
  <c r="E28" i="2" s="1"/>
  <c r="H569" i="1"/>
  <c r="G569" i="1"/>
  <c r="F569" i="1"/>
  <c r="H127" i="1"/>
  <c r="H128" i="1" s="1"/>
  <c r="H132" i="1" s="1"/>
  <c r="J587" i="1"/>
  <c r="I587" i="1"/>
  <c r="H219" i="1"/>
  <c r="K219" i="1"/>
  <c r="G219" i="1"/>
  <c r="H218" i="1"/>
  <c r="L218" i="1" s="1"/>
  <c r="I235" i="1"/>
  <c r="I227" i="1"/>
  <c r="I228" i="1"/>
  <c r="H236" i="1"/>
  <c r="H227" i="1"/>
  <c r="H228" i="1"/>
  <c r="H226" i="1"/>
  <c r="D11" i="13"/>
  <c r="C11" i="13" s="1"/>
  <c r="D9" i="13"/>
  <c r="C9" i="13" s="1"/>
  <c r="F14" i="1"/>
  <c r="F19" i="1" s="1"/>
  <c r="G607" i="1" s="1"/>
  <c r="F488" i="1"/>
  <c r="H217" i="1"/>
  <c r="L217" i="1" s="1"/>
  <c r="I217" i="1"/>
  <c r="F29" i="1"/>
  <c r="C28" i="2"/>
  <c r="H200" i="1"/>
  <c r="F25" i="1"/>
  <c r="I497" i="1"/>
  <c r="H572" i="1"/>
  <c r="G572" i="1"/>
  <c r="F572" i="1"/>
  <c r="H574" i="1"/>
  <c r="I574" i="1" s="1"/>
  <c r="J227" i="1"/>
  <c r="J228" i="1"/>
  <c r="L228" i="1" s="1"/>
  <c r="H237" i="1"/>
  <c r="H235" i="1"/>
  <c r="I233" i="1"/>
  <c r="H233" i="1"/>
  <c r="I232" i="1"/>
  <c r="I231" i="1"/>
  <c r="H231" i="1"/>
  <c r="G231" i="1"/>
  <c r="H230" i="1"/>
  <c r="J225" i="1"/>
  <c r="I225" i="1"/>
  <c r="H215" i="1"/>
  <c r="I214" i="1"/>
  <c r="I213" i="1"/>
  <c r="G213" i="1"/>
  <c r="H208" i="1"/>
  <c r="I207" i="1"/>
  <c r="H201" i="1"/>
  <c r="I199" i="1"/>
  <c r="H199" i="1"/>
  <c r="L199" i="1" s="1"/>
  <c r="H197" i="1"/>
  <c r="L197" i="1" s="1"/>
  <c r="I196" i="1"/>
  <c r="I195" i="1"/>
  <c r="G195" i="1"/>
  <c r="H190" i="1"/>
  <c r="J189" i="1"/>
  <c r="I189" i="1"/>
  <c r="H189" i="1"/>
  <c r="G325" i="1"/>
  <c r="F325" i="1"/>
  <c r="F189" i="1"/>
  <c r="G190" i="1"/>
  <c r="C39" i="12"/>
  <c r="C38" i="12"/>
  <c r="C37" i="12"/>
  <c r="B39" i="12"/>
  <c r="B38" i="12"/>
  <c r="B40" i="12" s="1"/>
  <c r="B37" i="12"/>
  <c r="G237" i="1"/>
  <c r="F237" i="1"/>
  <c r="K237" i="1"/>
  <c r="J237" i="1"/>
  <c r="G236" i="1"/>
  <c r="F236" i="1"/>
  <c r="L236" i="1" s="1"/>
  <c r="G235" i="1"/>
  <c r="F235" i="1"/>
  <c r="L235" i="1" s="1"/>
  <c r="H234" i="1"/>
  <c r="L234" i="1"/>
  <c r="K232" i="1"/>
  <c r="J232" i="1"/>
  <c r="H232" i="1"/>
  <c r="G232" i="1"/>
  <c r="F232" i="1"/>
  <c r="L232" i="1" s="1"/>
  <c r="K231" i="1"/>
  <c r="J231" i="1"/>
  <c r="F7" i="13" s="1"/>
  <c r="F231" i="1"/>
  <c r="L231" i="1" s="1"/>
  <c r="I230" i="1"/>
  <c r="G230" i="1"/>
  <c r="F230" i="1"/>
  <c r="K226" i="1"/>
  <c r="J226" i="1"/>
  <c r="I226" i="1"/>
  <c r="G226" i="1"/>
  <c r="F226" i="1"/>
  <c r="L226" i="1" s="1"/>
  <c r="G225" i="1"/>
  <c r="F225" i="1"/>
  <c r="F219" i="1"/>
  <c r="L219" i="1" s="1"/>
  <c r="J219" i="1"/>
  <c r="G218" i="1"/>
  <c r="F218" i="1"/>
  <c r="G217" i="1"/>
  <c r="F217" i="1"/>
  <c r="H216" i="1"/>
  <c r="L216" i="1" s="1"/>
  <c r="K214" i="1"/>
  <c r="J214" i="1"/>
  <c r="F8" i="13" s="1"/>
  <c r="H214" i="1"/>
  <c r="G214" i="1"/>
  <c r="F214" i="1"/>
  <c r="K213" i="1"/>
  <c r="L213" i="1" s="1"/>
  <c r="J213" i="1"/>
  <c r="H213" i="1"/>
  <c r="F213" i="1"/>
  <c r="I212" i="1"/>
  <c r="G212" i="1"/>
  <c r="F212" i="1"/>
  <c r="L212" i="1" s="1"/>
  <c r="H210" i="1"/>
  <c r="H221" i="1" s="1"/>
  <c r="K208" i="1"/>
  <c r="J208" i="1"/>
  <c r="I208" i="1"/>
  <c r="G208" i="1"/>
  <c r="F208" i="1"/>
  <c r="G207" i="1"/>
  <c r="F207" i="1"/>
  <c r="G201" i="1"/>
  <c r="F201" i="1"/>
  <c r="K201" i="1"/>
  <c r="G16" i="13"/>
  <c r="J201" i="1"/>
  <c r="G200" i="1"/>
  <c r="L200" i="1" s="1"/>
  <c r="F200" i="1"/>
  <c r="G199" i="1"/>
  <c r="F199" i="1"/>
  <c r="H198" i="1"/>
  <c r="L198" i="1"/>
  <c r="K196" i="1"/>
  <c r="J196" i="1"/>
  <c r="H196" i="1"/>
  <c r="G196" i="1"/>
  <c r="L196" i="1"/>
  <c r="F196" i="1"/>
  <c r="K195" i="1"/>
  <c r="G7" i="13" s="1"/>
  <c r="J195" i="1"/>
  <c r="H195" i="1"/>
  <c r="F195" i="1"/>
  <c r="I194" i="1"/>
  <c r="G194" i="1"/>
  <c r="F194" i="1"/>
  <c r="L194" i="1"/>
  <c r="H192" i="1"/>
  <c r="H203" i="1" s="1"/>
  <c r="K190" i="1"/>
  <c r="J190" i="1"/>
  <c r="F5" i="13" s="1"/>
  <c r="I190" i="1"/>
  <c r="F190" i="1"/>
  <c r="G189" i="1"/>
  <c r="H313" i="1"/>
  <c r="K307" i="1"/>
  <c r="J307" i="1"/>
  <c r="J320" i="1" s="1"/>
  <c r="I307" i="1"/>
  <c r="I320" i="1" s="1"/>
  <c r="H307" i="1"/>
  <c r="H320" i="1" s="1"/>
  <c r="G307" i="1"/>
  <c r="F307" i="1"/>
  <c r="F233" i="1"/>
  <c r="I236" i="1"/>
  <c r="K233" i="1"/>
  <c r="G233" i="1"/>
  <c r="K228" i="1"/>
  <c r="G228" i="1"/>
  <c r="F228" i="1"/>
  <c r="G227" i="1"/>
  <c r="F227" i="1"/>
  <c r="L227" i="1" s="1"/>
  <c r="K227" i="1"/>
  <c r="K239" i="1" s="1"/>
  <c r="H225" i="1"/>
  <c r="H239" i="1" s="1"/>
  <c r="J371" i="1"/>
  <c r="H372" i="1"/>
  <c r="H371" i="1"/>
  <c r="K523" i="1"/>
  <c r="J523" i="1"/>
  <c r="I523" i="1"/>
  <c r="H523" i="1"/>
  <c r="G523" i="1"/>
  <c r="F523" i="1"/>
  <c r="L523" i="1" s="1"/>
  <c r="H541" i="1" s="1"/>
  <c r="K522" i="1"/>
  <c r="K524" i="1" s="1"/>
  <c r="J522" i="1"/>
  <c r="J524" i="1" s="1"/>
  <c r="I522" i="1"/>
  <c r="H522" i="1"/>
  <c r="G522" i="1"/>
  <c r="L522" i="1" s="1"/>
  <c r="H540" i="1" s="1"/>
  <c r="F522" i="1"/>
  <c r="K521" i="1"/>
  <c r="J521" i="1"/>
  <c r="I521" i="1"/>
  <c r="G521" i="1"/>
  <c r="H521" i="1"/>
  <c r="H524" i="1" s="1"/>
  <c r="F521" i="1"/>
  <c r="L521" i="1" s="1"/>
  <c r="G603" i="1"/>
  <c r="F603" i="1"/>
  <c r="G601" i="1"/>
  <c r="I317" i="1"/>
  <c r="I316" i="1"/>
  <c r="L316" i="1"/>
  <c r="H316" i="1"/>
  <c r="H531" i="1"/>
  <c r="B29" i="12"/>
  <c r="B30" i="12"/>
  <c r="B31" i="12"/>
  <c r="C29" i="12"/>
  <c r="C30" i="12"/>
  <c r="C28" i="12"/>
  <c r="C20" i="12"/>
  <c r="C19" i="12"/>
  <c r="C21" i="12"/>
  <c r="B20" i="12"/>
  <c r="B19" i="12"/>
  <c r="B21" i="12"/>
  <c r="C10" i="12"/>
  <c r="C13" i="12" s="1"/>
  <c r="C11" i="12"/>
  <c r="C12" i="12"/>
  <c r="B11" i="12"/>
  <c r="B10" i="12"/>
  <c r="B12" i="12"/>
  <c r="I215" i="1"/>
  <c r="G215" i="1"/>
  <c r="K215" i="1"/>
  <c r="F215" i="1"/>
  <c r="H212" i="1"/>
  <c r="K210" i="1"/>
  <c r="I210" i="1"/>
  <c r="G210" i="1"/>
  <c r="G221" i="1" s="1"/>
  <c r="F210" i="1"/>
  <c r="B36" i="12"/>
  <c r="J207" i="1"/>
  <c r="L207" i="1" s="1"/>
  <c r="H207" i="1"/>
  <c r="G197" i="1"/>
  <c r="F197" i="1"/>
  <c r="K197" i="1"/>
  <c r="I197" i="1"/>
  <c r="H194" i="1"/>
  <c r="G192" i="1"/>
  <c r="F192" i="1"/>
  <c r="F203" i="1" s="1"/>
  <c r="H93" i="1"/>
  <c r="E53" i="2" s="1"/>
  <c r="H103" i="1"/>
  <c r="H137" i="1"/>
  <c r="H139" i="1" s="1"/>
  <c r="H153" i="1"/>
  <c r="H151" i="1"/>
  <c r="H149" i="1"/>
  <c r="H148" i="1"/>
  <c r="H147" i="1"/>
  <c r="H154" i="1" s="1"/>
  <c r="H146" i="1"/>
  <c r="G150" i="1"/>
  <c r="G154" i="1" s="1"/>
  <c r="G153" i="1"/>
  <c r="G124" i="1"/>
  <c r="D69" i="2" s="1"/>
  <c r="G128" i="1"/>
  <c r="G132" i="1" s="1"/>
  <c r="G89" i="1"/>
  <c r="F152" i="1"/>
  <c r="F154" i="1"/>
  <c r="F137" i="1"/>
  <c r="F51" i="1"/>
  <c r="F52" i="1" s="1"/>
  <c r="F120" i="1"/>
  <c r="F119" i="1"/>
  <c r="F118" i="1"/>
  <c r="F115" i="1"/>
  <c r="C64" i="2" s="1"/>
  <c r="C70" i="2" s="1"/>
  <c r="F128" i="1"/>
  <c r="F109" i="1"/>
  <c r="F66" i="1"/>
  <c r="F62" i="1"/>
  <c r="F61" i="1"/>
  <c r="F60" i="1"/>
  <c r="I324" i="1"/>
  <c r="G324" i="1"/>
  <c r="F324" i="1"/>
  <c r="H324" i="1"/>
  <c r="J324" i="1"/>
  <c r="L324" i="1" s="1"/>
  <c r="E105" i="2" s="1"/>
  <c r="J327" i="1"/>
  <c r="I327" i="1"/>
  <c r="I329" i="1" s="1"/>
  <c r="H327" i="1"/>
  <c r="G327" i="1"/>
  <c r="F327" i="1"/>
  <c r="H325" i="1"/>
  <c r="K325" i="1"/>
  <c r="I325" i="1"/>
  <c r="J325" i="1"/>
  <c r="C60" i="2"/>
  <c r="B2" i="13"/>
  <c r="G8" i="13"/>
  <c r="L214" i="1"/>
  <c r="D39" i="13"/>
  <c r="F13" i="13"/>
  <c r="G13" i="13"/>
  <c r="L237" i="1"/>
  <c r="L191" i="1"/>
  <c r="C12" i="10" s="1"/>
  <c r="L209" i="1"/>
  <c r="L210" i="1"/>
  <c r="F6" i="13"/>
  <c r="G6" i="13"/>
  <c r="F12" i="13"/>
  <c r="G12" i="13"/>
  <c r="L215" i="1"/>
  <c r="C18" i="10" s="1"/>
  <c r="F14" i="13"/>
  <c r="G14" i="13"/>
  <c r="F15" i="13"/>
  <c r="G15" i="13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F29" i="13"/>
  <c r="G29" i="13"/>
  <c r="L350" i="1"/>
  <c r="L351" i="1"/>
  <c r="D119" i="2" s="1"/>
  <c r="D120" i="2" s="1"/>
  <c r="L352" i="1"/>
  <c r="L354" i="1" s="1"/>
  <c r="I359" i="1"/>
  <c r="J282" i="1"/>
  <c r="F31" i="13" s="1"/>
  <c r="J301" i="1"/>
  <c r="K282" i="1"/>
  <c r="K301" i="1"/>
  <c r="K320" i="1"/>
  <c r="L268" i="1"/>
  <c r="L269" i="1"/>
  <c r="L270" i="1"/>
  <c r="L271" i="1"/>
  <c r="L273" i="1"/>
  <c r="L274" i="1"/>
  <c r="L275" i="1"/>
  <c r="L276" i="1"/>
  <c r="L277" i="1"/>
  <c r="L278" i="1"/>
  <c r="L279" i="1"/>
  <c r="L280" i="1"/>
  <c r="L287" i="1"/>
  <c r="L288" i="1"/>
  <c r="L289" i="1"/>
  <c r="L290" i="1"/>
  <c r="L292" i="1"/>
  <c r="L301" i="1" s="1"/>
  <c r="L293" i="1"/>
  <c r="L294" i="1"/>
  <c r="L295" i="1"/>
  <c r="L296" i="1"/>
  <c r="L297" i="1"/>
  <c r="L298" i="1"/>
  <c r="L299" i="1"/>
  <c r="L306" i="1"/>
  <c r="L309" i="1"/>
  <c r="L311" i="1"/>
  <c r="L312" i="1"/>
  <c r="L313" i="1"/>
  <c r="L314" i="1"/>
  <c r="E113" i="2" s="1"/>
  <c r="L315" i="1"/>
  <c r="L317" i="1"/>
  <c r="L318" i="1"/>
  <c r="L326" i="1"/>
  <c r="L252" i="1"/>
  <c r="C123" i="2"/>
  <c r="L253" i="1"/>
  <c r="C124" i="2" s="1"/>
  <c r="L333" i="1"/>
  <c r="H25" i="13" s="1"/>
  <c r="E123" i="2"/>
  <c r="L334" i="1"/>
  <c r="E124" i="2" s="1"/>
  <c r="C25" i="10"/>
  <c r="L247" i="1"/>
  <c r="L328" i="1"/>
  <c r="F22" i="13" s="1"/>
  <c r="C10" i="13"/>
  <c r="L353" i="1"/>
  <c r="B4" i="12"/>
  <c r="C36" i="12"/>
  <c r="C27" i="12"/>
  <c r="C31" i="12"/>
  <c r="B22" i="12"/>
  <c r="C22" i="12"/>
  <c r="B1" i="12"/>
  <c r="L379" i="1"/>
  <c r="L380" i="1"/>
  <c r="L381" i="1"/>
  <c r="L382" i="1"/>
  <c r="L383" i="1"/>
  <c r="L384" i="1"/>
  <c r="L385" i="1"/>
  <c r="L387" i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1" i="2"/>
  <c r="G54" i="2" s="1"/>
  <c r="G55" i="2" s="1"/>
  <c r="G53" i="2"/>
  <c r="F2" i="11"/>
  <c r="L602" i="1"/>
  <c r="G653" i="1"/>
  <c r="L601" i="1"/>
  <c r="C40" i="10"/>
  <c r="G52" i="1"/>
  <c r="H52" i="1"/>
  <c r="I52" i="1"/>
  <c r="F86" i="1"/>
  <c r="C50" i="2" s="1"/>
  <c r="F103" i="1"/>
  <c r="H71" i="1"/>
  <c r="H86" i="1"/>
  <c r="H104" i="1" s="1"/>
  <c r="E50" i="2"/>
  <c r="E54" i="2" s="1"/>
  <c r="E55" i="2" s="1"/>
  <c r="I103" i="1"/>
  <c r="I104" i="1"/>
  <c r="J103" i="1"/>
  <c r="G113" i="1"/>
  <c r="H113" i="1"/>
  <c r="I113" i="1"/>
  <c r="I128" i="1"/>
  <c r="I132" i="1"/>
  <c r="J113" i="1"/>
  <c r="J132" i="1" s="1"/>
  <c r="J128" i="1"/>
  <c r="F139" i="1"/>
  <c r="C77" i="2" s="1"/>
  <c r="C83" i="2" s="1"/>
  <c r="G139" i="1"/>
  <c r="I139" i="1"/>
  <c r="I154" i="1"/>
  <c r="L242" i="1"/>
  <c r="C105" i="2"/>
  <c r="L246" i="1"/>
  <c r="L260" i="1"/>
  <c r="L261" i="1"/>
  <c r="C135" i="2"/>
  <c r="L341" i="1"/>
  <c r="L342" i="1"/>
  <c r="I655" i="1"/>
  <c r="I660" i="1"/>
  <c r="I659" i="1"/>
  <c r="C42" i="10"/>
  <c r="C32" i="10"/>
  <c r="L366" i="1"/>
  <c r="L367" i="1"/>
  <c r="L368" i="1"/>
  <c r="L369" i="1"/>
  <c r="L370" i="1"/>
  <c r="L372" i="1"/>
  <c r="B2" i="10"/>
  <c r="L336" i="1"/>
  <c r="E126" i="2" s="1"/>
  <c r="L337" i="1"/>
  <c r="L338" i="1"/>
  <c r="E129" i="2" s="1"/>
  <c r="L339" i="1"/>
  <c r="K343" i="1"/>
  <c r="L511" i="1"/>
  <c r="F539" i="1" s="1"/>
  <c r="L512" i="1"/>
  <c r="F540" i="1" s="1"/>
  <c r="L513" i="1"/>
  <c r="F541" i="1"/>
  <c r="L516" i="1"/>
  <c r="G539" i="1"/>
  <c r="L517" i="1"/>
  <c r="G540" i="1" s="1"/>
  <c r="K540" i="1" s="1"/>
  <c r="L518" i="1"/>
  <c r="G541" i="1" s="1"/>
  <c r="L526" i="1"/>
  <c r="I539" i="1"/>
  <c r="L527" i="1"/>
  <c r="L529" i="1" s="1"/>
  <c r="I540" i="1"/>
  <c r="L528" i="1"/>
  <c r="I541" i="1"/>
  <c r="L531" i="1"/>
  <c r="L532" i="1"/>
  <c r="J540" i="1"/>
  <c r="L533" i="1"/>
  <c r="J541" i="1"/>
  <c r="K262" i="1"/>
  <c r="J262" i="1"/>
  <c r="I262" i="1"/>
  <c r="H262" i="1"/>
  <c r="G262" i="1"/>
  <c r="F262" i="1"/>
  <c r="A1" i="2"/>
  <c r="A2" i="2"/>
  <c r="C9" i="2"/>
  <c r="D9" i="2"/>
  <c r="E9" i="2"/>
  <c r="F9" i="2"/>
  <c r="I431" i="1"/>
  <c r="J9" i="1"/>
  <c r="C10" i="2"/>
  <c r="D10" i="2"/>
  <c r="D19" i="2" s="1"/>
  <c r="E10" i="2"/>
  <c r="F10" i="2"/>
  <c r="I432" i="1"/>
  <c r="J10" i="1" s="1"/>
  <c r="G10" i="2" s="1"/>
  <c r="C11" i="2"/>
  <c r="C12" i="2"/>
  <c r="D12" i="2"/>
  <c r="E12" i="2"/>
  <c r="F12" i="2"/>
  <c r="I433" i="1"/>
  <c r="I438" i="1" s="1"/>
  <c r="G632" i="1" s="1"/>
  <c r="J12" i="1"/>
  <c r="G12" i="2" s="1"/>
  <c r="C13" i="2"/>
  <c r="D13" i="2"/>
  <c r="F13" i="2"/>
  <c r="I434" i="1"/>
  <c r="J13" i="1"/>
  <c r="G13" i="2" s="1"/>
  <c r="C16" i="2"/>
  <c r="C17" i="2"/>
  <c r="C18" i="2"/>
  <c r="D14" i="2"/>
  <c r="E14" i="2"/>
  <c r="F14" i="2"/>
  <c r="I435" i="1"/>
  <c r="J14" i="1" s="1"/>
  <c r="G14" i="2" s="1"/>
  <c r="F15" i="2"/>
  <c r="D16" i="2"/>
  <c r="E16" i="2"/>
  <c r="F16" i="2"/>
  <c r="D17" i="2"/>
  <c r="E17" i="2"/>
  <c r="F17" i="2"/>
  <c r="I436" i="1"/>
  <c r="J17" i="1"/>
  <c r="G17" i="2"/>
  <c r="D18" i="2"/>
  <c r="E18" i="2"/>
  <c r="F18" i="2"/>
  <c r="I437" i="1"/>
  <c r="J18" i="1"/>
  <c r="G18" i="2"/>
  <c r="C22" i="2"/>
  <c r="C32" i="2" s="1"/>
  <c r="D22" i="2"/>
  <c r="E22" i="2"/>
  <c r="F22" i="2"/>
  <c r="I440" i="1"/>
  <c r="J23" i="1"/>
  <c r="C23" i="2"/>
  <c r="D23" i="2"/>
  <c r="E23" i="2"/>
  <c r="F23" i="2"/>
  <c r="F24" i="2"/>
  <c r="F25" i="2"/>
  <c r="F32" i="2" s="1"/>
  <c r="F26" i="2"/>
  <c r="F27" i="2"/>
  <c r="F28" i="2"/>
  <c r="F29" i="2"/>
  <c r="F30" i="2"/>
  <c r="F31" i="2"/>
  <c r="I441" i="1"/>
  <c r="J24" i="1"/>
  <c r="C24" i="2"/>
  <c r="D24" i="2"/>
  <c r="I442" i="1"/>
  <c r="I444" i="1" s="1"/>
  <c r="J25" i="1"/>
  <c r="J33" i="1" s="1"/>
  <c r="G24" i="2"/>
  <c r="C25" i="2"/>
  <c r="D25" i="2"/>
  <c r="E25" i="2"/>
  <c r="C26" i="2"/>
  <c r="C27" i="2"/>
  <c r="C29" i="2"/>
  <c r="C30" i="2"/>
  <c r="C31" i="2"/>
  <c r="D28" i="2"/>
  <c r="D29" i="2"/>
  <c r="E29" i="2"/>
  <c r="D30" i="2"/>
  <c r="E30" i="2"/>
  <c r="D31" i="2"/>
  <c r="E31" i="2"/>
  <c r="I443" i="1"/>
  <c r="J32" i="1" s="1"/>
  <c r="G31" i="2" s="1"/>
  <c r="C34" i="2"/>
  <c r="D34" i="2"/>
  <c r="D42" i="2"/>
  <c r="E34" i="2"/>
  <c r="E42" i="2" s="1"/>
  <c r="F34" i="2"/>
  <c r="C35" i="2"/>
  <c r="D35" i="2"/>
  <c r="E35" i="2"/>
  <c r="F35" i="2"/>
  <c r="C36" i="2"/>
  <c r="D36" i="2"/>
  <c r="E36" i="2"/>
  <c r="F36" i="2"/>
  <c r="F42" i="2" s="1"/>
  <c r="I446" i="1"/>
  <c r="J37" i="1"/>
  <c r="G36" i="2" s="1"/>
  <c r="G42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D41" i="2"/>
  <c r="E40" i="2"/>
  <c r="E41" i="2"/>
  <c r="F40" i="2"/>
  <c r="I449" i="1"/>
  <c r="J41" i="1"/>
  <c r="G40" i="2"/>
  <c r="C41" i="2"/>
  <c r="C42" i="2" s="1"/>
  <c r="F41" i="2"/>
  <c r="E48" i="2"/>
  <c r="E49" i="2"/>
  <c r="C51" i="2"/>
  <c r="D51" i="2"/>
  <c r="E51" i="2"/>
  <c r="F51" i="2"/>
  <c r="F54" i="2" s="1"/>
  <c r="D52" i="2"/>
  <c r="D54" i="2" s="1"/>
  <c r="D55" i="2" s="1"/>
  <c r="D96" i="2" s="1"/>
  <c r="C53" i="2"/>
  <c r="D53" i="2"/>
  <c r="F53" i="2"/>
  <c r="C59" i="2"/>
  <c r="C61" i="2"/>
  <c r="D61" i="2"/>
  <c r="D62" i="2"/>
  <c r="E61" i="2"/>
  <c r="E62" i="2"/>
  <c r="E73" i="2" s="1"/>
  <c r="F61" i="2"/>
  <c r="F62" i="2" s="1"/>
  <c r="G61" i="2"/>
  <c r="G62" i="2"/>
  <c r="F64" i="2"/>
  <c r="C65" i="2"/>
  <c r="F65" i="2"/>
  <c r="F70" i="2" s="1"/>
  <c r="C66" i="2"/>
  <c r="C67" i="2"/>
  <c r="C68" i="2"/>
  <c r="E68" i="2"/>
  <c r="E70" i="2" s="1"/>
  <c r="F68" i="2"/>
  <c r="F69" i="2"/>
  <c r="C69" i="2"/>
  <c r="E69" i="2"/>
  <c r="G69" i="2"/>
  <c r="G70" i="2"/>
  <c r="G73" i="2"/>
  <c r="D70" i="2"/>
  <c r="D73" i="2" s="1"/>
  <c r="C71" i="2"/>
  <c r="D71" i="2"/>
  <c r="E71" i="2"/>
  <c r="C72" i="2"/>
  <c r="E72" i="2"/>
  <c r="D77" i="2"/>
  <c r="C79" i="2"/>
  <c r="E79" i="2"/>
  <c r="F79" i="2"/>
  <c r="F83" i="2" s="1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3" i="2"/>
  <c r="E104" i="2"/>
  <c r="C106" i="2"/>
  <c r="D107" i="2"/>
  <c r="D137" i="2" s="1"/>
  <c r="F107" i="2"/>
  <c r="G107" i="2"/>
  <c r="E114" i="2"/>
  <c r="E115" i="2"/>
  <c r="E116" i="2"/>
  <c r="E117" i="2"/>
  <c r="D126" i="2"/>
  <c r="D136" i="2"/>
  <c r="F120" i="2"/>
  <c r="G120" i="2"/>
  <c r="G137" i="2" s="1"/>
  <c r="C122" i="2"/>
  <c r="E122" i="2"/>
  <c r="F126" i="2"/>
  <c r="K411" i="1"/>
  <c r="K419" i="1"/>
  <c r="K425" i="1"/>
  <c r="L255" i="1"/>
  <c r="C127" i="2"/>
  <c r="E127" i="2"/>
  <c r="L256" i="1"/>
  <c r="C128" i="2" s="1"/>
  <c r="C134" i="2"/>
  <c r="L257" i="1"/>
  <c r="C129" i="2" s="1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 s="1"/>
  <c r="C153" i="2"/>
  <c r="G490" i="1"/>
  <c r="H490" i="1"/>
  <c r="D153" i="2" s="1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156" i="2" s="1"/>
  <c r="G493" i="1"/>
  <c r="K493" i="1" s="1"/>
  <c r="C156" i="2"/>
  <c r="H493" i="1"/>
  <c r="D156" i="2"/>
  <c r="I493" i="1"/>
  <c r="E156" i="2" s="1"/>
  <c r="J493" i="1"/>
  <c r="F156" i="2"/>
  <c r="G19" i="1"/>
  <c r="G608" i="1" s="1"/>
  <c r="H19" i="1"/>
  <c r="I19" i="1"/>
  <c r="G610" i="1" s="1"/>
  <c r="F33" i="1"/>
  <c r="G33" i="1"/>
  <c r="G44" i="1" s="1"/>
  <c r="H608" i="1" s="1"/>
  <c r="I33" i="1"/>
  <c r="F43" i="1"/>
  <c r="G612" i="1" s="1"/>
  <c r="J612" i="1" s="1"/>
  <c r="G43" i="1"/>
  <c r="H43" i="1"/>
  <c r="I43" i="1"/>
  <c r="F169" i="1"/>
  <c r="F184" i="1"/>
  <c r="I169" i="1"/>
  <c r="I184" i="1"/>
  <c r="F175" i="1"/>
  <c r="G175" i="1"/>
  <c r="H175" i="1"/>
  <c r="H184" i="1" s="1"/>
  <c r="I175" i="1"/>
  <c r="J175" i="1"/>
  <c r="J184" i="1"/>
  <c r="F180" i="1"/>
  <c r="G180" i="1"/>
  <c r="G184" i="1"/>
  <c r="H180" i="1"/>
  <c r="I180" i="1"/>
  <c r="I221" i="1"/>
  <c r="J221" i="1"/>
  <c r="K221" i="1"/>
  <c r="F248" i="1"/>
  <c r="L248" i="1" s="1"/>
  <c r="G248" i="1"/>
  <c r="H248" i="1"/>
  <c r="I248" i="1"/>
  <c r="J248" i="1"/>
  <c r="K248" i="1"/>
  <c r="F282" i="1"/>
  <c r="G282" i="1"/>
  <c r="H282" i="1"/>
  <c r="I282" i="1"/>
  <c r="I330" i="1" s="1"/>
  <c r="I344" i="1" s="1"/>
  <c r="F301" i="1"/>
  <c r="G301" i="1"/>
  <c r="H301" i="1"/>
  <c r="I301" i="1"/>
  <c r="F329" i="1"/>
  <c r="G329" i="1"/>
  <c r="J329" i="1"/>
  <c r="J330" i="1"/>
  <c r="J344" i="1"/>
  <c r="K329" i="1"/>
  <c r="K330" i="1"/>
  <c r="K344" i="1"/>
  <c r="F354" i="1"/>
  <c r="G354" i="1"/>
  <c r="H354" i="1"/>
  <c r="I354" i="1"/>
  <c r="G624" i="1"/>
  <c r="J354" i="1"/>
  <c r="K354" i="1"/>
  <c r="I360" i="1"/>
  <c r="F361" i="1"/>
  <c r="G361" i="1"/>
  <c r="H361" i="1"/>
  <c r="L373" i="1"/>
  <c r="F374" i="1"/>
  <c r="G374" i="1"/>
  <c r="H374" i="1"/>
  <c r="I374" i="1"/>
  <c r="K374" i="1"/>
  <c r="F385" i="1"/>
  <c r="G385" i="1"/>
  <c r="H385" i="1"/>
  <c r="I385" i="1"/>
  <c r="F393" i="1"/>
  <c r="G393" i="1"/>
  <c r="G400" i="1" s="1"/>
  <c r="H635" i="1" s="1"/>
  <c r="J635" i="1" s="1"/>
  <c r="H393" i="1"/>
  <c r="I393" i="1"/>
  <c r="F399" i="1"/>
  <c r="G399" i="1"/>
  <c r="H399" i="1"/>
  <c r="H400" i="1" s="1"/>
  <c r="H634" i="1" s="1"/>
  <c r="J634" i="1" s="1"/>
  <c r="I399" i="1"/>
  <c r="F400" i="1"/>
  <c r="H633" i="1" s="1"/>
  <c r="L405" i="1"/>
  <c r="L406" i="1"/>
  <c r="L407" i="1"/>
  <c r="L408" i="1"/>
  <c r="L409" i="1"/>
  <c r="L411" i="1" s="1"/>
  <c r="L410" i="1"/>
  <c r="F411" i="1"/>
  <c r="G411" i="1"/>
  <c r="G426" i="1" s="1"/>
  <c r="H411" i="1"/>
  <c r="I411" i="1"/>
  <c r="I426" i="1" s="1"/>
  <c r="J411" i="1"/>
  <c r="L413" i="1"/>
  <c r="L419" i="1" s="1"/>
  <c r="L426" i="1" s="1"/>
  <c r="G628" i="1" s="1"/>
  <c r="J628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G425" i="1"/>
  <c r="H425" i="1"/>
  <c r="H426" i="1" s="1"/>
  <c r="I425" i="1"/>
  <c r="J425" i="1"/>
  <c r="J426" i="1"/>
  <c r="F438" i="1"/>
  <c r="G438" i="1"/>
  <c r="H438" i="1"/>
  <c r="G631" i="1"/>
  <c r="F444" i="1"/>
  <c r="F451" i="1" s="1"/>
  <c r="H629" i="1" s="1"/>
  <c r="G444" i="1"/>
  <c r="G451" i="1" s="1"/>
  <c r="H630" i="1" s="1"/>
  <c r="H444" i="1"/>
  <c r="H451" i="1" s="1"/>
  <c r="H631" i="1" s="1"/>
  <c r="J631" i="1" s="1"/>
  <c r="F450" i="1"/>
  <c r="G450" i="1"/>
  <c r="H450" i="1"/>
  <c r="F460" i="1"/>
  <c r="F466" i="1" s="1"/>
  <c r="H612" i="1" s="1"/>
  <c r="G460" i="1"/>
  <c r="G466" i="1" s="1"/>
  <c r="H613" i="1" s="1"/>
  <c r="J613" i="1" s="1"/>
  <c r="H460" i="1"/>
  <c r="I460" i="1"/>
  <c r="I466" i="1" s="1"/>
  <c r="H615" i="1" s="1"/>
  <c r="J460" i="1"/>
  <c r="F464" i="1"/>
  <c r="G464" i="1"/>
  <c r="I464" i="1"/>
  <c r="J464" i="1"/>
  <c r="K485" i="1"/>
  <c r="K486" i="1"/>
  <c r="K487" i="1"/>
  <c r="K489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24" i="1"/>
  <c r="J514" i="1"/>
  <c r="K514" i="1"/>
  <c r="L514" i="1"/>
  <c r="F519" i="1"/>
  <c r="G519" i="1"/>
  <c r="H519" i="1"/>
  <c r="I519" i="1"/>
  <c r="J519" i="1"/>
  <c r="K519" i="1"/>
  <c r="F524" i="1"/>
  <c r="G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50" i="1"/>
  <c r="L561" i="1" s="1"/>
  <c r="L549" i="1"/>
  <c r="F550" i="1"/>
  <c r="G550" i="1"/>
  <c r="H550" i="1"/>
  <c r="I550" i="1"/>
  <c r="I561" i="1"/>
  <c r="J550" i="1"/>
  <c r="J561" i="1" s="1"/>
  <c r="K550" i="1"/>
  <c r="K561" i="1" s="1"/>
  <c r="L552" i="1"/>
  <c r="L553" i="1"/>
  <c r="L555" i="1"/>
  <c r="L554" i="1"/>
  <c r="F555" i="1"/>
  <c r="F561" i="1"/>
  <c r="G555" i="1"/>
  <c r="H555" i="1"/>
  <c r="H561" i="1" s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3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 s="1"/>
  <c r="J588" i="1"/>
  <c r="H641" i="1" s="1"/>
  <c r="K592" i="1"/>
  <c r="K595" i="1"/>
  <c r="G638" i="1"/>
  <c r="K593" i="1"/>
  <c r="K594" i="1"/>
  <c r="H595" i="1"/>
  <c r="I595" i="1"/>
  <c r="J595" i="1"/>
  <c r="F604" i="1"/>
  <c r="H604" i="1"/>
  <c r="I604" i="1"/>
  <c r="J604" i="1"/>
  <c r="K604" i="1"/>
  <c r="G609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J630" i="1"/>
  <c r="G633" i="1"/>
  <c r="G634" i="1"/>
  <c r="G635" i="1"/>
  <c r="H639" i="1"/>
  <c r="G642" i="1"/>
  <c r="J642" i="1" s="1"/>
  <c r="H642" i="1"/>
  <c r="G643" i="1"/>
  <c r="H643" i="1"/>
  <c r="G644" i="1"/>
  <c r="H644" i="1"/>
  <c r="J644" i="1"/>
  <c r="G645" i="1"/>
  <c r="H645" i="1"/>
  <c r="J645" i="1" s="1"/>
  <c r="G561" i="1"/>
  <c r="C26" i="10"/>
  <c r="C95" i="2"/>
  <c r="D83" i="2"/>
  <c r="D19" i="13"/>
  <c r="C19" i="13"/>
  <c r="K426" i="1"/>
  <c r="G126" i="2"/>
  <c r="G136" i="2" s="1"/>
  <c r="G149" i="2"/>
  <c r="G23" i="2"/>
  <c r="C22" i="13"/>
  <c r="G155" i="2"/>
  <c r="G22" i="2"/>
  <c r="F48" i="2"/>
  <c r="F55" i="2" s="1"/>
  <c r="D48" i="2"/>
  <c r="J104" i="1"/>
  <c r="E110" i="2"/>
  <c r="G31" i="13"/>
  <c r="J466" i="1"/>
  <c r="H616" i="1" s="1"/>
  <c r="J535" i="1"/>
  <c r="J643" i="1"/>
  <c r="F44" i="1"/>
  <c r="H607" i="1" s="1"/>
  <c r="E19" i="2"/>
  <c r="G613" i="1"/>
  <c r="J629" i="1"/>
  <c r="L233" i="1"/>
  <c r="L189" i="1"/>
  <c r="L325" i="1"/>
  <c r="F77" i="2"/>
  <c r="I161" i="1"/>
  <c r="L393" i="1"/>
  <c r="C131" i="2"/>
  <c r="C113" i="2" l="1"/>
  <c r="H33" i="1"/>
  <c r="H44" i="1" s="1"/>
  <c r="H609" i="1" s="1"/>
  <c r="J609" i="1" s="1"/>
  <c r="E24" i="2"/>
  <c r="E32" i="2" s="1"/>
  <c r="E43" i="2" s="1"/>
  <c r="G330" i="1"/>
  <c r="G344" i="1" s="1"/>
  <c r="G640" i="1"/>
  <c r="J640" i="1" s="1"/>
  <c r="G652" i="1"/>
  <c r="F426" i="1"/>
  <c r="I400" i="1"/>
  <c r="L262" i="1"/>
  <c r="L371" i="1"/>
  <c r="J374" i="1"/>
  <c r="F320" i="1"/>
  <c r="F330" i="1" s="1"/>
  <c r="F344" i="1" s="1"/>
  <c r="L307" i="1"/>
  <c r="B18" i="12"/>
  <c r="A22" i="12" s="1"/>
  <c r="H249" i="1"/>
  <c r="H263" i="1" s="1"/>
  <c r="L201" i="1"/>
  <c r="C40" i="12"/>
  <c r="I203" i="1"/>
  <c r="I249" i="1" s="1"/>
  <c r="I263" i="1" s="1"/>
  <c r="I239" i="1"/>
  <c r="F490" i="1"/>
  <c r="K488" i="1"/>
  <c r="H466" i="1"/>
  <c r="H614" i="1" s="1"/>
  <c r="J614" i="1" s="1"/>
  <c r="J633" i="1"/>
  <c r="J43" i="1"/>
  <c r="I542" i="1"/>
  <c r="K539" i="1"/>
  <c r="F542" i="1"/>
  <c r="C48" i="2"/>
  <c r="C35" i="10"/>
  <c r="C18" i="12"/>
  <c r="G320" i="1"/>
  <c r="J239" i="1"/>
  <c r="J607" i="1"/>
  <c r="L203" i="1"/>
  <c r="F16" i="13"/>
  <c r="F33" i="13" s="1"/>
  <c r="J203" i="1"/>
  <c r="J249" i="1" s="1"/>
  <c r="J539" i="1"/>
  <c r="J542" i="1" s="1"/>
  <c r="L534" i="1"/>
  <c r="C130" i="2"/>
  <c r="C133" i="2" s="1"/>
  <c r="L400" i="1"/>
  <c r="C112" i="2"/>
  <c r="E8" i="13"/>
  <c r="C17" i="10"/>
  <c r="E13" i="13"/>
  <c r="C13" i="13" s="1"/>
  <c r="C114" i="2"/>
  <c r="C19" i="10"/>
  <c r="I451" i="1"/>
  <c r="H632" i="1" s="1"/>
  <c r="J632" i="1" s="1"/>
  <c r="K203" i="1"/>
  <c r="K249" i="1" s="1"/>
  <c r="K263" i="1" s="1"/>
  <c r="G5" i="13"/>
  <c r="G33" i="13" s="1"/>
  <c r="L190" i="1"/>
  <c r="G32" i="2"/>
  <c r="G43" i="2" s="1"/>
  <c r="I535" i="1"/>
  <c r="J608" i="1"/>
  <c r="I450" i="1"/>
  <c r="C23" i="10"/>
  <c r="E112" i="2"/>
  <c r="I361" i="1"/>
  <c r="H624" i="1" s="1"/>
  <c r="J624" i="1" s="1"/>
  <c r="D12" i="13"/>
  <c r="C12" i="13" s="1"/>
  <c r="L230" i="1"/>
  <c r="D6" i="13" s="1"/>
  <c r="C6" i="13" s="1"/>
  <c r="F653" i="1"/>
  <c r="L519" i="1"/>
  <c r="C116" i="2"/>
  <c r="C43" i="2"/>
  <c r="F43" i="2"/>
  <c r="E111" i="2"/>
  <c r="C27" i="10"/>
  <c r="G625" i="1"/>
  <c r="J625" i="1" s="1"/>
  <c r="F71" i="1"/>
  <c r="C49" i="2" s="1"/>
  <c r="C54" i="2" s="1"/>
  <c r="C101" i="2"/>
  <c r="C10" i="10"/>
  <c r="B13" i="12"/>
  <c r="G604" i="1"/>
  <c r="L603" i="1"/>
  <c r="G641" i="1"/>
  <c r="J641" i="1" s="1"/>
  <c r="H652" i="1"/>
  <c r="D14" i="13"/>
  <c r="C14" i="13" s="1"/>
  <c r="C20" i="10"/>
  <c r="C115" i="2"/>
  <c r="K535" i="1"/>
  <c r="F73" i="2"/>
  <c r="F96" i="2" s="1"/>
  <c r="J19" i="1"/>
  <c r="G611" i="1" s="1"/>
  <c r="I185" i="1"/>
  <c r="G620" i="1" s="1"/>
  <c r="J620" i="1" s="1"/>
  <c r="H161" i="1"/>
  <c r="E77" i="2"/>
  <c r="E83" i="2" s="1"/>
  <c r="A40" i="12"/>
  <c r="H539" i="1"/>
  <c r="H542" i="1" s="1"/>
  <c r="L524" i="1"/>
  <c r="F535" i="1"/>
  <c r="I44" i="1"/>
  <c r="H610" i="1" s="1"/>
  <c r="J610" i="1" s="1"/>
  <c r="G150" i="2"/>
  <c r="G148" i="2"/>
  <c r="K541" i="1"/>
  <c r="G161" i="1"/>
  <c r="L282" i="1"/>
  <c r="G651" i="1"/>
  <c r="G103" i="1"/>
  <c r="G104" i="1" s="1"/>
  <c r="F221" i="1"/>
  <c r="F249" i="1" s="1"/>
  <c r="F263" i="1" s="1"/>
  <c r="F239" i="1"/>
  <c r="L225" i="1"/>
  <c r="L239" i="1" s="1"/>
  <c r="B9" i="12"/>
  <c r="G203" i="1"/>
  <c r="G249" i="1" s="1"/>
  <c r="G263" i="1" s="1"/>
  <c r="L195" i="1"/>
  <c r="K588" i="1"/>
  <c r="G637" i="1" s="1"/>
  <c r="J637" i="1" s="1"/>
  <c r="E95" i="2"/>
  <c r="E96" i="2" s="1"/>
  <c r="F95" i="2"/>
  <c r="F19" i="2"/>
  <c r="F161" i="1"/>
  <c r="E136" i="2"/>
  <c r="G239" i="1"/>
  <c r="H185" i="1"/>
  <c r="G619" i="1" s="1"/>
  <c r="J619" i="1" s="1"/>
  <c r="C25" i="13"/>
  <c r="H33" i="13"/>
  <c r="L327" i="1"/>
  <c r="E106" i="2" s="1"/>
  <c r="H329" i="1"/>
  <c r="L329" i="1" s="1"/>
  <c r="F113" i="1"/>
  <c r="F132" i="1" s="1"/>
  <c r="C38" i="10" s="1"/>
  <c r="C58" i="2"/>
  <c r="C62" i="2" s="1"/>
  <c r="C73" i="2" s="1"/>
  <c r="C37" i="10"/>
  <c r="L208" i="1"/>
  <c r="L221" i="1" s="1"/>
  <c r="G650" i="1" s="1"/>
  <c r="G654" i="1" s="1"/>
  <c r="J185" i="1"/>
  <c r="C136" i="2"/>
  <c r="D32" i="2"/>
  <c r="D43" i="2" s="1"/>
  <c r="G542" i="1"/>
  <c r="G96" i="2"/>
  <c r="D15" i="13"/>
  <c r="C15" i="13" s="1"/>
  <c r="H637" i="1"/>
  <c r="F652" i="1"/>
  <c r="G639" i="1"/>
  <c r="J639" i="1" s="1"/>
  <c r="C21" i="10"/>
  <c r="F651" i="1"/>
  <c r="I651" i="1" s="1"/>
  <c r="L192" i="1"/>
  <c r="H651" i="1"/>
  <c r="C24" i="10"/>
  <c r="D29" i="13"/>
  <c r="C29" i="13" s="1"/>
  <c r="G615" i="1"/>
  <c r="J615" i="1" s="1"/>
  <c r="C14" i="2"/>
  <c r="C19" i="2" s="1"/>
  <c r="B27" i="12"/>
  <c r="A31" i="12" s="1"/>
  <c r="C9" i="12"/>
  <c r="G9" i="2"/>
  <c r="G19" i="2" s="1"/>
  <c r="L343" i="1"/>
  <c r="C103" i="2"/>
  <c r="I572" i="1"/>
  <c r="G662" i="1" l="1"/>
  <c r="C5" i="10" s="1"/>
  <c r="G657" i="1"/>
  <c r="H330" i="1"/>
  <c r="H344" i="1" s="1"/>
  <c r="J263" i="1"/>
  <c r="H638" i="1"/>
  <c r="J638" i="1" s="1"/>
  <c r="K542" i="1"/>
  <c r="L320" i="1"/>
  <c r="H650" i="1" s="1"/>
  <c r="H654" i="1" s="1"/>
  <c r="E102" i="2"/>
  <c r="E107" i="2" s="1"/>
  <c r="E137" i="2" s="1"/>
  <c r="C111" i="2"/>
  <c r="D7" i="13"/>
  <c r="C7" i="13" s="1"/>
  <c r="C16" i="10"/>
  <c r="F122" i="2"/>
  <c r="F136" i="2" s="1"/>
  <c r="F137" i="2" s="1"/>
  <c r="L374" i="1"/>
  <c r="G626" i="1" s="1"/>
  <c r="J626" i="1" s="1"/>
  <c r="C29" i="10"/>
  <c r="C13" i="10"/>
  <c r="C104" i="2"/>
  <c r="C107" i="2" s="1"/>
  <c r="G621" i="1"/>
  <c r="J621" i="1" s="1"/>
  <c r="G636" i="1"/>
  <c r="J636" i="1" s="1"/>
  <c r="A13" i="12"/>
  <c r="C8" i="13"/>
  <c r="E33" i="13"/>
  <c r="D35" i="13" s="1"/>
  <c r="C110" i="2"/>
  <c r="D5" i="13"/>
  <c r="E120" i="2"/>
  <c r="B153" i="2"/>
  <c r="G153" i="2" s="1"/>
  <c r="K490" i="1"/>
  <c r="C15" i="10"/>
  <c r="G627" i="1"/>
  <c r="J627" i="1" s="1"/>
  <c r="H636" i="1"/>
  <c r="F650" i="1"/>
  <c r="L249" i="1"/>
  <c r="L263" i="1" s="1"/>
  <c r="G622" i="1" s="1"/>
  <c r="J622" i="1" s="1"/>
  <c r="C36" i="10"/>
  <c r="C41" i="10" s="1"/>
  <c r="J44" i="1"/>
  <c r="H611" i="1" s="1"/>
  <c r="G616" i="1"/>
  <c r="J616" i="1" s="1"/>
  <c r="G185" i="1"/>
  <c r="G618" i="1" s="1"/>
  <c r="J618" i="1" s="1"/>
  <c r="H653" i="1"/>
  <c r="I653" i="1" s="1"/>
  <c r="L604" i="1"/>
  <c r="C102" i="2"/>
  <c r="C11" i="10"/>
  <c r="F104" i="1"/>
  <c r="F185" i="1" s="1"/>
  <c r="G617" i="1" s="1"/>
  <c r="J617" i="1" s="1"/>
  <c r="J611" i="1"/>
  <c r="I652" i="1"/>
  <c r="C39" i="10"/>
  <c r="L535" i="1"/>
  <c r="C55" i="2"/>
  <c r="C96" i="2" s="1"/>
  <c r="C117" i="2"/>
  <c r="E16" i="13"/>
  <c r="C16" i="13" s="1"/>
  <c r="D40" i="10" l="1"/>
  <c r="D38" i="10"/>
  <c r="D35" i="10"/>
  <c r="D37" i="10"/>
  <c r="H657" i="1"/>
  <c r="H662" i="1"/>
  <c r="C6" i="10" s="1"/>
  <c r="C5" i="13"/>
  <c r="D33" i="13"/>
  <c r="D36" i="13" s="1"/>
  <c r="D13" i="10"/>
  <c r="C120" i="2"/>
  <c r="C137" i="2" s="1"/>
  <c r="F654" i="1"/>
  <c r="I650" i="1"/>
  <c r="I654" i="1" s="1"/>
  <c r="D36" i="10"/>
  <c r="L330" i="1"/>
  <c r="L344" i="1" s="1"/>
  <c r="G623" i="1" s="1"/>
  <c r="C28" i="10"/>
  <c r="D15" i="10" s="1"/>
  <c r="D31" i="13"/>
  <c r="C31" i="13" s="1"/>
  <c r="D16" i="10"/>
  <c r="D39" i="10"/>
  <c r="D11" i="10" l="1"/>
  <c r="J623" i="1"/>
  <c r="H646" i="1"/>
  <c r="D41" i="10"/>
  <c r="D22" i="10"/>
  <c r="C30" i="10"/>
  <c r="D25" i="10"/>
  <c r="D18" i="10"/>
  <c r="D26" i="10"/>
  <c r="D12" i="10"/>
  <c r="D19" i="10"/>
  <c r="D10" i="10"/>
  <c r="D20" i="10"/>
  <c r="D23" i="10"/>
  <c r="D27" i="10"/>
  <c r="D17" i="10"/>
  <c r="D21" i="10"/>
  <c r="D24" i="10"/>
  <c r="I662" i="1"/>
  <c r="C7" i="10" s="1"/>
  <c r="I657" i="1"/>
  <c r="F657" i="1"/>
  <c r="F662" i="1"/>
  <c r="C4" i="10" s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58E326F-C23C-403D-BDD3-A0EA5255C48B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8ED20D8-0F6F-4764-BBAE-456E1D3B9F2F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9C61A21-7933-4266-B272-5BEE906147B4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F0A1ED3-8332-4989-A98A-2CF8355E2C3A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F8416770-8FE0-486E-BE93-46FC556AA679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127C7F6-0627-4DAA-ACD9-706E48C736FB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9C863B01-5C51-471D-BC98-FBCBC638607E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B2552C2B-9C35-44BB-B945-2068B5696049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FC4F56FA-4FF8-412C-BF13-624834BDA364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067CFE09-37D6-4100-8A98-74D1583897BC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EA8E166B-F931-4A97-853C-146166FFE43A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B039403-DFC8-41D5-A614-6A8B32937F4F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<sst xmlns="http://schemas.openxmlformats.org/spreadsheetml/2006/main" count="3862" uniqueCount="899">
  <si>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</si>
  <si>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</si>
  <si>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</si>
  <si>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</si>
  <si>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</si>
  <si>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</si>
  <si>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</si>
  <si>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</si>
  <si>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</si>
  <si>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</si>
  <si>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</si>
  <si>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</si>
  <si>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</si>
  <si>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</si>
  <si>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</si>
  <si>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</si>
  <si>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</si>
  <si>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</si>
  <si>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</si>
  <si>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</si>
  <si>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</si>
  <si>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</si>
  <si>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</si>
  <si>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</si>
  <si>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</si>
  <si>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</si>
  <si>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</si>
  <si>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</si>
  <si>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</si>
  <si>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</si>
  <si>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</si>
  <si>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</si>
  <si>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</si>
  <si>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</si>
  <si>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</si>
  <si>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</si>
  <si>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</si>
  <si>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</si>
  <si>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</si>
  <si>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</si>
  <si>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</si>
  <si>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</si>
  <si>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</si>
  <si>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</si>
  <si>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</si>
  <si>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</si>
  <si>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</si>
  <si>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</si>
  <si>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</si>
  <si>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</si>
  <si>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</si>
  <si>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</si>
  <si>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</si>
  <si>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</si>
  <si>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</si>
  <si>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</si>
  <si>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</si>
  <si>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</si>
  <si>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</si>
  <si>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</si>
  <si>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</si>
  <si>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</si>
  <si>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</si>
  <si>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</si>
  <si>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</si>
  <si>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</si>
  <si>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</si>
  <si>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</si>
  <si>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</si>
  <si>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</si>
  <si>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</si>
  <si>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</si>
  <si>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</si>
  <si>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</si>
  <si>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</si>
  <si>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</si>
  <si>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</si>
  <si>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</si>
  <si>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</si>
  <si>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</si>
  <si>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</si>
  <si>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</si>
  <si>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</si>
  <si>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</si>
  <si>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</si>
  <si>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</si>
  <si>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</si>
  <si>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</si>
  <si>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</si>
  <si>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</si>
  <si>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</si>
  <si>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</si>
  <si>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</si>
  <si>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</si>
  <si>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</si>
  <si>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</si>
  <si>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</si>
  <si>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</si>
  <si>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</si>
  <si>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</si>
  <si>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</si>
  <si>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</si>
  <si>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</si>
  <si>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</si>
  <si>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</si>
  <si>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</si>
  <si>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</si>
  <si>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</si>
  <si>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</si>
  <si>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</si>
  <si>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</si>
  <si>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</si>
  <si>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</si>
  <si>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</si>
  <si>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</si>
  <si>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</si>
  <si>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</si>
  <si>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</si>
  <si>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</si>
  <si>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</si>
  <si>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</si>
  <si>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</si>
  <si>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</si>
  <si>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</si>
  <si>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</si>
  <si>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</si>
  <si>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</si>
  <si>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</si>
  <si>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</si>
  <si>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</si>
  <si>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</si>
  <si>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</si>
  <si>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</si>
  <si>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</si>
  <si>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</si>
  <si>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</si>
  <si>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</si>
  <si>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</si>
  <si>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</si>
  <si>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</si>
  <si>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</si>
  <si>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</si>
  <si>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</si>
  <si>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</si>
  <si>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</si>
  <si>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</si>
  <si>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</si>
  <si>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</si>
  <si>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</si>
  <si>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</si>
  <si>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</si>
  <si>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</si>
  <si>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</si>
  <si>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</si>
  <si>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</si>
  <si>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</si>
  <si>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</si>
  <si>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</si>
  <si>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</si>
  <si>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</si>
  <si>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</si>
  <si>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</si>
  <si>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</si>
  <si>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</si>
  <si>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</si>
  <si>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</si>
  <si>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</si>
  <si>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</si>
  <si>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</si>
  <si>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</si>
  <si>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</si>
  <si>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</si>
  <si>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</si>
  <si>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</si>
  <si>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</si>
  <si>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</si>
  <si>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</si>
  <si>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</si>
  <si>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</si>
  <si>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</si>
  <si>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</si>
  <si>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</si>
  <si>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</si>
  <si>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</si>
  <si>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</si>
  <si>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</si>
  <si>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</si>
  <si>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</si>
  <si>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</si>
  <si>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</si>
  <si>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</si>
  <si>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</si>
  <si>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</si>
  <si>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</si>
  <si>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</si>
  <si>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</si>
  <si>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</si>
  <si>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</si>
  <si>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</si>
  <si>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</si>
  <si>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</si>
  <si>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</si>
  <si>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</si>
  <si>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</si>
  <si>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</si>
  <si>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</si>
  <si>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</si>
  <si>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</si>
  <si>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</si>
  <si>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</si>
  <si>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</si>
  <si>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</si>
  <si>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</si>
  <si>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</si>
  <si>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</si>
  <si>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</si>
  <si>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</si>
  <si>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</si>
  <si>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</si>
  <si>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</si>
  <si>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</si>
  <si>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</si>
  <si>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</si>
  <si>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</si>
  <si>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</si>
  <si>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</si>
  <si>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</si>
  <si>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</si>
  <si>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</si>
  <si>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</si>
  <si>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</si>
  <si>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</si>
  <si>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</si>
  <si>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</si>
  <si>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</si>
  <si>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</si>
  <si>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</si>
  <si>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</si>
  <si>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</si>
  <si>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</si>
  <si>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</si>
  <si>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</si>
  <si>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</si>
  <si>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</si>
  <si>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</si>
  <si>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</si>
  <si>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</si>
  <si>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</si>
  <si>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</si>
  <si>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</si>
  <si>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</si>
  <si>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</si>
  <si>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</si>
  <si>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</si>
  <si>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</si>
  <si>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</si>
  <si>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</si>
  <si>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</si>
  <si>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</si>
  <si>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</si>
  <si>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</si>
  <si>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</si>
  <si>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</si>
  <si>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</si>
  <si>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</si>
  <si>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</si>
  <si>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</si>
  <si>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</si>
  <si>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</si>
  <si>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</si>
  <si>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</si>
  <si>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</si>
  <si>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</si>
  <si>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</si>
  <si>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</si>
  <si>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</si>
  <si>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</si>
  <si>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</si>
  <si>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</si>
  <si>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</si>
  <si>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</si>
  <si>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</si>
  <si>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</si>
  <si>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</si>
  <si>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</si>
  <si>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</si>
  <si>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</si>
  <si>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</si>
  <si>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</si>
  <si>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</si>
  <si>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</si>
  <si>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</si>
  <si>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</si>
  <si>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</si>
  <si>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</si>
  <si>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</si>
  <si>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</si>
  <si>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</si>
  <si>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</si>
  <si>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</si>
  <si>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</si>
  <si>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</si>
  <si>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</si>
  <si>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</si>
  <si>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</si>
  <si>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</si>
  <si>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</si>
  <si>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</si>
  <si>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</si>
  <si>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</si>
  <si>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</si>
  <si>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</si>
  <si>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</si>
  <si>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</si>
  <si>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</si>
  <si>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</si>
  <si>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</si>
  <si>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</si>
  <si>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</si>
  <si>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</si>
  <si>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</si>
  <si>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</si>
  <si>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</si>
  <si>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</si>
  <si>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</si>
  <si>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</si>
  <si>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</si>
  <si>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</si>
  <si>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</si>
  <si>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</si>
  <si>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</si>
  <si>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</si>
  <si>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</si>
  <si>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</si>
  <si>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</si>
  <si>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</si>
  <si>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</si>
  <si>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</si>
  <si>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</si>
  <si>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</si>
  <si>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</si>
  <si>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</si>
  <si>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</si>
  <si>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</si>
  <si>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</si>
  <si>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</si>
  <si>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</si>
  <si>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</si>
  <si>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</si>
  <si>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</si>
  <si>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</si>
  <si>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</si>
  <si>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</si>
  <si>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</si>
  <si>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</si>
  <si>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</si>
  <si>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</si>
  <si>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</si>
  <si>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</si>
  <si>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</si>
  <si>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</si>
  <si>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</si>
  <si>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</si>
  <si>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</si>
  <si>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</si>
  <si>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</si>
  <si>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</si>
  <si>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</si>
  <si>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</si>
  <si>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</si>
  <si>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</si>
  <si>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</si>
  <si>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</si>
  <si>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</si>
  <si>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</si>
  <si>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</si>
  <si>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</si>
  <si>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</si>
  <si>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</si>
  <si>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</si>
  <si>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</si>
  <si>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</si>
  <si>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</si>
  <si>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</si>
  <si>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</si>
  <si>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</si>
  <si>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</si>
  <si>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</si>
  <si>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</si>
  <si>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</si>
  <si>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</si>
  <si>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</si>
  <si>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</si>
  <si>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</si>
  <si>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</si>
  <si>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</si>
  <si>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</si>
  <si>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</si>
  <si>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</si>
  <si>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</si>
  <si>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</si>
  <si>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</si>
  <si>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</si>
  <si>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</si>
  <si>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</si>
  <si>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</si>
  <si>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</si>
  <si>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</si>
  <si>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</si>
  <si>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</si>
  <si>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</si>
  <si>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</si>
  <si>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</si>
  <si>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</si>
  <si>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</si>
  <si>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</si>
  <si>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</si>
  <si>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</si>
  <si>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</si>
  <si>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</si>
  <si>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</si>
  <si>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</si>
  <si>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</si>
  <si>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</si>
  <si>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</si>
  <si>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</si>
  <si>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</si>
  <si>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</si>
  <si>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</si>
  <si>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</si>
  <si>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</si>
  <si>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</si>
  <si>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</si>
  <si>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</si>
  <si>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</si>
  <si>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</si>
  <si>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</si>
  <si>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</si>
  <si>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</si>
  <si>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</si>
  <si>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</si>
  <si>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</si>
  <si>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</si>
  <si>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</si>
  <si>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</si>
  <si>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</si>
  <si>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</si>
  <si>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</si>
  <si>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</si>
  <si>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</si>
  <si>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</si>
  <si>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</si>
  <si>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</si>
  <si>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</si>
  <si>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</si>
  <si>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</si>
  <si>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</si>
  <si>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</si>
  <si>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</si>
  <si>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</si>
  <si>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</si>
  <si>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</si>
  <si>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</si>
  <si>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</si>
  <si>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</si>
  <si>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</si>
  <si>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</si>
  <si>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</si>
  <si>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</si>
  <si>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</si>
  <si>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</si>
  <si>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</si>
  <si>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</si>
  <si>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</si>
  <si>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</si>
  <si>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</si>
  <si>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</si>
  <si>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</si>
  <si>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</si>
  <si>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</si>
  <si>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</si>
  <si>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</si>
  <si>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</si>
  <si>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</si>
  <si>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</si>
  <si>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</si>
  <si>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</si>
  <si>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</si>
  <si>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</si>
  <si>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</si>
  <si>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</si>
  <si>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</si>
  <si>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</si>
  <si>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</si>
  <si>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</si>
  <si>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</si>
  <si>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</si>
  <si>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</si>
  <si>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</si>
  <si>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</si>
  <si>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</si>
  <si>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</si>
  <si>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</si>
  <si>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</si>
  <si>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</si>
  <si>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</si>
  <si>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</si>
  <si>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</si>
  <si>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</si>
  <si>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</si>
  <si>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</si>
  <si>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</si>
  <si>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</si>
  <si>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</si>
  <si>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</si>
  <si>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</si>
  <si>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</si>
  <si>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</si>
  <si>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</si>
  <si>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</si>
  <si>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</si>
  <si>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</si>
  <si>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</si>
  <si>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</si>
  <si>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</si>
  <si>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</si>
  <si>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</si>
  <si>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</si>
  <si>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</si>
  <si>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</si>
  <si>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</si>
  <si>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</si>
  <si>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</si>
  <si>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</si>
  <si>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</si>
  <si>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</si>
  <si>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</si>
  <si>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</si>
  <si>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</si>
  <si>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</si>
  <si>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</si>
  <si>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</si>
  <si>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</si>
  <si>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</si>
  <si>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</si>
  <si>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</si>
  <si>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</si>
  <si>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</si>
  <si>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</si>
  <si>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</si>
  <si>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</si>
  <si>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</si>
  <si>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</si>
  <si>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</si>
  <si>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</si>
  <si>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</si>
  <si>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</si>
  <si>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</si>
  <si>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</si>
  <si>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</si>
  <si>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</si>
  <si>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</si>
  <si>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</si>
  <si>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</si>
  <si>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</si>
  <si>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</si>
  <si>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</si>
  <si>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</si>
  <si>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</si>
  <si>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</si>
  <si>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</si>
  <si>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</si>
  <si>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</si>
  <si>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</si>
  <si>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</si>
  <si>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</si>
  <si>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</si>
  <si>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</si>
  <si>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</si>
  <si>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</si>
  <si>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</si>
  <si>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</si>
  <si>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</si>
  <si>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</si>
  <si>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</si>
  <si>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</si>
  <si>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</si>
  <si>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</si>
  <si>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</si>
  <si>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</si>
  <si>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</si>
  <si>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</si>
  <si>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</si>
  <si>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</si>
  <si>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</si>
  <si>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</si>
  <si>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</si>
  <si>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</si>
  <si>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</si>
  <si>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</si>
  <si>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</si>
  <si>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</si>
  <si>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</si>
  <si>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</si>
  <si>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</si>
  <si>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</si>
  <si>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</si>
  <si>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</si>
  <si>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</si>
  <si>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</si>
  <si>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</si>
  <si>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</si>
  <si>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</si>
  <si>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</si>
  <si>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</si>
  <si>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</si>
  <si>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</si>
  <si>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</si>
  <si>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</si>
  <si>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</si>
  <si>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</si>
  <si>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</si>
  <si>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</si>
  <si>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</si>
  <si>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</si>
  <si>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</si>
  <si>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</si>
  <si>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</si>
  <si>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</si>
  <si>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</si>
  <si>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</si>
  <si>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</si>
  <si>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</si>
  <si>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</si>
  <si>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</si>
  <si>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</si>
  <si>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</si>
  <si>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</si>
  <si>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</si>
  <si>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</si>
  <si>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</si>
  <si>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</si>
  <si>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</si>
  <si>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</si>
  <si>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</si>
  <si>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</si>
  <si>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</si>
  <si>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</si>
  <si>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</si>
  <si>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</si>
  <si>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</si>
  <si>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</si>
  <si>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</si>
  <si>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</si>
  <si>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</si>
  <si>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</si>
  <si>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</si>
  <si>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</si>
  <si>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</si>
  <si>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</si>
  <si>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</si>
  <si>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</si>
  <si>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</si>
  <si>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</si>
  <si>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</si>
  <si>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</si>
  <si>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</si>
  <si>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</si>
  <si>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</si>
  <si>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</si>
  <si>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</si>
  <si>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</si>
  <si>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</si>
  <si>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</si>
  <si>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</si>
  <si>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</si>
  <si>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</si>
  <si>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</si>
  <si>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</si>
  <si>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</si>
  <si>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</si>
  <si>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</si>
  <si>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</si>
  <si>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</si>
  <si>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</si>
  <si>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</si>
  <si>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</si>
  <si>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</si>
  <si>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</si>
  <si>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</si>
  <si>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</si>
  <si>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</si>
  <si>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</si>
  <si>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</si>
  <si>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</si>
  <si>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</si>
  <si>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</si>
  <si>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</si>
  <si>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</si>
  <si>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</si>
  <si>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</si>
  <si>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</si>
  <si>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</si>
  <si>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</si>
  <si>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</si>
  <si>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</si>
  <si>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</si>
  <si>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</si>
  <si>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</si>
  <si>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</si>
  <si>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</si>
  <si>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</si>
  <si>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</si>
  <si>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</si>
  <si>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</si>
  <si>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</si>
  <si>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</si>
  <si>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</si>
  <si>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</si>
  <si>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</si>
  <si>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</si>
  <si>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</si>
  <si>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</si>
  <si>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</si>
  <si>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</si>
  <si>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</si>
  <si>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</si>
  <si>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</si>
  <si>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</si>
  <si>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</si>
  <si>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</si>
  <si>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</si>
  <si>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</si>
  <si>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</si>
  <si>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</si>
  <si>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</si>
  <si>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</si>
  <si>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</si>
  <si>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</si>
  <si>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</si>
  <si>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</si>
  <si>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</si>
  <si>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</si>
  <si>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</si>
  <si>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</si>
  <si>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</si>
  <si>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</si>
  <si>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</si>
  <si>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</si>
  <si>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</si>
  <si>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</si>
  <si>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</si>
  <si>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</si>
  <si>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</si>
  <si>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</si>
  <si>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</si>
  <si>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</si>
  <si>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</si>
  <si>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</si>
  <si>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</si>
  <si>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</si>
  <si>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</si>
  <si>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</si>
  <si>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</si>
  <si>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</si>
  <si>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</si>
  <si>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</si>
  <si>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</si>
  <si>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</si>
  <si>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</si>
  <si>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</si>
  <si>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</si>
  <si>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</si>
  <si>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</si>
  <si>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</si>
  <si>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</si>
  <si>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</si>
  <si>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</si>
  <si>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</si>
  <si>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</si>
  <si>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</si>
  <si>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</si>
  <si>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</si>
  <si>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</si>
  <si>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</si>
  <si>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</si>
  <si>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</si>
  <si>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</si>
  <si>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</si>
  <si>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</si>
  <si>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</si>
  <si>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</si>
  <si>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</si>
  <si>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</si>
  <si>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</si>
  <si>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</si>
  <si>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</si>
  <si>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</si>
  <si>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</si>
  <si>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</si>
  <si>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</si>
  <si>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</si>
  <si>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</si>
  <si>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</si>
  <si>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</si>
  <si>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</si>
  <si>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</si>
  <si>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</si>
  <si>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</si>
  <si>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</si>
  <si>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</si>
  <si>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</si>
  <si>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</si>
  <si>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</si>
  <si>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</si>
  <si>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</si>
  <si>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</si>
  <si>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</si>
  <si>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</si>
  <si>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</si>
  <si>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</si>
  <si>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</si>
  <si>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</si>
  <si>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</si>
  <si>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</si>
  <si>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</si>
  <si>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</si>
  <si>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</si>
  <si>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</si>
  <si>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</si>
  <si>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</si>
  <si>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</si>
  <si>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</si>
  <si>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</si>
  <si>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</si>
  <si>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</si>
  <si>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</si>
  <si>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</si>
  <si>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</si>
  <si>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</si>
  <si>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</si>
  <si>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</si>
  <si>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</si>
  <si>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</si>
  <si>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</si>
  <si>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</si>
  <si>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</si>
  <si>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</si>
  <si>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</si>
  <si>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</si>
  <si>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</si>
  <si>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</si>
  <si>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</si>
  <si>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</si>
  <si>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</si>
  <si>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</si>
  <si>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</si>
  <si>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</si>
  <si>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</si>
  <si>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</si>
  <si>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</si>
  <si>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</si>
  <si>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</si>
  <si>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</si>
  <si>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</si>
  <si>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</si>
  <si>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</si>
  <si>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</si>
  <si>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</si>
  <si>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</si>
  <si>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</si>
  <si>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</si>
  <si>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</si>
  <si>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</si>
  <si>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</si>
  <si>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</si>
  <si>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</si>
  <si>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</si>
  <si>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</si>
  <si>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</si>
  <si>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</si>
  <si>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</si>
  <si>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</si>
  <si>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</si>
  <si>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</si>
  <si>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</si>
  <si>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</si>
  <si>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</si>
  <si>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</si>
  <si>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</si>
  <si>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</si>
  <si>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</si>
  <si>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</si>
  <si>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</si>
  <si>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 xml:space="preserve">$3,540.72 represents additional funds received from prior year FEMA claims and prior year reimbursements from the NH </t>
  </si>
  <si>
    <t>Retirement System;  and $109,227.27 represents indirect cost revenue</t>
  </si>
  <si>
    <t>(1) To City fund balance.</t>
  </si>
  <si>
    <t>(3) Record portion of debt service transferred from general fund.</t>
  </si>
  <si>
    <t>DOVER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</si>
</sst>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F4F3-481D-4D80-886E-C8C2507F62E8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141</v>
      </c>
      <c r="C2" s="21">
        <v>141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/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153614.65</v>
      </c>
      <c r="H12" s="18">
        <f>906+540891+156763</f>
        <v>698560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49930.43</v>
      </c>
      <c r="H13" s="18">
        <f>7024.92+755658.5+252491.07+2550</f>
        <v>1017724.49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120345.44+173004.9</f>
        <v>293350.33999999997</v>
      </c>
      <c r="G14" s="18"/>
      <c r="H14" s="18">
        <f>38673.73+3391.38+6401.62+3984</f>
        <v>52450.73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13796.14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2546535.6800000002</v>
      </c>
      <c r="G18" s="18"/>
      <c r="H18" s="18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2839886.02</v>
      </c>
      <c r="G19" s="41">
        <f>SUM(G9:G18)</f>
        <v>217341.21999999997</v>
      </c>
      <c r="H19" s="41">
        <f>SUM(H9:H18)</f>
        <v>1768735.22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598040+264473-20928+361134</f>
        <v>1202719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12896.36+23532.66+83916.42</f>
        <v>120345.44</v>
      </c>
      <c r="G25" s="18">
        <v>71.28</v>
      </c>
      <c r="H25" s="18">
        <f>13065+2550+320+300</f>
        <v>16235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2346615.83+20.7+199899.15</f>
        <v>2546535.6800000002</v>
      </c>
      <c r="G29" s="18"/>
      <c r="H29" s="18">
        <f>147868+21888+140968</f>
        <v>310724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704.49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2666881.12</v>
      </c>
      <c r="G33" s="41">
        <f>SUM(G23:G32)</f>
        <v>71.28</v>
      </c>
      <c r="H33" s="41">
        <f>SUM(H23:H32)</f>
        <v>1530382.49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173004.9</v>
      </c>
      <c r="G41" s="18">
        <v>217269.94</v>
      </c>
      <c r="H41" s="18">
        <f>3705+4090+20929+906+42453+166258+11.73</f>
        <v>238352.73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173004.9</v>
      </c>
      <c r="G43" s="41">
        <f>SUM(G35:G42)</f>
        <v>217269.94</v>
      </c>
      <c r="H43" s="41">
        <f>SUM(H35:H42)</f>
        <v>238352.73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2839886.02</v>
      </c>
      <c r="G44" s="41">
        <f>G43+G33</f>
        <v>217341.22</v>
      </c>
      <c r="H44" s="41">
        <f>H43+H33</f>
        <v>1768735.22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24944661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f>3540.72+109227.27</f>
        <v>112767.99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25057428.989999998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5425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135455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141463.75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1460885.41+3034591.5</f>
        <v>4495476.91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76353.5</f>
        <v>76353.5</v>
      </c>
      <c r="G61" s="24" t="s">
        <v>312</v>
      </c>
      <c r="H61" s="18">
        <v>278110.76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f>53616.28</f>
        <v>53616.28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f>77191.68</f>
        <v>77191.679999999993</v>
      </c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>
        <v>447000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4702638.37</v>
      </c>
      <c r="G71" s="45" t="s">
        <v>312</v>
      </c>
      <c r="H71" s="41">
        <f>SUM(H55:H70)</f>
        <v>1007454.51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653713.17+4289.8+104273.97+15099.57</f>
        <v>777376.51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v>214009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>
        <f>825.13+15886+102159.12+3201.25+28583+565</f>
        <v>151219.5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0</v>
      </c>
      <c r="G103" s="41">
        <f>SUM(G88:G102)</f>
        <v>777376.51</v>
      </c>
      <c r="H103" s="41">
        <f>SUM(H88:H102)</f>
        <v>365228.5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29760067.359999999</v>
      </c>
      <c r="G104" s="41">
        <f>G52+G103</f>
        <v>777376.51</v>
      </c>
      <c r="H104" s="41">
        <f>H52+H71+H86+H103</f>
        <v>1372683.01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5839736.41</f>
        <v>5839736.4100000001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6558455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211805.59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12609997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f>747158.3</f>
        <v>747158.3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f>228038.02</f>
        <v>228038.02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f>241560.39</f>
        <v>241560.39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f>61379.46</f>
        <v>61379.46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18745.79</f>
        <v>18745.79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41700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f>-514.47+97824.1+49776.44+7843.66</f>
        <v>154929.73000000001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1278136.17</v>
      </c>
      <c r="G128" s="41">
        <f>SUM(G115:G127)</f>
        <v>18745.79</v>
      </c>
      <c r="H128" s="41">
        <f>SUM(H115:H127)</f>
        <v>196629.73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13888133.17</v>
      </c>
      <c r="G132" s="41">
        <f>G113+SUM(G128:G129)</f>
        <v>18745.79</v>
      </c>
      <c r="H132" s="41">
        <f>H113+SUM(H128:H131)</f>
        <v>196629.73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f>2086.36</f>
        <v>2086.36</v>
      </c>
      <c r="G137" s="18"/>
      <c r="H137" s="18">
        <f>56878.7</f>
        <v>56878.7</v>
      </c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2086.36</v>
      </c>
      <c r="G139" s="41">
        <f>SUM(G137:G138)</f>
        <v>0</v>
      </c>
      <c r="H139" s="41">
        <f>SUM(H137:H138)</f>
        <v>56878.7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62026.92+8237.82+8598.14+895503.11+50591.88+19325.36</f>
        <v>1044283.23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1947.94+2399+10969.48-1570.15+20725.16+638+331385.45</f>
        <v>366494.88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12009.11+153483.87</f>
        <v>165492.97999999998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f>-355.44-6.49-36.09+434473.4+62385.42+4356.15</f>
        <v>500816.95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579492.17</f>
        <v>579492.17000000004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-13574.34-600+718483.23+13881.39</f>
        <v>718190.28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221719.97</f>
        <v>221719.97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f>36764.66</f>
        <v>36764.660000000003</v>
      </c>
      <c r="H153" s="18">
        <f>357002.7+23338.04+962.82+12915.52+9924.31+14873.97+699.88+304628.36+8142.31+8116.11</f>
        <v>740604.02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221719.97</v>
      </c>
      <c r="G154" s="41">
        <f>SUM(G142:G153)</f>
        <v>616256.83000000007</v>
      </c>
      <c r="H154" s="41">
        <f>SUM(H142:H153)</f>
        <v>3535882.34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223806.33</v>
      </c>
      <c r="G161" s="41">
        <f>G139+G154+SUM(G155:G160)</f>
        <v>616256.83000000007</v>
      </c>
      <c r="H161" s="41">
        <f>H139+H154+SUM(H155:H160)</f>
        <v>3592761.04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2995853.95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2995853.95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>
        <v>14566.22</v>
      </c>
      <c r="I171" s="18"/>
      <c r="J171" s="18">
        <v>447000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14566.22</v>
      </c>
      <c r="I175" s="41">
        <f>SUM(I171:I174)</f>
        <v>0</v>
      </c>
      <c r="J175" s="41">
        <f>SUM(J171:J174)</f>
        <v>447000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14566.22</v>
      </c>
      <c r="I184" s="41">
        <f>I169+I175+SUM(I180:I183)</f>
        <v>2995853.95</v>
      </c>
      <c r="J184" s="41">
        <f>J175</f>
        <v>447000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43872006.859999999</v>
      </c>
      <c r="G185" s="47">
        <f>G104+G132+G161+G184</f>
        <v>1412379.1300000001</v>
      </c>
      <c r="H185" s="47">
        <f>H104+H132+H161+H184</f>
        <v>5176640</v>
      </c>
      <c r="I185" s="47">
        <f>I104+I132+I161+I184</f>
        <v>2995853.95</v>
      </c>
      <c r="J185" s="47">
        <f>J104+J132+J184</f>
        <v>447000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3839412.13+15262.02+826399.17+2865+61345.9-0.01</f>
        <v>4745284.2100000009</v>
      </c>
      <c r="G189" s="18">
        <f>967839.56+44515.03+5724+7369.9+283045.47+296439.97+175454.16+7568.68+1944+1764.43+61129.04+50155.94+12473.66</f>
        <v>1915423.8399999996</v>
      </c>
      <c r="H189" s="18">
        <f>31+499.62-31</f>
        <v>499.62</v>
      </c>
      <c r="I189" s="18">
        <f>76750.36+13041.13+8589.68+3151.61-31149.4</f>
        <v>70383.38</v>
      </c>
      <c r="J189" s="18">
        <f>4227+7614.79+1594+16473.45-20775.52</f>
        <v>9133.7200000000012</v>
      </c>
      <c r="K189" s="18"/>
      <c r="L189" s="19">
        <f>SUM(F189:K189)</f>
        <v>6740724.7700000005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1124717.92+7668+286035.8+1852+140637.29</f>
        <v>1560911.01</v>
      </c>
      <c r="G190" s="18">
        <f>135681.09+6197.5+3384+2498.21+84775.11+42719.9+44193.09+1978.4+662.4+626.94+21289.41+16464.64+45505.77-0.01</f>
        <v>405976.45000000007</v>
      </c>
      <c r="H190" s="18">
        <f>165428.98+326258.19+61.29+44708.74+263.85+21793.85-21903.45</f>
        <v>536611.45000000007</v>
      </c>
      <c r="I190" s="18">
        <f>582.57+5024.32</f>
        <v>5606.8899999999994</v>
      </c>
      <c r="J190" s="18">
        <f>971.3</f>
        <v>971.3</v>
      </c>
      <c r="K190" s="18">
        <f>484.36</f>
        <v>484.36</v>
      </c>
      <c r="L190" s="19">
        <f>SUM(F190:K190)</f>
        <v>2510561.46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4117</f>
        <v>4117</v>
      </c>
      <c r="G192" s="18">
        <f>314.97+347.76</f>
        <v>662.73</v>
      </c>
      <c r="H192" s="18">
        <f>394.2</f>
        <v>394.2</v>
      </c>
      <c r="I192" s="18"/>
      <c r="J192" s="18"/>
      <c r="K192" s="18"/>
      <c r="L192" s="19">
        <f>SUM(F192:K192)</f>
        <v>5173.9299999999994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163897.95+175613.77+913.92+147616.98+1346+24585.6</f>
        <v>513974.22</v>
      </c>
      <c r="G194" s="18">
        <f>56399+2130.44+216+344.06+11747.45+14091.78+51448.62+1802.08+216+361.27+12706.1+14662.05+15556.8+1014.82+216+306.51+11114.34+11026.62+12654.79</f>
        <v>218014.72999999998</v>
      </c>
      <c r="H194" s="18">
        <f>462+449.67+228+264.22+14255.2+43680+25755.22</f>
        <v>85094.31</v>
      </c>
      <c r="I194" s="18">
        <f>24.94+114.8+36.14</f>
        <v>175.88</v>
      </c>
      <c r="J194" s="18"/>
      <c r="K194" s="18"/>
      <c r="L194" s="19">
        <f t="shared" ref="L194:L200" si="0">SUM(F194:K194)</f>
        <v>817259.14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12350+186490+1739+59900.9</f>
        <v>260479.9</v>
      </c>
      <c r="G195" s="18">
        <f>944.78+990.47+32442.97+38892+1506.06+216+366.11+13715.09+16780.57+14593.73-5934.37</f>
        <v>114513.40999999999</v>
      </c>
      <c r="H195" s="18">
        <f>1297+941.38+885+3573.61</f>
        <v>6696.99</v>
      </c>
      <c r="I195" s="18">
        <f>46455.22+12134.58+9726.95+288.29+1955.97-1057.04</f>
        <v>69503.97</v>
      </c>
      <c r="J195" s="18">
        <f>9881.07+20069.33</f>
        <v>29950.400000000001</v>
      </c>
      <c r="K195" s="18">
        <f>243.09</f>
        <v>243.09</v>
      </c>
      <c r="L195" s="19">
        <f t="shared" si="0"/>
        <v>481387.76000000007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182496.2</f>
        <v>182496.2</v>
      </c>
      <c r="G196" s="18">
        <f>85531.85</f>
        <v>85531.85</v>
      </c>
      <c r="H196" s="18">
        <f>39518.81+61579.81</f>
        <v>101098.62</v>
      </c>
      <c r="I196" s="18">
        <f>6481.96-956.89</f>
        <v>5525.07</v>
      </c>
      <c r="J196" s="18">
        <f>1023.31</f>
        <v>1023.31</v>
      </c>
      <c r="K196" s="18">
        <f>6321.86</f>
        <v>6321.86</v>
      </c>
      <c r="L196" s="19">
        <f t="shared" si="0"/>
        <v>381996.91000000003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402011.82+7484.4+4150+17498.6</f>
        <v>431144.82</v>
      </c>
      <c r="G197" s="18">
        <f>102472.57+5781.44+864+822.91+30773.33+33658.85+1338.85</f>
        <v>175711.95</v>
      </c>
      <c r="H197" s="18">
        <f>38130.73+359+600+34293.45+2035.84+2675.81+1050-8.78</f>
        <v>79136.049999999988</v>
      </c>
      <c r="I197" s="18">
        <f>679.19</f>
        <v>679.19</v>
      </c>
      <c r="J197" s="18"/>
      <c r="K197" s="18">
        <f>2020</f>
        <v>2020</v>
      </c>
      <c r="L197" s="19">
        <f t="shared" si="0"/>
        <v>688692.01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f>7918.51</f>
        <v>7918.51</v>
      </c>
      <c r="I198" s="18"/>
      <c r="J198" s="18"/>
      <c r="K198" s="18"/>
      <c r="L198" s="19">
        <f t="shared" si="0"/>
        <v>7918.51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14441.28</f>
        <v>14441.28</v>
      </c>
      <c r="G199" s="18">
        <f>5622.52</f>
        <v>5622.52</v>
      </c>
      <c r="H199" s="18">
        <f>7474.76+9148.94+2959.97+1307.86+17671.6+10680+12180.53+2263.95+1548+932599.9-5199.67</f>
        <v>992635.84</v>
      </c>
      <c r="I199" s="18">
        <f>115286.5+199003.18+953.42-904.47</f>
        <v>314338.63</v>
      </c>
      <c r="J199" s="18"/>
      <c r="K199" s="18"/>
      <c r="L199" s="19">
        <f t="shared" si="0"/>
        <v>1327038.27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5160.09</f>
        <v>5160.09</v>
      </c>
      <c r="G200" s="18">
        <f>399.51</f>
        <v>399.51</v>
      </c>
      <c r="H200" s="18">
        <f>82602.65+95342+400307.8-32247.24-53.11</f>
        <v>545952.1</v>
      </c>
      <c r="I200" s="18"/>
      <c r="J200" s="18"/>
      <c r="K200" s="18"/>
      <c r="L200" s="19">
        <f t="shared" si="0"/>
        <v>551511.69999999995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40102.4+1325+46948.96+13615.68</f>
        <v>101992.04000000001</v>
      </c>
      <c r="G201" s="18">
        <f>31440+22049.6+1628.26+144+96.56+3134.96+3737.4+36893.96+2379.45</f>
        <v>101504.18999999999</v>
      </c>
      <c r="H201" s="18">
        <f>847.38+20290.86-252.89</f>
        <v>20885.350000000002</v>
      </c>
      <c r="I201" s="18"/>
      <c r="J201" s="18">
        <f>67707.3</f>
        <v>67707.3</v>
      </c>
      <c r="K201" s="18">
        <f>1675.26</f>
        <v>1675.26</v>
      </c>
      <c r="L201" s="19">
        <f>SUM(F201:K201)</f>
        <v>293764.14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7820000.7700000014</v>
      </c>
      <c r="G203" s="41">
        <f t="shared" si="1"/>
        <v>3023361.1799999997</v>
      </c>
      <c r="H203" s="41">
        <f t="shared" si="1"/>
        <v>2376923.04</v>
      </c>
      <c r="I203" s="41">
        <f t="shared" si="1"/>
        <v>466213.01</v>
      </c>
      <c r="J203" s="41">
        <f t="shared" si="1"/>
        <v>108786.03</v>
      </c>
      <c r="K203" s="41">
        <f t="shared" si="1"/>
        <v>10744.57</v>
      </c>
      <c r="L203" s="41">
        <f t="shared" si="1"/>
        <v>13806028.6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3202504.52+19720+43698.45</f>
        <v>3265922.97</v>
      </c>
      <c r="G207" s="18">
        <f>838154.27+36262.42+4824+6677.48+235952.62+260576.99+8885.34</f>
        <v>1391333.12</v>
      </c>
      <c r="H207" s="18">
        <f>302.72</f>
        <v>302.72000000000003</v>
      </c>
      <c r="I207" s="18">
        <f>51640.59+1857.11-18308.85</f>
        <v>35188.85</v>
      </c>
      <c r="J207" s="18">
        <f>1837.5</f>
        <v>1837.5</v>
      </c>
      <c r="K207" s="18"/>
      <c r="L207" s="19">
        <f>SUM(F207:K207)</f>
        <v>4694585.1599999992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1017983.17+4723+100179.98</f>
        <v>1122886.1500000001</v>
      </c>
      <c r="G208" s="18">
        <f>175706.15+8199.97+2304+1748.84+73996.25+49287.59+32415.07</f>
        <v>343657.87</v>
      </c>
      <c r="H208" s="18">
        <f>17758.22+231587.67+15524.39-42.85</f>
        <v>264827.43000000005</v>
      </c>
      <c r="I208" s="18">
        <f>3578.96</f>
        <v>3578.96</v>
      </c>
      <c r="J208" s="18">
        <f>691.88</f>
        <v>691.88</v>
      </c>
      <c r="K208" s="18">
        <f>345.02</f>
        <v>345.02</v>
      </c>
      <c r="L208" s="19">
        <f>SUM(F208:K208)</f>
        <v>1735987.31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534.64+12351+16542</f>
        <v>29427.64</v>
      </c>
      <c r="G210" s="18">
        <f>37.6+35.82+944.85+880.35+1265.48+468.19</f>
        <v>3632.29</v>
      </c>
      <c r="H210" s="18">
        <f>5520+280.8</f>
        <v>5800.8</v>
      </c>
      <c r="I210" s="18">
        <f>2574.5</f>
        <v>2574.5</v>
      </c>
      <c r="J210" s="18"/>
      <c r="K210" s="18">
        <f>715+525</f>
        <v>1240</v>
      </c>
      <c r="L210" s="19">
        <f>SUM(F210:K210)</f>
        <v>42675.23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278428.76+2332+64493.94+63517+815.18+17513.03</f>
        <v>427099.91000000003</v>
      </c>
      <c r="G212" s="18">
        <f>74558.96+3282.6+432+548.27+20557.08+23918.25+819.5+72+111.31+4871.1+4734.59+15063.28+491.24+72+126+4755.83+5744.57+9014.37</f>
        <v>169172.95</v>
      </c>
      <c r="H212" s="18">
        <f>428.5+624.35+8715+4008</f>
        <v>13775.85</v>
      </c>
      <c r="I212" s="18">
        <f>1085.88+373.55+588.33+25.74</f>
        <v>2073.5</v>
      </c>
      <c r="J212" s="18"/>
      <c r="K212" s="18"/>
      <c r="L212" s="19">
        <f t="shared" ref="L212:L218" si="2">SUM(F212:K212)</f>
        <v>612122.21000000008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14025+58139.25+200+42669.14</f>
        <v>115033.39</v>
      </c>
      <c r="G213" s="18">
        <f>1072.94+1124.86+13263.42+20233.31+1002.39+72+83.1+4186.11+3173.6+10395.53-3003.42</f>
        <v>51603.839999999997</v>
      </c>
      <c r="H213" s="18">
        <f>1738+781.24+890.07+2545.59</f>
        <v>5954.9</v>
      </c>
      <c r="I213" s="18">
        <f>8623.68+7739.01+6801.01+1393.29-78.54</f>
        <v>24478.45</v>
      </c>
      <c r="J213" s="18">
        <f>5573.88+14295.96</f>
        <v>19869.84</v>
      </c>
      <c r="K213" s="18">
        <f>173.16</f>
        <v>173.16</v>
      </c>
      <c r="L213" s="19">
        <f t="shared" si="2"/>
        <v>217113.58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129997.29</f>
        <v>129997.29</v>
      </c>
      <c r="G214" s="18">
        <f>60926.79</f>
        <v>60926.79</v>
      </c>
      <c r="H214" s="18">
        <f>19777+43865.07</f>
        <v>63642.07</v>
      </c>
      <c r="I214" s="18">
        <f>4617.28-681.62</f>
        <v>3935.66</v>
      </c>
      <c r="J214" s="18">
        <f>728.94</f>
        <v>728.94</v>
      </c>
      <c r="K214" s="18">
        <f>4503.24</f>
        <v>4503.24</v>
      </c>
      <c r="L214" s="19">
        <f t="shared" si="2"/>
        <v>263733.99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306219.38+5051.7+1850</f>
        <v>313121.08</v>
      </c>
      <c r="G215" s="18">
        <f>79459.93+5313.79+1008+693.84+24177.44+23618.08+10027.5</f>
        <v>144298.57999999999</v>
      </c>
      <c r="H215" s="18">
        <f>38094.82+55619.57+5675.26+5426.94+900+767.27-15078</f>
        <v>91405.86</v>
      </c>
      <c r="I215" s="18">
        <f>340.14</f>
        <v>340.14</v>
      </c>
      <c r="J215" s="18"/>
      <c r="K215" s="18">
        <f>1847</f>
        <v>1847</v>
      </c>
      <c r="L215" s="19">
        <f t="shared" si="2"/>
        <v>551012.66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f>5640.59</f>
        <v>5640.59</v>
      </c>
      <c r="I216" s="18"/>
      <c r="J216" s="18"/>
      <c r="K216" s="18"/>
      <c r="L216" s="19">
        <f t="shared" si="2"/>
        <v>5640.59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10286.93</f>
        <v>10286.93</v>
      </c>
      <c r="G217" s="18">
        <f>4005.08</f>
        <v>4005.08</v>
      </c>
      <c r="H217" s="18">
        <f>5792.75+7057.8-4178.37+1997+15392.03+6100+689.68+1453.61+1032+664317.74-3592.51+3633.37</f>
        <v>699695.1</v>
      </c>
      <c r="I217" s="18">
        <f>61482.68+189068.94+679.15-200</f>
        <v>251030.77</v>
      </c>
      <c r="J217" s="18"/>
      <c r="K217" s="18"/>
      <c r="L217" s="19">
        <f t="shared" si="2"/>
        <v>965017.88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3675.68</f>
        <v>3675.68</v>
      </c>
      <c r="G218" s="18">
        <f>284.59</f>
        <v>284.58999999999997</v>
      </c>
      <c r="H218" s="18">
        <f>88126.28+285150.77-24675.86</f>
        <v>348601.19000000006</v>
      </c>
      <c r="I218" s="18"/>
      <c r="J218" s="18"/>
      <c r="K218" s="18"/>
      <c r="L218" s="19">
        <f t="shared" si="2"/>
        <v>352561.46000000008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45281.6+3742.2+1025+33443.1+9698.84</f>
        <v>93190.739999999991</v>
      </c>
      <c r="G219" s="18">
        <f>25152+16333.76+972.4+144+93.85+3804.04+4376.25+26280.63+1694.95</f>
        <v>78851.88</v>
      </c>
      <c r="H219" s="18">
        <f>612.01+14453.76-180.14</f>
        <v>14885.630000000001</v>
      </c>
      <c r="I219" s="18"/>
      <c r="J219" s="18">
        <f>48229.85</f>
        <v>48229.85</v>
      </c>
      <c r="K219" s="18">
        <f>1193.34</f>
        <v>1193.3399999999999</v>
      </c>
      <c r="L219" s="19">
        <f>SUM(F219:K219)</f>
        <v>236351.44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5510641.7799999993</v>
      </c>
      <c r="G221" s="41">
        <f>SUM(G207:G220)</f>
        <v>2247766.9900000002</v>
      </c>
      <c r="H221" s="41">
        <f>SUM(H207:H220)</f>
        <v>1514532.1400000001</v>
      </c>
      <c r="I221" s="41">
        <f>SUM(I207:I220)</f>
        <v>323200.82999999996</v>
      </c>
      <c r="J221" s="41">
        <f>SUM(J207:J220)</f>
        <v>71358.009999999995</v>
      </c>
      <c r="K221" s="41">
        <f t="shared" si="3"/>
        <v>9301.76</v>
      </c>
      <c r="L221" s="41">
        <f t="shared" si="3"/>
        <v>9676801.5099999998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4266820.45+12905+63026.61</f>
        <v>4342752.0600000005</v>
      </c>
      <c r="G225" s="18">
        <f>992214.8+47840.28+4932.24+7087.27+319309.93+347771.05+12815.4</f>
        <v>1731970.97</v>
      </c>
      <c r="H225" s="18">
        <f>3805.25+1035.61</f>
        <v>4840.8599999999997</v>
      </c>
      <c r="I225" s="18">
        <f>85161.95+62323.19-53518.49</f>
        <v>93966.650000000023</v>
      </c>
      <c r="J225" s="18">
        <f>111.61+6533.31+17849.93+2584.98-17492.16</f>
        <v>9587.6699999999983</v>
      </c>
      <c r="K225" s="18"/>
      <c r="L225" s="19">
        <f>SUM(F225:K225)</f>
        <v>6183118.2100000009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827090.32+3410+144490.36</f>
        <v>974990.67999999993</v>
      </c>
      <c r="G226" s="18">
        <f>117645.32+6210.36+2073.6+1425.8+60168.19+29450.49+46752.5</f>
        <v>263726.26</v>
      </c>
      <c r="H226" s="18">
        <f>3074.89+79785+440212.78+50+22390.95-6835.84</f>
        <v>538677.78</v>
      </c>
      <c r="I226" s="18">
        <f>140+5161.97</f>
        <v>5301.97</v>
      </c>
      <c r="J226" s="18">
        <f>997.91</f>
        <v>997.91</v>
      </c>
      <c r="K226" s="18">
        <f>4050+497.63</f>
        <v>4547.63</v>
      </c>
      <c r="L226" s="19">
        <f>SUM(F226:K226)</f>
        <v>1788242.2299999997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1116707.75+3000+3348+127034+66794+1122</f>
        <v>1318005.75</v>
      </c>
      <c r="G227" s="18">
        <f>306149.46+14487.77+1584+2225.34+82284.5+88916.87+22594.98+1047.16+144+252+9526.22+11347.28+15063.28+491.24+72+126+5029.88+5451.87</f>
        <v>566793.85000000009</v>
      </c>
      <c r="H227" s="18">
        <f>54500+4515.12+7462.46+20000+299+1044+6803.57+1566.94+801.3+200+10384.86+1226.11+348.33+338.4-185.1</f>
        <v>109304.98999999999</v>
      </c>
      <c r="I227" s="18">
        <f>55040.12+4684.59+21486.41+18+5478.21+148.79+25-15262.46</f>
        <v>71618.66</v>
      </c>
      <c r="J227" s="18">
        <f>23965.67+18464.85-2271</f>
        <v>40159.519999999997</v>
      </c>
      <c r="K227" s="18">
        <f>261</f>
        <v>261</v>
      </c>
      <c r="L227" s="19">
        <f>SUM(F227:K227)</f>
        <v>2106143.77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6978.75+22303.04+255658.13+3742.2+912.5</f>
        <v>289594.62</v>
      </c>
      <c r="G228" s="18">
        <f>522.03+506.96+1706.11+1674.32+23178.48+1628.26+216+209.42+19759.99+13946.02</f>
        <v>63347.59</v>
      </c>
      <c r="H228" s="18">
        <f>1395+26300+37415+6700.35+2368+1467.64+31.72+2698.08+405</f>
        <v>78780.790000000008</v>
      </c>
      <c r="I228" s="18">
        <f>32399.88-4449.33</f>
        <v>27950.550000000003</v>
      </c>
      <c r="J228" s="18">
        <f>1599</f>
        <v>1599</v>
      </c>
      <c r="K228" s="18">
        <f>1000+34909.8</f>
        <v>35909.800000000003</v>
      </c>
      <c r="L228" s="19">
        <f>SUM(F228:K228)</f>
        <v>497182.35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35000+345217.58+125+64281.94+870+91765.13+561+25259.18</f>
        <v>563079.83000000007</v>
      </c>
      <c r="G230" s="18">
        <f>2677+5120+89696.84+3834.16+648+726.43+25235.4+30432.29+7778.4+523.58+72+113.14+4862.22+4320.71+22594.98+1014.82+144+252+6833.32+7541.5+13001.5</f>
        <v>227422.29</v>
      </c>
      <c r="H230" s="18">
        <f>621.17+3171.53+2200+176.08+568+138.72+166.93+7223.11+7680.83-2200</f>
        <v>19746.370000000003</v>
      </c>
      <c r="I230" s="18">
        <f>1910.84+1142.71+383.99+37.13</f>
        <v>3474.67</v>
      </c>
      <c r="J230" s="18"/>
      <c r="K230" s="18"/>
      <c r="L230" s="19">
        <f t="shared" ref="L230:L236" si="4">SUM(F230:K230)</f>
        <v>813723.16000000015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23660+64717+617+24084.06+61542.03</f>
        <v>174620.09</v>
      </c>
      <c r="G231" s="18">
        <f>1810+1897.55+16493.76+7531.7+523.58+72+126+4933.99+5239.88+72+1842.45+2155.02+14993.56-5619.48</f>
        <v>52072.009999999995</v>
      </c>
      <c r="H231" s="18">
        <f>6279.58+250+900.48+3671.52-176.07</f>
        <v>10925.51</v>
      </c>
      <c r="I231" s="18">
        <f>22882.53+652.84+5680.1+308+2817.96+1217.14+422.79+2009.56-437.21</f>
        <v>35553.71</v>
      </c>
      <c r="J231" s="18">
        <f>5034.39+109.99+529.98+20619.17</f>
        <v>26293.53</v>
      </c>
      <c r="K231" s="18">
        <f>249.75</f>
        <v>249.75</v>
      </c>
      <c r="L231" s="19">
        <f t="shared" si="4"/>
        <v>299714.59999999998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187496.09</f>
        <v>187496.09</v>
      </c>
      <c r="G232" s="18">
        <f>87875.19</f>
        <v>87875.19</v>
      </c>
      <c r="H232" s="18">
        <f>30003.19+63266.94</f>
        <v>93270.13</v>
      </c>
      <c r="I232" s="18">
        <f>6659.55-983.11</f>
        <v>5676.4400000000005</v>
      </c>
      <c r="J232" s="18">
        <f>1051.35</f>
        <v>1051.3499999999999</v>
      </c>
      <c r="K232" s="18">
        <f>6495.07</f>
        <v>6495.07</v>
      </c>
      <c r="L232" s="19">
        <f t="shared" si="4"/>
        <v>381864.27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515948.85+27363.35+4737.5+31773.87+3000</f>
        <v>582823.56999999995</v>
      </c>
      <c r="G233" s="18">
        <f>90282.71+8867.61+1512+1055.44+41098.89+44934.81+309.63+12.45+72+28.11+2653.91+340.86</f>
        <v>191168.42</v>
      </c>
      <c r="H233" s="18">
        <f>34713.06+27048.41+18408.91+4131.98+2138.33+17500-3200</f>
        <v>100740.69</v>
      </c>
      <c r="I233" s="18">
        <f>564.68+14968.71-3337.46</f>
        <v>12195.93</v>
      </c>
      <c r="J233" s="18"/>
      <c r="K233" s="18">
        <f>923+3220</f>
        <v>4143</v>
      </c>
      <c r="L233" s="19">
        <f t="shared" si="4"/>
        <v>891071.61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f>8135.46</f>
        <v>8135.46</v>
      </c>
      <c r="I234" s="18"/>
      <c r="J234" s="18"/>
      <c r="K234" s="18"/>
      <c r="L234" s="19">
        <f t="shared" si="4"/>
        <v>8135.46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14836.92</f>
        <v>14836.92</v>
      </c>
      <c r="G235" s="18">
        <f>5776.56</f>
        <v>5776.56</v>
      </c>
      <c r="H235" s="18">
        <f>32814.19+11423.64+578+648+19790.78+11366.75+3114.09+73585.5+2435.22+774+958150.59-50499.67</f>
        <v>1064181.0900000001</v>
      </c>
      <c r="I235" s="18">
        <f>140622.33+215677.57+979.55-3185.77-3633.37</f>
        <v>350460.31</v>
      </c>
      <c r="J235" s="18"/>
      <c r="K235" s="18"/>
      <c r="L235" s="19">
        <f t="shared" si="4"/>
        <v>1435254.8800000001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5301.46</f>
        <v>5301.46</v>
      </c>
      <c r="G236" s="18">
        <f>410.46</f>
        <v>410.46</v>
      </c>
      <c r="H236" s="18">
        <f>106014.35+62173+249+111922.91+1543.12+34470.73+5867.51+411275.14-38278.48</f>
        <v>695237.28</v>
      </c>
      <c r="I236" s="18">
        <f>407.65</f>
        <v>407.65</v>
      </c>
      <c r="J236" s="18"/>
      <c r="K236" s="18"/>
      <c r="L236" s="19">
        <f t="shared" si="4"/>
        <v>701356.85000000009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f>43992+200+48235.24+13988.72</f>
        <v>106415.95999999999</v>
      </c>
      <c r="G237" s="18">
        <f>30407.88+972.4+144+84.64+3380.75+4048.06+37904.76+2444.64</f>
        <v>79387.12999999999</v>
      </c>
      <c r="H237" s="18">
        <f>1034.48+20846.77-259.81</f>
        <v>21621.439999999999</v>
      </c>
      <c r="I237" s="18"/>
      <c r="J237" s="18">
        <f>69562.29</f>
        <v>69562.289999999994</v>
      </c>
      <c r="K237" s="18">
        <f>1721.16</f>
        <v>1721.16</v>
      </c>
      <c r="L237" s="19">
        <f>SUM(F237:K237)</f>
        <v>278707.97999999992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8559917.0300000012</v>
      </c>
      <c r="G239" s="41">
        <f t="shared" si="5"/>
        <v>3269950.7299999995</v>
      </c>
      <c r="H239" s="41">
        <f t="shared" si="5"/>
        <v>2745462.39</v>
      </c>
      <c r="I239" s="41">
        <f t="shared" si="5"/>
        <v>606606.54</v>
      </c>
      <c r="J239" s="41">
        <f t="shared" si="5"/>
        <v>149251.26999999999</v>
      </c>
      <c r="K239" s="41">
        <f t="shared" si="5"/>
        <v>53327.41</v>
      </c>
      <c r="L239" s="41">
        <f t="shared" si="5"/>
        <v>15384515.370000001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130372.4</v>
      </c>
      <c r="G243" s="18">
        <v>57634.06</v>
      </c>
      <c r="H243" s="18"/>
      <c r="I243" s="18"/>
      <c r="J243" s="18"/>
      <c r="K243" s="18"/>
      <c r="L243" s="19">
        <f t="shared" si="6"/>
        <v>188006.46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130372.4</v>
      </c>
      <c r="G248" s="41">
        <f t="shared" si="7"/>
        <v>57634.06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188006.46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22020931.98</v>
      </c>
      <c r="G249" s="41">
        <f t="shared" si="8"/>
        <v>8598712.959999999</v>
      </c>
      <c r="H249" s="41">
        <f t="shared" si="8"/>
        <v>6636917.5700000003</v>
      </c>
      <c r="I249" s="41">
        <f t="shared" si="8"/>
        <v>1396020.38</v>
      </c>
      <c r="J249" s="41">
        <f t="shared" si="8"/>
        <v>329395.30999999994</v>
      </c>
      <c r="K249" s="41">
        <f t="shared" si="8"/>
        <v>73373.740000000005</v>
      </c>
      <c r="L249" s="41">
        <f t="shared" si="8"/>
        <v>39055351.940000005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2555940.46</v>
      </c>
      <c r="L252" s="19">
        <f>SUM(F252:K252)</f>
        <v>2555940.46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1603359.3</v>
      </c>
      <c r="L253" s="19">
        <f>SUM(F253:K253)</f>
        <v>1603359.3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14566.22</v>
      </c>
      <c r="L256" s="19">
        <f t="shared" ref="L256:L262" si="9">SUM(F256:K256)</f>
        <v>14566.22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447000</v>
      </c>
      <c r="L258" s="19">
        <f t="shared" si="9"/>
        <v>447000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4620865.9800000004</v>
      </c>
      <c r="L262" s="41">
        <f t="shared" si="9"/>
        <v>4620865.9800000004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22020931.98</v>
      </c>
      <c r="G263" s="42">
        <f t="shared" si="11"/>
        <v>8598712.959999999</v>
      </c>
      <c r="H263" s="42">
        <f t="shared" si="11"/>
        <v>6636917.5700000003</v>
      </c>
      <c r="I263" s="42">
        <f t="shared" si="11"/>
        <v>1396020.38</v>
      </c>
      <c r="J263" s="42">
        <f t="shared" si="11"/>
        <v>329395.30999999994</v>
      </c>
      <c r="K263" s="42">
        <f t="shared" si="11"/>
        <v>4694239.7200000007</v>
      </c>
      <c r="L263" s="42">
        <f t="shared" si="11"/>
        <v>43676217.920000002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544799.34</v>
      </c>
      <c r="G269" s="18">
        <v>114333.86</v>
      </c>
      <c r="H269" s="18">
        <v>18872.23</v>
      </c>
      <c r="I269" s="18">
        <v>39116.57</v>
      </c>
      <c r="J269" s="18">
        <v>11060.37</v>
      </c>
      <c r="K269" s="18">
        <v>62.7</v>
      </c>
      <c r="L269" s="19">
        <f>SUM(F269:K269)</f>
        <v>728245.06999999983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69963.53</v>
      </c>
      <c r="G273" s="18">
        <v>20743.349999999999</v>
      </c>
      <c r="H273" s="18">
        <v>69800.539999999994</v>
      </c>
      <c r="I273" s="18">
        <v>6093.13</v>
      </c>
      <c r="J273" s="18"/>
      <c r="K273" s="18"/>
      <c r="L273" s="19">
        <f t="shared" ref="L273:L279" si="12">SUM(F273:K273)</f>
        <v>166600.54999999999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125720.65</v>
      </c>
      <c r="G274" s="18">
        <v>37732.54</v>
      </c>
      <c r="H274" s="18">
        <v>168238.79</v>
      </c>
      <c r="I274" s="18">
        <v>2171.09</v>
      </c>
      <c r="J274" s="18">
        <v>1319.67</v>
      </c>
      <c r="K274" s="18"/>
      <c r="L274" s="19">
        <f t="shared" si="12"/>
        <v>335182.74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577.87</v>
      </c>
      <c r="I275" s="18">
        <v>252.43</v>
      </c>
      <c r="J275" s="18"/>
      <c r="K275" s="18"/>
      <c r="L275" s="19">
        <f t="shared" si="12"/>
        <v>830.3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73617.320000000007</v>
      </c>
      <c r="G276" s="18">
        <v>17949.650000000001</v>
      </c>
      <c r="H276" s="18">
        <v>3461.69</v>
      </c>
      <c r="I276" s="18">
        <v>3433.66</v>
      </c>
      <c r="J276" s="18"/>
      <c r="K276" s="18">
        <v>60</v>
      </c>
      <c r="L276" s="19">
        <f t="shared" si="12"/>
        <v>98522.32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4716.38</v>
      </c>
      <c r="I279" s="18"/>
      <c r="J279" s="18"/>
      <c r="K279" s="18"/>
      <c r="L279" s="19">
        <f t="shared" si="12"/>
        <v>4716.38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>
        <v>0.03</v>
      </c>
      <c r="H280" s="18"/>
      <c r="I280" s="18">
        <v>32.65</v>
      </c>
      <c r="J280" s="18"/>
      <c r="K280" s="18">
        <v>42643.13</v>
      </c>
      <c r="L280" s="19">
        <f>SUM(F280:K280)</f>
        <v>42675.81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814100.84000000008</v>
      </c>
      <c r="G282" s="42">
        <f t="shared" si="13"/>
        <v>190759.43</v>
      </c>
      <c r="H282" s="42">
        <f t="shared" si="13"/>
        <v>265667.5</v>
      </c>
      <c r="I282" s="42">
        <f t="shared" si="13"/>
        <v>51099.529999999992</v>
      </c>
      <c r="J282" s="42">
        <f t="shared" si="13"/>
        <v>12380.04</v>
      </c>
      <c r="K282" s="42">
        <f t="shared" si="13"/>
        <v>42765.829999999994</v>
      </c>
      <c r="L282" s="41">
        <f t="shared" si="13"/>
        <v>1376773.17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299379.34000000003</v>
      </c>
      <c r="G288" s="18">
        <v>73362.81</v>
      </c>
      <c r="H288" s="18">
        <v>20291.689999999999</v>
      </c>
      <c r="I288" s="18">
        <v>25147.79</v>
      </c>
      <c r="J288" s="18">
        <v>9969.61</v>
      </c>
      <c r="K288" s="18">
        <v>62.7</v>
      </c>
      <c r="L288" s="19">
        <f>SUM(F288:K288)</f>
        <v>428213.94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53695.01</v>
      </c>
      <c r="G292" s="18">
        <v>14210.84</v>
      </c>
      <c r="H292" s="18">
        <v>75506.59</v>
      </c>
      <c r="I292" s="18">
        <v>1964.93</v>
      </c>
      <c r="J292" s="18">
        <v>143.49</v>
      </c>
      <c r="K292" s="18"/>
      <c r="L292" s="19">
        <f t="shared" ref="L292:L298" si="14">SUM(F292:K292)</f>
        <v>145520.85999999999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92187.9</v>
      </c>
      <c r="G293" s="18">
        <v>32422.89</v>
      </c>
      <c r="H293" s="18">
        <v>40931.64</v>
      </c>
      <c r="I293" s="18">
        <v>2203.4899999999998</v>
      </c>
      <c r="J293" s="18">
        <v>1319.67</v>
      </c>
      <c r="K293" s="18"/>
      <c r="L293" s="19">
        <f t="shared" si="14"/>
        <v>169065.59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181.57</v>
      </c>
      <c r="I294" s="18">
        <v>43.75</v>
      </c>
      <c r="J294" s="18"/>
      <c r="K294" s="18"/>
      <c r="L294" s="19">
        <f t="shared" si="14"/>
        <v>225.32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12820.7</v>
      </c>
      <c r="G295" s="18">
        <v>3166.75</v>
      </c>
      <c r="H295" s="18">
        <v>600.03</v>
      </c>
      <c r="I295" s="18">
        <v>706.02</v>
      </c>
      <c r="J295" s="18"/>
      <c r="K295" s="18">
        <v>10.4</v>
      </c>
      <c r="L295" s="19">
        <f t="shared" si="14"/>
        <v>17303.900000000001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47.91</v>
      </c>
      <c r="I298" s="18"/>
      <c r="J298" s="18"/>
      <c r="K298" s="18"/>
      <c r="L298" s="19">
        <f t="shared" si="14"/>
        <v>47.91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>
        <v>0.03</v>
      </c>
      <c r="H299" s="18"/>
      <c r="I299" s="18">
        <v>35.369999999999997</v>
      </c>
      <c r="J299" s="18"/>
      <c r="K299" s="18">
        <v>17636.87</v>
      </c>
      <c r="L299" s="19">
        <f>SUM(F299:K299)</f>
        <v>17672.27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458082.95</v>
      </c>
      <c r="G301" s="42">
        <f t="shared" si="15"/>
        <v>123163.31999999999</v>
      </c>
      <c r="H301" s="42">
        <f t="shared" si="15"/>
        <v>137559.43</v>
      </c>
      <c r="I301" s="42">
        <f t="shared" si="15"/>
        <v>30101.35</v>
      </c>
      <c r="J301" s="42">
        <f t="shared" si="15"/>
        <v>11432.77</v>
      </c>
      <c r="K301" s="42">
        <f t="shared" si="15"/>
        <v>17709.969999999998</v>
      </c>
      <c r="L301" s="41">
        <f t="shared" si="15"/>
        <v>778049.79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495859.31+561+156276.78</f>
        <v>652697.09</v>
      </c>
      <c r="G307" s="18">
        <f>138634.89+5583.44+864+988.79+36287.88+36438.69+37154.34</f>
        <v>255952.03000000003</v>
      </c>
      <c r="H307" s="18">
        <f>740+2978+1306.84+3849.92+454.32+101.18+591.55+714.75+37381.05</f>
        <v>48117.61</v>
      </c>
      <c r="I307" s="18">
        <f>3161.63+2041.76+399.23+1195.02+23573.08</f>
        <v>30370.720000000001</v>
      </c>
      <c r="J307" s="18">
        <f>218.96+2859.8+17107.61</f>
        <v>20186.370000000003</v>
      </c>
      <c r="K307" s="18">
        <f>64.6</f>
        <v>64.599999999999994</v>
      </c>
      <c r="L307" s="19">
        <f>SUM(F307:K307)</f>
        <v>1007388.4199999999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3369.34</v>
      </c>
      <c r="G308" s="18">
        <v>257.79000000000002</v>
      </c>
      <c r="H308" s="18">
        <v>13391.35</v>
      </c>
      <c r="I308" s="18">
        <v>25543.43</v>
      </c>
      <c r="J308" s="18">
        <v>54643.81</v>
      </c>
      <c r="K308" s="18">
        <f>75+673-157.51</f>
        <v>590.49</v>
      </c>
      <c r="L308" s="19">
        <f>SUM(F308:K308)</f>
        <v>97796.21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128805.32</v>
      </c>
      <c r="G311" s="18">
        <v>30345.759999999998</v>
      </c>
      <c r="H311" s="18">
        <v>190710.13</v>
      </c>
      <c r="I311" s="18">
        <v>7543.06</v>
      </c>
      <c r="J311" s="18">
        <v>1291.4000000000001</v>
      </c>
      <c r="K311" s="18">
        <v>6981.86</v>
      </c>
      <c r="L311" s="19">
        <f t="shared" ref="L311:L317" si="16">SUM(F311:K311)</f>
        <v>365677.53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80827.95</v>
      </c>
      <c r="G312" s="18">
        <v>31118.05</v>
      </c>
      <c r="H312" s="18">
        <v>49919.67</v>
      </c>
      <c r="I312" s="18">
        <v>9421.58</v>
      </c>
      <c r="J312" s="18">
        <v>1359.66</v>
      </c>
      <c r="K312" s="18"/>
      <c r="L312" s="19">
        <f t="shared" si="16"/>
        <v>172646.90999999997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f>56.91+167.6</f>
        <v>224.51</v>
      </c>
      <c r="I313" s="18">
        <v>40.39</v>
      </c>
      <c r="J313" s="18"/>
      <c r="K313" s="18"/>
      <c r="L313" s="19">
        <f t="shared" si="16"/>
        <v>264.89999999999998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11819.5</v>
      </c>
      <c r="G314" s="18">
        <v>2903.71</v>
      </c>
      <c r="H314" s="18">
        <v>553.87</v>
      </c>
      <c r="I314" s="18">
        <v>560.84</v>
      </c>
      <c r="J314" s="18"/>
      <c r="K314" s="18">
        <v>9.6</v>
      </c>
      <c r="L314" s="19">
        <f t="shared" si="16"/>
        <v>15847.52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f>18634.3+4582.41+181.98+500+5000+1246.44+695.11</f>
        <v>30840.239999999998</v>
      </c>
      <c r="I316" s="18">
        <f>7215.7+6527.8</f>
        <v>13743.5</v>
      </c>
      <c r="J316" s="18"/>
      <c r="K316" s="18"/>
      <c r="L316" s="19">
        <f t="shared" si="16"/>
        <v>44583.74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44.22</v>
      </c>
      <c r="I317" s="18">
        <f>1280.98</f>
        <v>1280.98</v>
      </c>
      <c r="J317" s="18"/>
      <c r="K317" s="18"/>
      <c r="L317" s="19">
        <f t="shared" si="16"/>
        <v>1325.2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>
        <v>0.06</v>
      </c>
      <c r="H318" s="18"/>
      <c r="I318" s="18">
        <v>68.02</v>
      </c>
      <c r="J318" s="18"/>
      <c r="K318" s="18">
        <v>29340.85</v>
      </c>
      <c r="L318" s="19">
        <f>SUM(F318:K318)</f>
        <v>29408.93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877519.2</v>
      </c>
      <c r="G320" s="42">
        <f t="shared" si="17"/>
        <v>320577.40000000002</v>
      </c>
      <c r="H320" s="42">
        <f t="shared" si="17"/>
        <v>333801.59999999998</v>
      </c>
      <c r="I320" s="42">
        <f t="shared" si="17"/>
        <v>88572.51999999999</v>
      </c>
      <c r="J320" s="42">
        <f t="shared" si="17"/>
        <v>77481.239999999991</v>
      </c>
      <c r="K320" s="42">
        <f t="shared" si="17"/>
        <v>36987.4</v>
      </c>
      <c r="L320" s="41">
        <f t="shared" si="17"/>
        <v>1734939.3599999996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f>3218.27+5390+21389.04</f>
        <v>29997.31</v>
      </c>
      <c r="G324" s="18">
        <f>246.23+115.06+399.65+365.4+1636.23</f>
        <v>2762.5699999999997</v>
      </c>
      <c r="H324" s="18">
        <f>27645.01+36899.41+5208+3355+4657.1+1132.5</f>
        <v>78897.02</v>
      </c>
      <c r="I324" s="18">
        <f>666.47+127+453.82</f>
        <v>1247.29</v>
      </c>
      <c r="J324" s="18">
        <f>52147.21</f>
        <v>52147.21</v>
      </c>
      <c r="K324" s="18"/>
      <c r="L324" s="19">
        <f t="shared" ref="L324:L329" si="18">SUM(F324:K324)</f>
        <v>165051.4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33396+28156.25+267663.43+89766.1+30871.8+4650+130956.41</f>
        <v>585459.99</v>
      </c>
      <c r="G325" s="18">
        <f>2554.73+3244.35+39596.54+12763.8+2403.4+351.27+423.73+10009.15+498.19</f>
        <v>71845.16</v>
      </c>
      <c r="H325" s="18">
        <f>26483.96+4195.26+47341.64+9609.53+154450</f>
        <v>242080.39</v>
      </c>
      <c r="I325" s="18">
        <f>4392.58+25351.06+1764.14</f>
        <v>31507.78</v>
      </c>
      <c r="J325" s="18">
        <f>7750</f>
        <v>7750</v>
      </c>
      <c r="K325" s="18">
        <f>55+750+19606.41</f>
        <v>20411.41</v>
      </c>
      <c r="L325" s="19">
        <f t="shared" si="18"/>
        <v>959054.7300000001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f>178379.52</f>
        <v>178379.51999999999</v>
      </c>
      <c r="G327" s="18">
        <f>11386.04+240+123.41+13549.88+10330.15</f>
        <v>35629.480000000003</v>
      </c>
      <c r="H327" s="18">
        <f>1266.75</f>
        <v>1266.75</v>
      </c>
      <c r="I327" s="18">
        <f>4397.76</f>
        <v>4397.76</v>
      </c>
      <c r="J327" s="18">
        <f>50146.31</f>
        <v>50146.31</v>
      </c>
      <c r="K327" s="18"/>
      <c r="L327" s="19">
        <f t="shared" si="18"/>
        <v>269819.82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793836.82000000007</v>
      </c>
      <c r="G329" s="41">
        <f t="shared" si="19"/>
        <v>110237.21000000002</v>
      </c>
      <c r="H329" s="41">
        <f t="shared" si="19"/>
        <v>322244.16000000003</v>
      </c>
      <c r="I329" s="41">
        <f t="shared" si="19"/>
        <v>37152.83</v>
      </c>
      <c r="J329" s="41">
        <f t="shared" si="19"/>
        <v>110043.51999999999</v>
      </c>
      <c r="K329" s="41">
        <f t="shared" si="19"/>
        <v>20411.41</v>
      </c>
      <c r="L329" s="41">
        <f t="shared" si="18"/>
        <v>1393925.95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2943539.8100000005</v>
      </c>
      <c r="G330" s="41">
        <f t="shared" si="20"/>
        <v>744737.3600000001</v>
      </c>
      <c r="H330" s="41">
        <f t="shared" si="20"/>
        <v>1059272.69</v>
      </c>
      <c r="I330" s="41">
        <f t="shared" si="20"/>
        <v>206926.22999999998</v>
      </c>
      <c r="J330" s="41">
        <f t="shared" si="20"/>
        <v>211337.56999999998</v>
      </c>
      <c r="K330" s="41">
        <f t="shared" si="20"/>
        <v>117874.60999999999</v>
      </c>
      <c r="L330" s="41">
        <f t="shared" si="20"/>
        <v>5283688.2699999996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2943539.8100000005</v>
      </c>
      <c r="G344" s="41">
        <f>G330</f>
        <v>744737.3600000001</v>
      </c>
      <c r="H344" s="41">
        <f>H330</f>
        <v>1059272.69</v>
      </c>
      <c r="I344" s="41">
        <f>I330</f>
        <v>206926.22999999998</v>
      </c>
      <c r="J344" s="41">
        <f>J330</f>
        <v>211337.56999999998</v>
      </c>
      <c r="K344" s="47">
        <f>K330+K343</f>
        <v>117874.60999999999</v>
      </c>
      <c r="L344" s="41">
        <f>L330+L343</f>
        <v>5283688.2699999996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163342.78</v>
      </c>
      <c r="G350" s="18">
        <v>25458.83</v>
      </c>
      <c r="H350" s="18">
        <v>12864.57</v>
      </c>
      <c r="I350" s="18">
        <v>241860.22</v>
      </c>
      <c r="J350" s="18">
        <v>4714.8500000000004</v>
      </c>
      <c r="K350" s="18">
        <v>125.03</v>
      </c>
      <c r="L350" s="13">
        <f>SUM(F350:K350)</f>
        <v>448366.28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120104.98</v>
      </c>
      <c r="G351" s="18">
        <v>18719.73</v>
      </c>
      <c r="H351" s="18">
        <v>9459.25</v>
      </c>
      <c r="I351" s="18">
        <v>177838.4</v>
      </c>
      <c r="J351" s="18">
        <v>3466.8</v>
      </c>
      <c r="K351" s="18">
        <v>91.94</v>
      </c>
      <c r="L351" s="19">
        <f>SUM(F351:K351)</f>
        <v>329681.09999999998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196972.17</v>
      </c>
      <c r="G352" s="18">
        <v>30700.35</v>
      </c>
      <c r="H352" s="18">
        <v>15513.16</v>
      </c>
      <c r="I352" s="18">
        <v>291654.98</v>
      </c>
      <c r="J352" s="18">
        <v>5685.55</v>
      </c>
      <c r="K352" s="18">
        <v>150.77000000000001</v>
      </c>
      <c r="L352" s="19">
        <f>SUM(F352:K352)</f>
        <v>540676.9800000001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480419.93000000005</v>
      </c>
      <c r="G354" s="47">
        <f t="shared" si="22"/>
        <v>74878.91</v>
      </c>
      <c r="H354" s="47">
        <f t="shared" si="22"/>
        <v>37836.979999999996</v>
      </c>
      <c r="I354" s="47">
        <f t="shared" si="22"/>
        <v>711353.6</v>
      </c>
      <c r="J354" s="47">
        <f t="shared" si="22"/>
        <v>13867.2</v>
      </c>
      <c r="K354" s="47">
        <f t="shared" si="22"/>
        <v>367.74</v>
      </c>
      <c r="L354" s="47">
        <f t="shared" si="22"/>
        <v>1318724.3600000001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224242.21</v>
      </c>
      <c r="G359" s="18">
        <v>164883.99</v>
      </c>
      <c r="H359" s="18">
        <v>270409.74</v>
      </c>
      <c r="I359" s="56">
        <f>SUM(F359:H359)</f>
        <v>659535.93999999994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17618</v>
      </c>
      <c r="G360" s="63">
        <v>12954.42</v>
      </c>
      <c r="H360" s="63">
        <v>21245.24</v>
      </c>
      <c r="I360" s="56">
        <f>SUM(F360:H360)</f>
        <v>51817.66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241860.21</v>
      </c>
      <c r="G361" s="47">
        <f>SUM(G359:G360)</f>
        <v>177838.41</v>
      </c>
      <c r="H361" s="47">
        <f>SUM(H359:H360)</f>
        <v>291654.98</v>
      </c>
      <c r="I361" s="47">
        <f>SUM(I359:I360)</f>
        <v>711353.6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>
        <v>4324.75</v>
      </c>
      <c r="K367" s="18"/>
      <c r="L367" s="13">
        <f t="shared" ref="L367:L373" si="23">SUM(F367:K367)</f>
        <v>4324.75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68935.59</v>
      </c>
      <c r="I368" s="18"/>
      <c r="J368" s="18"/>
      <c r="K368" s="18"/>
      <c r="L368" s="13">
        <f t="shared" si="23"/>
        <v>68935.59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21350</v>
      </c>
      <c r="G370" s="18">
        <v>1633.33</v>
      </c>
      <c r="H370" s="18">
        <v>2653279</v>
      </c>
      <c r="I370" s="18"/>
      <c r="J370" s="18"/>
      <c r="K370" s="18"/>
      <c r="L370" s="13">
        <f t="shared" si="23"/>
        <v>2676262.33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f>120000+2876+18286+2979+13925+6750+2590+3000+5200+3810+14370+2690+1700+1499.2+790.5+3810</f>
        <v>204275.7</v>
      </c>
      <c r="I371" s="18"/>
      <c r="J371" s="18">
        <f>3472+5588+23197.37</f>
        <v>32257.37</v>
      </c>
      <c r="K371" s="18"/>
      <c r="L371" s="13">
        <f t="shared" si="23"/>
        <v>236533.07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f>2904.25+6893.96</f>
        <v>9798.2099999999991</v>
      </c>
      <c r="I372" s="18"/>
      <c r="J372" s="18"/>
      <c r="K372" s="18"/>
      <c r="L372" s="13">
        <f t="shared" si="23"/>
        <v>9798.2099999999991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21350</v>
      </c>
      <c r="G374" s="139">
        <f t="shared" ref="G374:L374" si="24">SUM(G366:G373)</f>
        <v>1633.33</v>
      </c>
      <c r="H374" s="139">
        <f t="shared" si="24"/>
        <v>2936288.5</v>
      </c>
      <c r="I374" s="41">
        <f t="shared" si="24"/>
        <v>0</v>
      </c>
      <c r="J374" s="47">
        <f t="shared" si="24"/>
        <v>36582.119999999995</v>
      </c>
      <c r="K374" s="47">
        <f t="shared" si="24"/>
        <v>0</v>
      </c>
      <c r="L374" s="47">
        <f t="shared" si="24"/>
        <v>2995853.9499999997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447000</v>
      </c>
      <c r="H389" s="18"/>
      <c r="I389" s="18"/>
      <c r="J389" s="24" t="s">
        <v>312</v>
      </c>
      <c r="K389" s="24" t="s">
        <v>312</v>
      </c>
      <c r="L389" s="56">
        <f t="shared" si="26"/>
        <v>447000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447000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447000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447000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447000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447000</v>
      </c>
      <c r="L415" s="56">
        <f t="shared" si="29"/>
        <v>447000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447000</v>
      </c>
      <c r="L419" s="47">
        <f t="shared" si="30"/>
        <v>447000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447000</v>
      </c>
      <c r="L426" s="47">
        <f t="shared" si="32"/>
        <v>447000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0</v>
      </c>
      <c r="G455" s="18">
        <v>123615.17</v>
      </c>
      <c r="H455" s="18">
        <f>97391-15735-1777+906+98269+180914</f>
        <v>359968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43872006.859999999</v>
      </c>
      <c r="G458" s="18">
        <v>1412379.13</v>
      </c>
      <c r="H458" s="18">
        <v>5176640</v>
      </c>
      <c r="I458" s="18">
        <v>2995853.95</v>
      </c>
      <c r="J458" s="18">
        <v>447000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>
        <v>0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43872006.859999999</v>
      </c>
      <c r="G460" s="53">
        <f>SUM(G458:G459)</f>
        <v>1412379.13</v>
      </c>
      <c r="H460" s="53">
        <f>SUM(H458:H459)</f>
        <v>5176640</v>
      </c>
      <c r="I460" s="53">
        <f>SUM(I458:I459)</f>
        <v>2995853.95</v>
      </c>
      <c r="J460" s="53">
        <f>SUM(J458:J459)</f>
        <v>447000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43676217.920000002</v>
      </c>
      <c r="G462" s="18">
        <v>1318724.3600000001</v>
      </c>
      <c r="H462" s="18">
        <v>5283688.2699999996</v>
      </c>
      <c r="I462" s="18">
        <v>2995853.95</v>
      </c>
      <c r="J462" s="18">
        <v>447000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22784.04</v>
      </c>
      <c r="G463" s="18"/>
      <c r="H463" s="18">
        <f>14567</f>
        <v>14567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43699001.960000001</v>
      </c>
      <c r="G464" s="53">
        <f>SUM(G462:G463)</f>
        <v>1318724.3600000001</v>
      </c>
      <c r="H464" s="53">
        <f>SUM(H462:H463)</f>
        <v>5298255.2699999996</v>
      </c>
      <c r="I464" s="53">
        <f>SUM(I462:I463)</f>
        <v>2995853.95</v>
      </c>
      <c r="J464" s="53">
        <f>SUM(J462:J463)</f>
        <v>447000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173004.89999999851</v>
      </c>
      <c r="G466" s="53">
        <f>(G455+G460)- G464</f>
        <v>217269.93999999971</v>
      </c>
      <c r="H466" s="53">
        <f>(H455+H460)- H464</f>
        <v>238352.73000000045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74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31196754.43</v>
      </c>
      <c r="G485" s="18"/>
      <c r="H485" s="18"/>
      <c r="I485" s="18"/>
      <c r="J485" s="18"/>
      <c r="K485" s="53">
        <f>SUM(F485:J485)</f>
        <v>31196754.43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2555940.4300000002</v>
      </c>
      <c r="G487" s="18"/>
      <c r="H487" s="18"/>
      <c r="I487" s="18"/>
      <c r="J487" s="18"/>
      <c r="K487" s="53">
        <f t="shared" si="34"/>
        <v>2555940.4300000002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SUM(F485-F487)</f>
        <v>28640814</v>
      </c>
      <c r="G488" s="205"/>
      <c r="H488" s="205"/>
      <c r="I488" s="205"/>
      <c r="J488" s="205"/>
      <c r="K488" s="206">
        <f t="shared" si="34"/>
        <v>28640814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14865733.41</v>
      </c>
      <c r="G489" s="18"/>
      <c r="H489" s="18"/>
      <c r="I489" s="18"/>
      <c r="J489" s="18"/>
      <c r="K489" s="53">
        <f t="shared" si="34"/>
        <v>14865733.41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43506547.409999996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43506547.409999996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1663523.65</v>
      </c>
      <c r="G497" s="144">
        <v>394596.62</v>
      </c>
      <c r="H497" s="144">
        <v>-187374.19</v>
      </c>
      <c r="I497" s="144">
        <f>SUM(F497:H497)</f>
        <v>1870746.08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2105710.35</v>
      </c>
      <c r="G511" s="18">
        <v>520310.31</v>
      </c>
      <c r="H511" s="18">
        <v>555483.68000000005</v>
      </c>
      <c r="I511" s="18">
        <v>44723.46</v>
      </c>
      <c r="J511" s="18">
        <v>12031.67</v>
      </c>
      <c r="K511" s="18">
        <v>547.05999999999995</v>
      </c>
      <c r="L511" s="88">
        <f>SUM(F511:K511)</f>
        <v>3238806.5300000003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1422265.49</v>
      </c>
      <c r="G512" s="18">
        <v>417020.68</v>
      </c>
      <c r="H512" s="18">
        <v>285119.12</v>
      </c>
      <c r="I512" s="18">
        <v>28726.75</v>
      </c>
      <c r="J512" s="18">
        <v>10661.49</v>
      </c>
      <c r="K512" s="18">
        <v>407.72</v>
      </c>
      <c r="L512" s="88">
        <f>SUM(F512:K512)</f>
        <v>2164201.2500000005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1627687.77</v>
      </c>
      <c r="G513" s="18">
        <v>519678.29</v>
      </c>
      <c r="H513" s="18">
        <v>586795.39</v>
      </c>
      <c r="I513" s="18">
        <v>35672.69</v>
      </c>
      <c r="J513" s="18">
        <v>21184.28</v>
      </c>
      <c r="K513" s="18">
        <v>4612.2299999999996</v>
      </c>
      <c r="L513" s="88">
        <f>SUM(F513:K513)</f>
        <v>2795630.65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5155663.6099999994</v>
      </c>
      <c r="G514" s="108">
        <f t="shared" ref="G514:L514" si="35">SUM(G511:G513)</f>
        <v>1457009.28</v>
      </c>
      <c r="H514" s="108">
        <f t="shared" si="35"/>
        <v>1427398.19</v>
      </c>
      <c r="I514" s="108">
        <f t="shared" si="35"/>
        <v>109122.9</v>
      </c>
      <c r="J514" s="108">
        <f t="shared" si="35"/>
        <v>43877.440000000002</v>
      </c>
      <c r="K514" s="108">
        <f t="shared" si="35"/>
        <v>5567.0099999999993</v>
      </c>
      <c r="L514" s="89">
        <f t="shared" si="35"/>
        <v>8198638.4300000016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243512.11</v>
      </c>
      <c r="G516" s="18">
        <v>72633.23</v>
      </c>
      <c r="H516" s="18">
        <v>153490.96</v>
      </c>
      <c r="I516" s="18">
        <v>6129.27</v>
      </c>
      <c r="J516" s="18">
        <v>0</v>
      </c>
      <c r="K516" s="18">
        <v>0</v>
      </c>
      <c r="L516" s="88">
        <f>SUM(F516:K516)</f>
        <v>475765.56999999995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135540.22</v>
      </c>
      <c r="G517" s="18">
        <v>49478.13</v>
      </c>
      <c r="H517" s="18">
        <v>88229.59</v>
      </c>
      <c r="I517" s="18">
        <v>2579</v>
      </c>
      <c r="J517" s="18">
        <v>143.49</v>
      </c>
      <c r="K517" s="18">
        <v>0</v>
      </c>
      <c r="L517" s="88">
        <f>SUM(F517:K517)</f>
        <v>275970.43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246390.63</v>
      </c>
      <c r="G518" s="18">
        <v>81727.88</v>
      </c>
      <c r="H518" s="18">
        <v>190877.06</v>
      </c>
      <c r="I518" s="18">
        <v>7964.18</v>
      </c>
      <c r="J518" s="18">
        <v>1291.4000000000001</v>
      </c>
      <c r="K518" s="18">
        <v>6981.86</v>
      </c>
      <c r="L518" s="88">
        <f>SUM(F518:K518)</f>
        <v>535233.01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625442.96</v>
      </c>
      <c r="G519" s="89">
        <f t="shared" ref="G519:L519" si="36">SUM(G516:G518)</f>
        <v>203839.24</v>
      </c>
      <c r="H519" s="89">
        <f t="shared" si="36"/>
        <v>432597.61</v>
      </c>
      <c r="I519" s="89">
        <f t="shared" si="36"/>
        <v>16672.45</v>
      </c>
      <c r="J519" s="89">
        <f t="shared" si="36"/>
        <v>1434.89</v>
      </c>
      <c r="K519" s="89">
        <f t="shared" si="36"/>
        <v>6981.86</v>
      </c>
      <c r="L519" s="89">
        <f t="shared" si="36"/>
        <v>1286969.01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SUM(150752.44+1625)*36.5%</f>
        <v>55617.765599999999</v>
      </c>
      <c r="G521" s="18">
        <f>SUM(33361.99+1521.71+288+252+11264.28+11742.59)*36.5%</f>
        <v>21327.158049999998</v>
      </c>
      <c r="H521" s="18">
        <f>SUM(2110+49786.43+542.68+2437.45+609.8+36.5+3648.52)*36.5%</f>
        <v>21597.553699999997</v>
      </c>
      <c r="I521" s="18">
        <f>SUM(5532.89+45.95)*36.5%</f>
        <v>2036.2765999999999</v>
      </c>
      <c r="J521" s="18">
        <f>SUM(1646.08)*36.5%</f>
        <v>600.81919999999991</v>
      </c>
      <c r="K521" s="18">
        <f>SUM(1327)*36.5%</f>
        <v>484.35499999999996</v>
      </c>
      <c r="L521" s="88">
        <f>SUM(F521:K521)</f>
        <v>101663.92814999999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SUM(150752.44+1625)*26%</f>
        <v>39618.134400000003</v>
      </c>
      <c r="G522" s="18">
        <f>SUM(33361.99+1521.71+288+252+11264.28+11742.59)*26%</f>
        <v>15191.948199999999</v>
      </c>
      <c r="H522" s="18">
        <f>SUM(2110+49786.43+542.68+2437.45+609.8+36.5+3648.52)*26%</f>
        <v>15384.558800000001</v>
      </c>
      <c r="I522" s="18">
        <f>SUM(5532.89+45.95)*26%</f>
        <v>1450.4984000000002</v>
      </c>
      <c r="J522" s="18">
        <f>SUM(1646.08)*26%</f>
        <v>427.98079999999999</v>
      </c>
      <c r="K522" s="18">
        <f>SUM(1327)*26%</f>
        <v>345.02000000000004</v>
      </c>
      <c r="L522" s="88">
        <f>SUM(F522:K522)</f>
        <v>72418.140600000013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SUM(150752.44+1625)*37.5%</f>
        <v>57141.54</v>
      </c>
      <c r="G523" s="18">
        <f>SUM(33361.99+1521.71+288+252+11264.28+11742.59)*37.5%</f>
        <v>21911.463749999995</v>
      </c>
      <c r="H523" s="18">
        <f>SUM(2110+49786.43+542.68+2437.45+609.8+36.5+3648.52)*37.5%</f>
        <v>22189.267499999998</v>
      </c>
      <c r="I523" s="18">
        <f>SUM(5532.89+45.95)*37.5%</f>
        <v>2092.0650000000001</v>
      </c>
      <c r="J523" s="18">
        <f>SUM(1646.08)*37.5%</f>
        <v>617.28</v>
      </c>
      <c r="K523" s="18">
        <f>SUM(1327)*37.5%</f>
        <v>497.625</v>
      </c>
      <c r="L523" s="88">
        <f>SUM(F523:K523)</f>
        <v>104449.24125000001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152377.44</v>
      </c>
      <c r="G524" s="89">
        <f t="shared" ref="G524:L524" si="37">SUM(G521:G523)</f>
        <v>58430.569999999992</v>
      </c>
      <c r="H524" s="89">
        <f t="shared" si="37"/>
        <v>59171.37999999999</v>
      </c>
      <c r="I524" s="89">
        <f t="shared" si="37"/>
        <v>5578.84</v>
      </c>
      <c r="J524" s="89">
        <f t="shared" si="37"/>
        <v>1646.08</v>
      </c>
      <c r="K524" s="89">
        <f t="shared" si="37"/>
        <v>1327</v>
      </c>
      <c r="L524" s="89">
        <f t="shared" si="37"/>
        <v>278531.31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4820.46</v>
      </c>
      <c r="I526" s="18"/>
      <c r="J526" s="18"/>
      <c r="K526" s="18"/>
      <c r="L526" s="88">
        <f>SUM(F526:K526)</f>
        <v>4820.46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3342.18</v>
      </c>
      <c r="I527" s="18"/>
      <c r="J527" s="18"/>
      <c r="K527" s="18"/>
      <c r="L527" s="88">
        <f>SUM(F527:K527)</f>
        <v>3342.18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4691.91</v>
      </c>
      <c r="I528" s="18"/>
      <c r="J528" s="18"/>
      <c r="K528" s="18"/>
      <c r="L528" s="88">
        <f>SUM(F528:K528)</f>
        <v>4691.91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12854.55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12854.55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18181+159763.65</f>
        <v>177944.65</v>
      </c>
      <c r="I531" s="18"/>
      <c r="J531" s="18"/>
      <c r="K531" s="18"/>
      <c r="L531" s="88">
        <f>SUM(F531:K531)</f>
        <v>177944.65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86860.03</v>
      </c>
      <c r="I532" s="18"/>
      <c r="J532" s="18"/>
      <c r="K532" s="18"/>
      <c r="L532" s="88">
        <f>SUM(F532:K532)</f>
        <v>86860.03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168187.35</v>
      </c>
      <c r="I533" s="18"/>
      <c r="J533" s="18"/>
      <c r="K533" s="18"/>
      <c r="L533" s="88">
        <f>SUM(F533:K533)</f>
        <v>168187.35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432992.03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432992.03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5933484.0099999998</v>
      </c>
      <c r="G535" s="89">
        <f t="shared" ref="G535:L535" si="40">G514+G519+G524+G529+G534</f>
        <v>1719279.09</v>
      </c>
      <c r="H535" s="89">
        <f t="shared" si="40"/>
        <v>2365013.7599999998</v>
      </c>
      <c r="I535" s="89">
        <f t="shared" si="40"/>
        <v>131374.19</v>
      </c>
      <c r="J535" s="89">
        <f t="shared" si="40"/>
        <v>46958.41</v>
      </c>
      <c r="K535" s="89">
        <f t="shared" si="40"/>
        <v>13875.869999999999</v>
      </c>
      <c r="L535" s="89">
        <f t="shared" si="40"/>
        <v>10209985.330000002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3238806.5300000003</v>
      </c>
      <c r="G539" s="87">
        <f>L516</f>
        <v>475765.56999999995</v>
      </c>
      <c r="H539" s="87">
        <f>L521</f>
        <v>101663.92814999999</v>
      </c>
      <c r="I539" s="87">
        <f>L526</f>
        <v>4820.46</v>
      </c>
      <c r="J539" s="87">
        <f>L531</f>
        <v>177944.65</v>
      </c>
      <c r="K539" s="87">
        <f>SUM(F539:J539)</f>
        <v>3999001.13815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2164201.2500000005</v>
      </c>
      <c r="G540" s="87">
        <f>L517</f>
        <v>275970.43</v>
      </c>
      <c r="H540" s="87">
        <f>L522</f>
        <v>72418.140600000013</v>
      </c>
      <c r="I540" s="87">
        <f>L527</f>
        <v>3342.18</v>
      </c>
      <c r="J540" s="87">
        <f>L532</f>
        <v>86860.03</v>
      </c>
      <c r="K540" s="87">
        <f>SUM(F540:J540)</f>
        <v>2602792.0306000006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2795630.65</v>
      </c>
      <c r="G541" s="87">
        <f>L518</f>
        <v>535233.01</v>
      </c>
      <c r="H541" s="87">
        <f>L523</f>
        <v>104449.24125000001</v>
      </c>
      <c r="I541" s="87">
        <f>L528</f>
        <v>4691.91</v>
      </c>
      <c r="J541" s="87">
        <f>L533</f>
        <v>168187.35</v>
      </c>
      <c r="K541" s="87">
        <f>SUM(F541:J541)</f>
        <v>3608192.1612500004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8198638.4300000016</v>
      </c>
      <c r="G542" s="89">
        <f t="shared" si="41"/>
        <v>1286969.01</v>
      </c>
      <c r="H542" s="89">
        <f t="shared" si="41"/>
        <v>278531.31</v>
      </c>
      <c r="I542" s="89">
        <f t="shared" si="41"/>
        <v>12854.55</v>
      </c>
      <c r="J542" s="89">
        <f t="shared" si="41"/>
        <v>432992.03</v>
      </c>
      <c r="K542" s="89">
        <f t="shared" si="41"/>
        <v>10209985.330000002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165428.98-21843.3</f>
        <v>143585.68000000002</v>
      </c>
      <c r="G569" s="18">
        <f>17758.22</f>
        <v>17758.22</v>
      </c>
      <c r="H569" s="18">
        <f>79785</f>
        <v>79785</v>
      </c>
      <c r="I569" s="87">
        <f t="shared" si="46"/>
        <v>241128.90000000002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326258.19+215</f>
        <v>326473.19</v>
      </c>
      <c r="G572" s="18">
        <f>231587.67</f>
        <v>231587.67</v>
      </c>
      <c r="H572" s="18">
        <f>440212.78+7680.83+1400-6774.04</f>
        <v>442519.57000000007</v>
      </c>
      <c r="I572" s="87">
        <f t="shared" si="46"/>
        <v>1000580.43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f>10384.86</f>
        <v>10384.86</v>
      </c>
      <c r="I574" s="87">
        <f t="shared" si="46"/>
        <v>10384.86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356031.64</v>
      </c>
      <c r="I581" s="18">
        <v>253611.58</v>
      </c>
      <c r="J581" s="18">
        <v>365785.94</v>
      </c>
      <c r="K581" s="104">
        <f t="shared" ref="K581:K587" si="47">SUM(H581:J581)</f>
        <v>975429.15999999992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177944.65</v>
      </c>
      <c r="I582" s="18">
        <v>86860.03</v>
      </c>
      <c r="J582" s="18">
        <v>168187.35</v>
      </c>
      <c r="K582" s="104">
        <f t="shared" si="47"/>
        <v>432992.03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113956.04</v>
      </c>
      <c r="K583" s="104">
        <f t="shared" si="47"/>
        <v>113956.04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-2236.84</v>
      </c>
      <c r="J584" s="18">
        <v>35432.300000000003</v>
      </c>
      <c r="K584" s="104">
        <f t="shared" si="47"/>
        <v>33195.460000000006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0</v>
      </c>
      <c r="I585" s="18">
        <v>1850</v>
      </c>
      <c r="J585" s="18">
        <v>0</v>
      </c>
      <c r="K585" s="104">
        <f t="shared" si="47"/>
        <v>1850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17535.41</v>
      </c>
      <c r="I587" s="18">
        <f>12490.98-14.29</f>
        <v>12476.689999999999</v>
      </c>
      <c r="J587" s="18">
        <f>18015.84-20.62</f>
        <v>17995.22</v>
      </c>
      <c r="K587" s="104">
        <f t="shared" si="47"/>
        <v>48007.32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551511.70000000007</v>
      </c>
      <c r="I588" s="108">
        <f>SUM(I581:I587)</f>
        <v>352561.45999999996</v>
      </c>
      <c r="J588" s="108">
        <f>SUM(J581:J587)</f>
        <v>701356.85000000009</v>
      </c>
      <c r="K588" s="108">
        <f>SUM(K581:K587)</f>
        <v>1605430.01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121166.07</v>
      </c>
      <c r="I594" s="18">
        <v>82790.78</v>
      </c>
      <c r="J594" s="18">
        <v>336776.03</v>
      </c>
      <c r="K594" s="104">
        <f>SUM(H594:J594)</f>
        <v>540732.88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121166.07</v>
      </c>
      <c r="I595" s="108">
        <f>SUM(I592:I594)</f>
        <v>82790.78</v>
      </c>
      <c r="J595" s="108">
        <f>SUM(J592:J594)</f>
        <v>336776.03</v>
      </c>
      <c r="K595" s="108">
        <f>SUM(K592:K594)</f>
        <v>540732.88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10469.25</v>
      </c>
      <c r="G601" s="18">
        <f>814.08+839.65</f>
        <v>1653.73</v>
      </c>
      <c r="H601" s="18"/>
      <c r="I601" s="18"/>
      <c r="J601" s="18"/>
      <c r="K601" s="18"/>
      <c r="L601" s="88">
        <f>SUM(F601:K601)</f>
        <v>12122.98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5925+4650</f>
        <v>10575</v>
      </c>
      <c r="G603" s="18">
        <f>453.27+424.39+351.27+423.73</f>
        <v>1652.6599999999999</v>
      </c>
      <c r="H603" s="18"/>
      <c r="I603" s="18"/>
      <c r="J603" s="18"/>
      <c r="K603" s="18"/>
      <c r="L603" s="88">
        <f>SUM(F603:K603)</f>
        <v>12227.66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21044.25</v>
      </c>
      <c r="G604" s="108">
        <f t="shared" si="48"/>
        <v>3306.39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24350.639999999999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2839886.02</v>
      </c>
      <c r="H607" s="109">
        <f>SUM(F44)</f>
        <v>2839886.02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217341.21999999997</v>
      </c>
      <c r="H608" s="109">
        <f>SUM(G44)</f>
        <v>217341.22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1768735.22</v>
      </c>
      <c r="H609" s="109">
        <f>SUM(H44)</f>
        <v>1768735.22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173004.9</v>
      </c>
      <c r="H612" s="109">
        <f>F466</f>
        <v>173004.89999999851</v>
      </c>
      <c r="I612" s="121" t="s">
        <v>106</v>
      </c>
      <c r="J612" s="109">
        <f t="shared" ref="J612:J645" si="49">G612-H612</f>
        <v>1.4842953532934189E-9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217269.94</v>
      </c>
      <c r="H613" s="109">
        <f>G466</f>
        <v>217269.93999999971</v>
      </c>
      <c r="I613" s="121" t="s">
        <v>108</v>
      </c>
      <c r="J613" s="109">
        <f t="shared" si="49"/>
        <v>2.9103830456733704E-10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238352.73</v>
      </c>
      <c r="H614" s="109">
        <f>H466</f>
        <v>238352.73000000045</v>
      </c>
      <c r="I614" s="121" t="s">
        <v>110</v>
      </c>
      <c r="J614" s="109">
        <f t="shared" si="49"/>
        <v>-4.3655745685100555E-10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43872006.859999999</v>
      </c>
      <c r="H617" s="104">
        <f>SUM(F458)</f>
        <v>43872006.859999999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1412379.1300000001</v>
      </c>
      <c r="H618" s="104">
        <f>SUM(G458)</f>
        <v>1412379.13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5176640</v>
      </c>
      <c r="H619" s="104">
        <f>SUM(H458)</f>
        <v>5176640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2995853.95</v>
      </c>
      <c r="H620" s="104">
        <f>SUM(I458)</f>
        <v>2995853.95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447000</v>
      </c>
      <c r="H621" s="104">
        <f>SUM(J458)</f>
        <v>447000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43676217.920000002</v>
      </c>
      <c r="H622" s="104">
        <f>SUM(F462)</f>
        <v>43676217.920000002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5283688.2699999996</v>
      </c>
      <c r="H623" s="104">
        <f>SUM(H462)</f>
        <v>5283688.2699999996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711353.6</v>
      </c>
      <c r="H624" s="104">
        <f>I361</f>
        <v>711353.6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1318724.3600000001</v>
      </c>
      <c r="H625" s="104">
        <f>SUM(G462)</f>
        <v>1318724.3600000001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2995853.9499999997</v>
      </c>
      <c r="H626" s="104">
        <f>SUM(I462)</f>
        <v>2995853.95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447000</v>
      </c>
      <c r="H627" s="164">
        <f>SUM(J458)</f>
        <v>447000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447000</v>
      </c>
      <c r="H628" s="164">
        <f>SUM(J462)</f>
        <v>447000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447000</v>
      </c>
      <c r="H635" s="104">
        <f>G400</f>
        <v>447000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447000</v>
      </c>
      <c r="H636" s="104">
        <f>L400</f>
        <v>447000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1605430.01</v>
      </c>
      <c r="H637" s="104">
        <f>L200+L218+L236</f>
        <v>1605430.0100000002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540732.88</v>
      </c>
      <c r="H638" s="104">
        <f>(J249+J330)-(J247+J328)</f>
        <v>540732.87999999989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551511.69999999995</v>
      </c>
      <c r="H639" s="104">
        <f>H588</f>
        <v>551511.70000000007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352561.46000000008</v>
      </c>
      <c r="H640" s="104">
        <f>I588</f>
        <v>352561.45999999996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701356.85000000009</v>
      </c>
      <c r="H641" s="104">
        <f>J588</f>
        <v>701356.85000000009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14566.22</v>
      </c>
      <c r="H643" s="104">
        <f>K256</f>
        <v>14566.22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447000</v>
      </c>
      <c r="H645" s="104">
        <f>K258+K339</f>
        <v>447000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15631168.049999999</v>
      </c>
      <c r="G650" s="19">
        <f>(L221+L301+L351)</f>
        <v>10784532.4</v>
      </c>
      <c r="H650" s="19">
        <f>(L239+L320+L352)</f>
        <v>17660131.710000001</v>
      </c>
      <c r="I650" s="19">
        <f>SUM(F650:H650)</f>
        <v>44075832.159999996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264308.01198522089</v>
      </c>
      <c r="G651" s="19">
        <f>(L351/IF(SUM(L350:L352)=0,1,SUM(L350:L352))*(SUM(G89:G102)))</f>
        <v>194344.13339491276</v>
      </c>
      <c r="H651" s="19">
        <f>(L352/IF(SUM(L350:L352)=0,1,SUM(L350:L352))*(SUM(G89:G102)))</f>
        <v>318724.3646198663</v>
      </c>
      <c r="I651" s="19">
        <f>SUM(F651:H651)</f>
        <v>777376.51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556228.07999999996</v>
      </c>
      <c r="G652" s="19">
        <f>(L218+L298)-(J218+J298)</f>
        <v>352609.37000000005</v>
      </c>
      <c r="H652" s="19">
        <f>(L236+L317)-(J236+J317)</f>
        <v>702682.05</v>
      </c>
      <c r="I652" s="19">
        <f>SUM(F652:H652)</f>
        <v>1611519.5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603347.91999999993</v>
      </c>
      <c r="G653" s="200">
        <f>SUM(G565:G577)+SUM(I592:I594)+L602</f>
        <v>332136.67000000004</v>
      </c>
      <c r="H653" s="200">
        <f>SUM(H565:H577)+SUM(J592:J594)+L603</f>
        <v>881693.12000000011</v>
      </c>
      <c r="I653" s="19">
        <f>SUM(F653:H653)</f>
        <v>1817177.71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14207284.038014779</v>
      </c>
      <c r="G654" s="19">
        <f>G650-SUM(G651:G653)</f>
        <v>9905442.2266050875</v>
      </c>
      <c r="H654" s="19">
        <f>H650-SUM(H651:H653)</f>
        <v>15757032.175380135</v>
      </c>
      <c r="I654" s="19">
        <f>I650-SUM(I651:I653)</f>
        <v>39869758.439999998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1479.79</v>
      </c>
      <c r="G655" s="249">
        <v>1088.72</v>
      </c>
      <c r="H655" s="249">
        <v>1460.18</v>
      </c>
      <c r="I655" s="19">
        <f>SUM(F655:H655)</f>
        <v>4028.6900000000005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9600.8799999999992</v>
      </c>
      <c r="G657" s="19">
        <f>ROUND(G654/G655,2)</f>
        <v>9098.25</v>
      </c>
      <c r="H657" s="19">
        <f>ROUND(H654/H655,2)</f>
        <v>10791.16</v>
      </c>
      <c r="I657" s="19">
        <f>ROUND(I654/I655,2)</f>
        <v>9896.4599999999991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20.72</v>
      </c>
      <c r="I660" s="19">
        <f>SUM(F660:H660)</f>
        <v>20.72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9600.8799999999992</v>
      </c>
      <c r="G662" s="19">
        <f>ROUND((G654+G659)/(G655+G660),2)</f>
        <v>9098.25</v>
      </c>
      <c r="H662" s="19">
        <f>ROUND((H654+H659)/(H655+H660),2)</f>
        <v>10640.17</v>
      </c>
      <c r="I662" s="19">
        <f>ROUND((I654+I659)/(I655+I660),2)</f>
        <v>9845.82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8825-EB7D-4212-AD04-EEF0BD85C3F6}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DOVER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12353959.240000002</v>
      </c>
      <c r="C9" s="230">
        <f>'DOE25'!G189+'DOE25'!G207+'DOE25'!G225+'DOE25'!G268+'DOE25'!G287+'DOE25'!G306</f>
        <v>5038727.93</v>
      </c>
    </row>
    <row r="10" spans="1:3" x14ac:dyDescent="0.2">
      <c r="A10" t="s">
        <v>810</v>
      </c>
      <c r="B10" s="241">
        <f>10362983.96+564883.4+357204.77+5132.89+5925+58196.09+35714.22+47637+2665</f>
        <v>11440342.330000002</v>
      </c>
      <c r="C10" s="241">
        <f>4589328.65+275577.21+28104.79+798.24+877.66+13954.38+5631.14+7542.41+421.78</f>
        <v>4922236.2600000007</v>
      </c>
    </row>
    <row r="11" spans="1:3" x14ac:dyDescent="0.2">
      <c r="A11" t="s">
        <v>811</v>
      </c>
      <c r="B11" s="241">
        <f>498540.95+261515.77+250.02+200+3039.22</f>
        <v>763545.96</v>
      </c>
      <c r="C11" s="241">
        <f>61385.84+22001.96+86.67+15.3+232.51</f>
        <v>83722.279999999984</v>
      </c>
    </row>
    <row r="12" spans="1:3" x14ac:dyDescent="0.2">
      <c r="A12" t="s">
        <v>812</v>
      </c>
      <c r="B12" s="241">
        <f>150070.95</f>
        <v>150070.95000000001</v>
      </c>
      <c r="C12" s="241">
        <f>553.22+32216.17</f>
        <v>32769.39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12353959.240000002</v>
      </c>
      <c r="C13" s="232">
        <f>SUM(C10:C12)</f>
        <v>5038727.9300000006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5155663.6099999994</v>
      </c>
      <c r="C18" s="230">
        <f>'DOE25'!G190+'DOE25'!G208+'DOE25'!G226+'DOE25'!G269+'DOE25'!G288+'DOE25'!G307</f>
        <v>1457009.2800000003</v>
      </c>
    </row>
    <row r="19" spans="1:3" x14ac:dyDescent="0.2">
      <c r="A19" t="s">
        <v>810</v>
      </c>
      <c r="B19" s="241">
        <f>503078.65+110295.19+987733.35+58895+10469.25+7853+33163.74+29610.02+26622+7246.31+29987.23+5916.92+458.25+194498.93+561+314162.03+561+8965.25+413760.94+561</f>
        <v>2744399.06</v>
      </c>
      <c r="C19" s="241">
        <f>215330.73+46907.1+408728.13+18660.55+1653.73+1254.13+4187.18+5017.47+19379.13+871.21+19609.85+2633.75+69.24+43892.98+92.41+83105.05+91.39+938.1+1016.55+210259.93</f>
        <v>1083698.6100000001</v>
      </c>
    </row>
    <row r="20" spans="1:3" x14ac:dyDescent="0.2">
      <c r="A20" t="s">
        <v>811</v>
      </c>
      <c r="B20" s="241">
        <f>1570701.68+153722.11+10361+103770.42+11845.05+1650+318260.76+10991.7+67601.69</f>
        <v>2248904.41</v>
      </c>
      <c r="C20" s="241">
        <f>239867.69+15368.9+850.91+7961.87+963.06+153.71+41674.04-319.72+7338.43+90.34</f>
        <v>313949.23000000004</v>
      </c>
    </row>
    <row r="21" spans="1:3" x14ac:dyDescent="0.2">
      <c r="A21" t="s">
        <v>812</v>
      </c>
      <c r="B21" s="241">
        <f>91899+37164.14+1000+15920.32+1880+14496.68</f>
        <v>162360.13999999998</v>
      </c>
      <c r="C21" s="241">
        <f>32752.39+22893.29+168.1+2294.84+143.83+1108.99</f>
        <v>59361.439999999995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5155663.6100000003</v>
      </c>
      <c r="C22" s="232">
        <f>SUM(C19:C21)</f>
        <v>1457009.28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1321375.0900000001</v>
      </c>
      <c r="C27" s="235">
        <f>'DOE25'!G191+'DOE25'!G209+'DOE25'!G227+'DOE25'!G270+'DOE25'!G289+'DOE25'!G308</f>
        <v>567051.64000000013</v>
      </c>
    </row>
    <row r="28" spans="1:3" x14ac:dyDescent="0.2">
      <c r="A28" t="s">
        <v>810</v>
      </c>
      <c r="B28" s="241">
        <v>1177574.25</v>
      </c>
      <c r="C28" s="241">
        <f>1379.8+525562.92+490.15+501.97</f>
        <v>527934.84000000008</v>
      </c>
    </row>
    <row r="29" spans="1:3" x14ac:dyDescent="0.2">
      <c r="A29" t="s">
        <v>811</v>
      </c>
      <c r="B29" s="241">
        <f>3369.34</f>
        <v>3369.34</v>
      </c>
      <c r="C29" s="241">
        <f>257.79</f>
        <v>257.79000000000002</v>
      </c>
    </row>
    <row r="30" spans="1:3" x14ac:dyDescent="0.2">
      <c r="A30" t="s">
        <v>812</v>
      </c>
      <c r="B30" s="241">
        <f>97523+36296+1300+5312.5</f>
        <v>140431.5</v>
      </c>
      <c r="C30" s="241">
        <f>16577.2+21659.72+215.5+406.59</f>
        <v>38859.009999999995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1321375.0900000001</v>
      </c>
      <c r="C31" s="232">
        <f>SUM(C28:C30)</f>
        <v>567051.64000000013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323139.26</v>
      </c>
      <c r="C36" s="236">
        <f>'DOE25'!G192+'DOE25'!G210+'DOE25'!G228+'DOE25'!G271+'DOE25'!G290+'DOE25'!G309</f>
        <v>67642.61</v>
      </c>
    </row>
    <row r="37" spans="1:3" x14ac:dyDescent="0.2">
      <c r="A37" t="s">
        <v>810</v>
      </c>
      <c r="B37" s="241">
        <f>17920.33+36771</f>
        <v>54691.33</v>
      </c>
      <c r="C37" s="241">
        <f>2925.59+5532.12</f>
        <v>8457.7099999999991</v>
      </c>
    </row>
    <row r="38" spans="1:3" x14ac:dyDescent="0.2">
      <c r="A38" t="s">
        <v>811</v>
      </c>
      <c r="B38" s="241">
        <f>7513.39</f>
        <v>7513.39</v>
      </c>
      <c r="C38" s="241">
        <f>1102.41</f>
        <v>1102.4100000000001</v>
      </c>
    </row>
    <row r="39" spans="1:3" x14ac:dyDescent="0.2">
      <c r="A39" t="s">
        <v>812</v>
      </c>
      <c r="B39" s="241">
        <f>94314+500+412.5+163708+2000.04</f>
        <v>260934.54</v>
      </c>
      <c r="C39" s="241">
        <f>39754.96+77.48+69.33+17844.48+336.24</f>
        <v>58082.49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323139.26</v>
      </c>
      <c r="C40" s="232">
        <f>SUM(C37:C39)</f>
        <v>67642.61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9663-7972-4ABA-AFDE-EDAC1142A625}">
  <sheetPr>
    <tabColor indexed="11"/>
  </sheetPr>
  <dimension ref="A1:I51"/>
  <sheetViews>
    <sheetView workbookViewId="0">
      <pane ySplit="4" topLeftCell="A5" activePane="bottomLeft" state="frozen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DOVER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26304394.420000002</v>
      </c>
      <c r="D5" s="20">
        <f>SUM('DOE25'!L189:L192)+SUM('DOE25'!L207:L210)+SUM('DOE25'!L225:L228)-F5-G5</f>
        <v>26196628.110000003</v>
      </c>
      <c r="E5" s="244"/>
      <c r="F5" s="256">
        <f>SUM('DOE25'!J189:J192)+SUM('DOE25'!J207:J210)+SUM('DOE25'!J225:J228)</f>
        <v>64978.499999999993</v>
      </c>
      <c r="G5" s="53">
        <f>SUM('DOE25'!K189:K192)+SUM('DOE25'!K207:K210)+SUM('DOE25'!K225:K228)</f>
        <v>42787.81</v>
      </c>
      <c r="H5" s="260"/>
    </row>
    <row r="6" spans="1:9" x14ac:dyDescent="0.2">
      <c r="A6" s="32">
        <v>2100</v>
      </c>
      <c r="B6" t="s">
        <v>832</v>
      </c>
      <c r="C6" s="246">
        <f t="shared" si="0"/>
        <v>2243104.5100000002</v>
      </c>
      <c r="D6" s="20">
        <f>'DOE25'!L194+'DOE25'!L212+'DOE25'!L230-F6-G6</f>
        <v>2243104.5100000002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998215.94000000006</v>
      </c>
      <c r="D7" s="20">
        <f>'DOE25'!L195+'DOE25'!L213+'DOE25'!L231-F7-G7</f>
        <v>921436.17</v>
      </c>
      <c r="E7" s="244"/>
      <c r="F7" s="256">
        <f>'DOE25'!J195+'DOE25'!J213+'DOE25'!J231</f>
        <v>76113.77</v>
      </c>
      <c r="G7" s="53">
        <f>'DOE25'!K195+'DOE25'!K213+'DOE25'!K231</f>
        <v>666</v>
      </c>
      <c r="H7" s="260"/>
    </row>
    <row r="8" spans="1:9" x14ac:dyDescent="0.2">
      <c r="A8" s="32">
        <v>2300</v>
      </c>
      <c r="B8" t="s">
        <v>833</v>
      </c>
      <c r="C8" s="246">
        <f t="shared" si="0"/>
        <v>758424.68</v>
      </c>
      <c r="D8" s="244"/>
      <c r="E8" s="20">
        <f>'DOE25'!L196+'DOE25'!L214+'DOE25'!L232-F8-G8-D9-D11</f>
        <v>738300.91</v>
      </c>
      <c r="F8" s="256">
        <f>'DOE25'!J196+'DOE25'!J214+'DOE25'!J232</f>
        <v>2803.6</v>
      </c>
      <c r="G8" s="53">
        <f>'DOE25'!K196+'DOE25'!K214+'DOE25'!K232</f>
        <v>17320.169999999998</v>
      </c>
      <c r="H8" s="260"/>
    </row>
    <row r="9" spans="1:9" x14ac:dyDescent="0.2">
      <c r="A9" s="32">
        <v>2310</v>
      </c>
      <c r="B9" t="s">
        <v>849</v>
      </c>
      <c r="C9" s="246">
        <f t="shared" si="0"/>
        <v>38009.660000000003</v>
      </c>
      <c r="D9" s="245">
        <f>31471.72+6537.94</f>
        <v>38009.660000000003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23523.8</v>
      </c>
      <c r="D10" s="244"/>
      <c r="E10" s="245">
        <v>23523.8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231160.83</v>
      </c>
      <c r="D11" s="245">
        <f>231160.83</f>
        <v>231160.83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2130776.2799999998</v>
      </c>
      <c r="D12" s="20">
        <f>'DOE25'!L197+'DOE25'!L215+'DOE25'!L233-F12-G12</f>
        <v>2122766.2799999998</v>
      </c>
      <c r="E12" s="244"/>
      <c r="F12" s="256">
        <f>'DOE25'!J197+'DOE25'!J215+'DOE25'!J233</f>
        <v>0</v>
      </c>
      <c r="G12" s="53">
        <f>'DOE25'!K197+'DOE25'!K215+'DOE25'!K233</f>
        <v>8010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21694.560000000001</v>
      </c>
      <c r="D13" s="244"/>
      <c r="E13" s="20">
        <f>'DOE25'!L198+'DOE25'!L216+'DOE25'!L234-F13-G13</f>
        <v>21694.560000000001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3727311.0300000003</v>
      </c>
      <c r="D14" s="20">
        <f>'DOE25'!L199+'DOE25'!L217+'DOE25'!L235-F14-G14</f>
        <v>3727311.0300000003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1605430.0100000002</v>
      </c>
      <c r="D15" s="20">
        <f>'DOE25'!L200+'DOE25'!L218+'DOE25'!L236-F15-G15</f>
        <v>1605430.0100000002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808823.56</v>
      </c>
      <c r="D16" s="244"/>
      <c r="E16" s="20">
        <f>'DOE25'!L201+'DOE25'!L219+'DOE25'!L237-F16-G16</f>
        <v>618734.3600000001</v>
      </c>
      <c r="F16" s="256">
        <f>'DOE25'!J201+'DOE25'!J219+'DOE25'!J237</f>
        <v>185499.44</v>
      </c>
      <c r="G16" s="53">
        <f>'DOE25'!K201+'DOE25'!K219+'DOE25'!K237</f>
        <v>4589.76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188006.46</v>
      </c>
      <c r="D17" s="20">
        <f>'DOE25'!L243-F17-G17</f>
        <v>188006.46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4159299.76</v>
      </c>
      <c r="D25" s="244"/>
      <c r="E25" s="244"/>
      <c r="F25" s="259"/>
      <c r="G25" s="257"/>
      <c r="H25" s="258">
        <f>'DOE25'!L252+'DOE25'!L253+'DOE25'!L333+'DOE25'!L334</f>
        <v>4159299.76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659188.42000000016</v>
      </c>
      <c r="D29" s="20">
        <f>'DOE25'!L350+'DOE25'!L351+'DOE25'!L352-'DOE25'!I359-F29-G29</f>
        <v>644953.48000000021</v>
      </c>
      <c r="E29" s="244"/>
      <c r="F29" s="256">
        <f>'DOE25'!J350+'DOE25'!J351+'DOE25'!J352</f>
        <v>13867.2</v>
      </c>
      <c r="G29" s="53">
        <f>'DOE25'!K350+'DOE25'!K351+'DOE25'!K352</f>
        <v>367.74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5118636.87</v>
      </c>
      <c r="D31" s="20">
        <f>'DOE25'!L282+'DOE25'!L301+'DOE25'!L320+'DOE25'!L325+'DOE25'!L326+'DOE25'!L327-F31-G31</f>
        <v>4841571.8999999994</v>
      </c>
      <c r="E31" s="244"/>
      <c r="F31" s="256">
        <f>'DOE25'!J282+'DOE25'!J301+'DOE25'!J320+'DOE25'!J325+'DOE25'!J326+'DOE25'!J327</f>
        <v>159190.35999999999</v>
      </c>
      <c r="G31" s="53">
        <f>'DOE25'!K282+'DOE25'!K301+'DOE25'!K320+'DOE25'!K325+'DOE25'!K326+'DOE25'!K327</f>
        <v>117874.60999999999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42760378.439999998</v>
      </c>
      <c r="E33" s="247">
        <f>SUM(E5:E31)</f>
        <v>1402253.6300000004</v>
      </c>
      <c r="F33" s="247">
        <f>SUM(F5:F31)</f>
        <v>502452.87</v>
      </c>
      <c r="G33" s="247">
        <f>SUM(G5:G31)</f>
        <v>191616.08999999997</v>
      </c>
      <c r="H33" s="247">
        <f>SUM(H5:H31)</f>
        <v>4159299.76</v>
      </c>
    </row>
    <row r="35" spans="2:8" ht="12" thickBot="1" x14ac:dyDescent="0.25">
      <c r="B35" s="254" t="s">
        <v>878</v>
      </c>
      <c r="D35" s="255">
        <f>E33</f>
        <v>1402253.6300000004</v>
      </c>
      <c r="E35" s="250"/>
    </row>
    <row r="36" spans="2:8" ht="12" thickTop="1" x14ac:dyDescent="0.2">
      <c r="B36" t="s">
        <v>846</v>
      </c>
      <c r="D36" s="20">
        <f>D33</f>
        <v>42760378.439999998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4A77-B387-49A0-91F4-A791B282592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D159" sqref="D15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DOVER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153614.65</v>
      </c>
      <c r="E12" s="95">
        <f>'DOE25'!H12</f>
        <v>698560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49930.43</v>
      </c>
      <c r="E13" s="95">
        <f>'DOE25'!H13</f>
        <v>1017724.49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293350.33999999997</v>
      </c>
      <c r="D14" s="95">
        <f>'DOE25'!G14</f>
        <v>0</v>
      </c>
      <c r="E14" s="95">
        <f>'DOE25'!H14</f>
        <v>52450.73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13796.14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2546535.6800000002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2839886.02</v>
      </c>
      <c r="D19" s="41">
        <f>SUM(D9:D18)</f>
        <v>217341.21999999997</v>
      </c>
      <c r="E19" s="41">
        <f>SUM(E9:E18)</f>
        <v>1768735.22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1202719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120345.44</v>
      </c>
      <c r="D24" s="95">
        <f>'DOE25'!G25</f>
        <v>71.28</v>
      </c>
      <c r="E24" s="95">
        <f>'DOE25'!H25</f>
        <v>16235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2546535.6800000002</v>
      </c>
      <c r="D28" s="95">
        <f>'DOE25'!G29</f>
        <v>0</v>
      </c>
      <c r="E28" s="95">
        <f>'DOE25'!H29</f>
        <v>310724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704.49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2666881.12</v>
      </c>
      <c r="D32" s="41">
        <f>SUM(D22:D31)</f>
        <v>71.28</v>
      </c>
      <c r="E32" s="41">
        <f>SUM(E22:E31)</f>
        <v>1530382.49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173004.9</v>
      </c>
      <c r="D40" s="95">
        <f>'DOE25'!G41</f>
        <v>217269.94</v>
      </c>
      <c r="E40" s="95">
        <f>'DOE25'!H41</f>
        <v>238352.73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173004.9</v>
      </c>
      <c r="D42" s="41">
        <f>SUM(D34:D41)</f>
        <v>217269.94</v>
      </c>
      <c r="E42" s="41">
        <f>SUM(E34:E41)</f>
        <v>238352.73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2839886.02</v>
      </c>
      <c r="D43" s="41">
        <f>D42+D32</f>
        <v>217341.22</v>
      </c>
      <c r="E43" s="41">
        <f>E42+E32</f>
        <v>1768735.22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25057428.989999998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4702638.37</v>
      </c>
      <c r="D49" s="24" t="s">
        <v>312</v>
      </c>
      <c r="E49" s="95">
        <f>'DOE25'!H71</f>
        <v>1007454.51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777376.51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365228.5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4702638.37</v>
      </c>
      <c r="D54" s="130">
        <f>SUM(D49:D53)</f>
        <v>777376.51</v>
      </c>
      <c r="E54" s="130">
        <f>SUM(E49:E53)</f>
        <v>1372683.01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29760067.359999999</v>
      </c>
      <c r="D55" s="22">
        <f>D48+D54</f>
        <v>777376.51</v>
      </c>
      <c r="E55" s="22">
        <f>E48+E54</f>
        <v>1372683.01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5839736.4100000001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6558455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211805.59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12609997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747158.3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228038.02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302939.85000000003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18745.79</v>
      </c>
      <c r="E69" s="95">
        <f>SUM('DOE25'!H123:H127)</f>
        <v>196629.73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1278136.1700000002</v>
      </c>
      <c r="D70" s="130">
        <f>SUM(D64:D69)</f>
        <v>18745.79</v>
      </c>
      <c r="E70" s="130">
        <f>SUM(E64:E69)</f>
        <v>196629.73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13888133.17</v>
      </c>
      <c r="D73" s="130">
        <f>SUM(D71:D72)+D70+D62</f>
        <v>18745.79</v>
      </c>
      <c r="E73" s="130">
        <f>SUM(E71:E72)+E70+E62</f>
        <v>196629.73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2086.36</v>
      </c>
      <c r="D77" s="95">
        <f>'DOE25'!G139</f>
        <v>0</v>
      </c>
      <c r="E77" s="95">
        <f>'DOE25'!H139</f>
        <v>56878.7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221719.97</v>
      </c>
      <c r="D80" s="95">
        <f>SUM('DOE25'!G145:G153)</f>
        <v>616256.83000000007</v>
      </c>
      <c r="E80" s="95">
        <f>SUM('DOE25'!H145:H153)</f>
        <v>3535882.34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223806.33</v>
      </c>
      <c r="D83" s="131">
        <f>SUM(D77:D82)</f>
        <v>616256.83000000007</v>
      </c>
      <c r="E83" s="131">
        <f>SUM(E77:E82)</f>
        <v>3592761.04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2995853.95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14566.22</v>
      </c>
      <c r="F88" s="95">
        <f>'DOE25'!I171</f>
        <v>0</v>
      </c>
      <c r="G88" s="95">
        <f>'DOE25'!J171</f>
        <v>447000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14566.22</v>
      </c>
      <c r="F95" s="86">
        <f>SUM(F85:F94)</f>
        <v>2995853.95</v>
      </c>
      <c r="G95" s="86">
        <f>SUM(G85:G94)</f>
        <v>447000</v>
      </c>
    </row>
    <row r="96" spans="1:7" ht="12.75" thickTop="1" thickBot="1" x14ac:dyDescent="0.25">
      <c r="A96" s="33" t="s">
        <v>796</v>
      </c>
      <c r="C96" s="86">
        <f>C55+C73+C83+C95</f>
        <v>43872006.859999999</v>
      </c>
      <c r="D96" s="86">
        <f>D55+D73+D83+D95</f>
        <v>1412379.1300000001</v>
      </c>
      <c r="E96" s="86">
        <f>E55+E73+E83+E95</f>
        <v>5176640</v>
      </c>
      <c r="F96" s="86">
        <f>F55+F73+F83+F95</f>
        <v>2995853.95</v>
      </c>
      <c r="G96" s="86">
        <f>G55+G73+G95</f>
        <v>447000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17618428.140000001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6034790.9999999991</v>
      </c>
      <c r="D102" s="24" t="s">
        <v>312</v>
      </c>
      <c r="E102" s="95">
        <f>('DOE25'!L269)+('DOE25'!L288)+('DOE25'!L307)</f>
        <v>2163847.4299999997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2106143.77</v>
      </c>
      <c r="D103" s="24" t="s">
        <v>312</v>
      </c>
      <c r="E103" s="95">
        <f>('DOE25'!L270)+('DOE25'!L289)+('DOE25'!L308)</f>
        <v>97796.21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545031.51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165051.4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188006.46</v>
      </c>
      <c r="D106" s="24" t="s">
        <v>312</v>
      </c>
      <c r="E106" s="95">
        <f>+ SUM('DOE25'!L325:L327)</f>
        <v>1228874.55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26492400.880000003</v>
      </c>
      <c r="D107" s="86">
        <f>SUM(D101:D106)</f>
        <v>0</v>
      </c>
      <c r="E107" s="86">
        <f>SUM(E101:E106)</f>
        <v>3655569.59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2243104.5100000002</v>
      </c>
      <c r="D110" s="24" t="s">
        <v>312</v>
      </c>
      <c r="E110" s="95">
        <f>+('DOE25'!L273)+('DOE25'!L292)+('DOE25'!L311)</f>
        <v>677798.94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998215.94000000006</v>
      </c>
      <c r="D111" s="24" t="s">
        <v>312</v>
      </c>
      <c r="E111" s="95">
        <f>+('DOE25'!L274)+('DOE25'!L293)+('DOE25'!L312)</f>
        <v>676895.24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1027595.17</v>
      </c>
      <c r="D112" s="24" t="s">
        <v>312</v>
      </c>
      <c r="E112" s="95">
        <f>+('DOE25'!L275)+('DOE25'!L294)+('DOE25'!L313)</f>
        <v>1320.52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2130776.2799999998</v>
      </c>
      <c r="D113" s="24" t="s">
        <v>312</v>
      </c>
      <c r="E113" s="95">
        <f>+('DOE25'!L276)+('DOE25'!L295)+('DOE25'!L314)</f>
        <v>131673.74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21694.560000000001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3727311.0300000003</v>
      </c>
      <c r="D115" s="24" t="s">
        <v>312</v>
      </c>
      <c r="E115" s="95">
        <f>+('DOE25'!L278)+('DOE25'!L297)+('DOE25'!L316)</f>
        <v>44583.74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1605430.0100000002</v>
      </c>
      <c r="D116" s="24" t="s">
        <v>312</v>
      </c>
      <c r="E116" s="95">
        <f>+('DOE25'!L279)+('DOE25'!L298)+('DOE25'!L317)</f>
        <v>6089.49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808823.56</v>
      </c>
      <c r="D117" s="24" t="s">
        <v>312</v>
      </c>
      <c r="E117" s="95">
        <f>+('DOE25'!L280)+('DOE25'!L299)+('DOE25'!L318)</f>
        <v>89757.010000000009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1318724.3600000001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12562951.060000001</v>
      </c>
      <c r="D120" s="86">
        <f>SUM(D110:D119)</f>
        <v>1318724.3600000001</v>
      </c>
      <c r="E120" s="86">
        <f>SUM(E110:E119)</f>
        <v>1628118.68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2995853.9499999997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2555940.46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1603359.3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447000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14566.22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447000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4620865.9800000004</v>
      </c>
      <c r="D136" s="141">
        <f>SUM(D122:D135)</f>
        <v>0</v>
      </c>
      <c r="E136" s="141">
        <f>SUM(E122:E135)</f>
        <v>0</v>
      </c>
      <c r="F136" s="141">
        <f>SUM(F122:F135)</f>
        <v>2995853.9499999997</v>
      </c>
      <c r="G136" s="141">
        <f>SUM(G122:G135)</f>
        <v>447000</v>
      </c>
    </row>
    <row r="137" spans="1:9" ht="12.75" thickTop="1" thickBot="1" x14ac:dyDescent="0.25">
      <c r="A137" s="33" t="s">
        <v>267</v>
      </c>
      <c r="C137" s="86">
        <f>(C107+C120+C136)</f>
        <v>43676217.920000002</v>
      </c>
      <c r="D137" s="86">
        <f>(D107+D120+D136)</f>
        <v>1318724.3600000001</v>
      </c>
      <c r="E137" s="86">
        <f>(E107+E120+E136)</f>
        <v>5283688.2699999996</v>
      </c>
      <c r="F137" s="86">
        <f>(F107+F120+F136)</f>
        <v>2995853.9499999997</v>
      </c>
      <c r="G137" s="86">
        <f>(G107+G120+G136)</f>
        <v>447000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31196754.43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31196754.43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2555940.4300000002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2555940.4300000002</v>
      </c>
    </row>
    <row r="151" spans="1:7" x14ac:dyDescent="0.2">
      <c r="A151" s="22" t="s">
        <v>35</v>
      </c>
      <c r="B151" s="137">
        <f>'DOE25'!F488</f>
        <v>28640814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28640814</v>
      </c>
    </row>
    <row r="152" spans="1:7" x14ac:dyDescent="0.2">
      <c r="A152" s="22" t="s">
        <v>36</v>
      </c>
      <c r="B152" s="137">
        <f>'DOE25'!F489</f>
        <v>14865733.41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14865733.41</v>
      </c>
    </row>
    <row r="153" spans="1:7" x14ac:dyDescent="0.2">
      <c r="A153" s="22" t="s">
        <v>37</v>
      </c>
      <c r="B153" s="137">
        <f>'DOE25'!F490</f>
        <v>43506547.409999996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43506547.409999996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6106-9A21-4EAA-A55A-091DDCD66176}">
  <sheetPr codeName="Sheet3">
    <tabColor indexed="43"/>
  </sheetPr>
  <dimension ref="A1:D42"/>
  <sheetViews>
    <sheetView workbookViewId="0">
      <selection activeCell="F45" sqref="F4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DOVER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9601</v>
      </c>
    </row>
    <row r="5" spans="1:4" x14ac:dyDescent="0.2">
      <c r="B5" t="s">
        <v>735</v>
      </c>
      <c r="C5" s="179">
        <f>IF('DOE25'!G655+'DOE25'!G660=0,0,ROUND('DOE25'!G662,0))</f>
        <v>9098</v>
      </c>
    </row>
    <row r="6" spans="1:4" x14ac:dyDescent="0.2">
      <c r="B6" t="s">
        <v>62</v>
      </c>
      <c r="C6" s="179">
        <f>IF('DOE25'!H655+'DOE25'!H660=0,0,ROUND('DOE25'!H662,0))</f>
        <v>10640</v>
      </c>
    </row>
    <row r="7" spans="1:4" x14ac:dyDescent="0.2">
      <c r="B7" t="s">
        <v>736</v>
      </c>
      <c r="C7" s="179">
        <f>IF('DOE25'!I655+'DOE25'!I660=0,0,ROUND('DOE25'!I662,0))</f>
        <v>9846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17618428</v>
      </c>
      <c r="D10" s="182">
        <f>ROUND((C10/$C$28)*100,1)</f>
        <v>37.9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8198638</v>
      </c>
      <c r="D11" s="182">
        <f>ROUND((C11/$C$28)*100,1)</f>
        <v>17.600000000000001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2203940</v>
      </c>
      <c r="D12" s="182">
        <f>ROUND((C12/$C$28)*100,1)</f>
        <v>4.7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545032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2920903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1675111</v>
      </c>
      <c r="D16" s="182">
        <f t="shared" si="0"/>
        <v>3.6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1927496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2262450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21695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3771895</v>
      </c>
      <c r="D20" s="182">
        <f t="shared" si="0"/>
        <v>8.1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1611520</v>
      </c>
      <c r="D21" s="182">
        <f t="shared" si="0"/>
        <v>3.5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165051</v>
      </c>
      <c r="D23" s="182">
        <f t="shared" si="0"/>
        <v>0.4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1416881</v>
      </c>
      <c r="D24" s="182">
        <f t="shared" si="0"/>
        <v>3</v>
      </c>
    </row>
    <row r="25" spans="1:4" x14ac:dyDescent="0.2">
      <c r="A25">
        <v>5120</v>
      </c>
      <c r="B25" t="s">
        <v>751</v>
      </c>
      <c r="C25" s="179">
        <f>ROUND('DOE25'!L253+'DOE25'!L334,0)</f>
        <v>1603359</v>
      </c>
      <c r="D25" s="182">
        <f t="shared" si="0"/>
        <v>3.4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541347.49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46483746.490000002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2995854</v>
      </c>
    </row>
    <row r="30" spans="1:4" x14ac:dyDescent="0.2">
      <c r="B30" s="187" t="s">
        <v>760</v>
      </c>
      <c r="C30" s="180">
        <f>SUM(C28:C29)</f>
        <v>49479600.490000002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2555940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25057429</v>
      </c>
      <c r="D35" s="182">
        <f t="shared" ref="D35:D40" si="1">ROUND((C35/$C$41)*100,1)</f>
        <v>50.4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6075321.370000001</v>
      </c>
      <c r="D36" s="182">
        <f t="shared" si="1"/>
        <v>12.2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12609997</v>
      </c>
      <c r="D37" s="182">
        <f t="shared" si="1"/>
        <v>25.4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1493512</v>
      </c>
      <c r="D38" s="182">
        <f t="shared" si="1"/>
        <v>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4432824</v>
      </c>
      <c r="D39" s="182">
        <f t="shared" si="1"/>
        <v>8.9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49669083.370000005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2995854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362B-50D1-4EE1-BDA9-5F36238AC881}">
  <sheetPr>
    <tabColor indexed="17"/>
  </sheetPr>
  <dimension ref="A1:IV90"/>
  <sheetViews>
    <sheetView workbookViewId="0">
      <pane ySplit="3" topLeftCell="A4" activePane="bottomLeft" state="frozen"/>
      <selection pane="bottomLeft" activeCell="C23" sqref="C23:M2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DOVER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</v>
      </c>
      <c r="B4" s="220">
        <v>3</v>
      </c>
      <c r="C4" s="281" t="s">
        <v>894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 t="s">
        <v>895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19</v>
      </c>
      <c r="B7" s="220">
        <v>6</v>
      </c>
      <c r="C7" s="281" t="s">
        <v>896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>
        <v>19</v>
      </c>
      <c r="B9" s="220">
        <v>6</v>
      </c>
      <c r="C9" s="281" t="s">
        <v>897</v>
      </c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CC40:CM40"/>
    <mergeCell ref="CP40:CZ40"/>
    <mergeCell ref="DC40:DM40"/>
    <mergeCell ref="EP40:EZ40"/>
    <mergeCell ref="DP40:DZ40"/>
    <mergeCell ref="AP39:AZ39"/>
    <mergeCell ref="BC40:BM40"/>
    <mergeCell ref="BP40:BZ40"/>
    <mergeCell ref="FC40:FM40"/>
    <mergeCell ref="CP39:CZ39"/>
    <mergeCell ref="EC39:EM39"/>
    <mergeCell ref="CC39:CM39"/>
    <mergeCell ref="DC39:DM39"/>
    <mergeCell ref="DP39:DZ39"/>
    <mergeCell ref="AP40:AZ40"/>
    <mergeCell ref="IP38:IV38"/>
    <mergeCell ref="BP39:BZ39"/>
    <mergeCell ref="C52:M52"/>
    <mergeCell ref="C50:M50"/>
    <mergeCell ref="C47:M47"/>
    <mergeCell ref="C48:M48"/>
    <mergeCell ref="C49:M49"/>
    <mergeCell ref="C51:M51"/>
    <mergeCell ref="P39:Z39"/>
    <mergeCell ref="AC39:AM39"/>
    <mergeCell ref="IP39:IV39"/>
    <mergeCell ref="EP39:EZ39"/>
    <mergeCell ref="FC39:FM39"/>
    <mergeCell ref="FP39:FZ39"/>
    <mergeCell ref="IC39:IM39"/>
    <mergeCell ref="HC39:HM39"/>
    <mergeCell ref="GP39:GZ39"/>
    <mergeCell ref="HP39:HZ39"/>
    <mergeCell ref="HP38:HZ38"/>
    <mergeCell ref="IC38:IM38"/>
    <mergeCell ref="C40:M40"/>
    <mergeCell ref="P40:Z40"/>
    <mergeCell ref="AC40:AM40"/>
    <mergeCell ref="GC38:GM38"/>
    <mergeCell ref="GC39:GM39"/>
    <mergeCell ref="EC38:EM38"/>
    <mergeCell ref="EP38:EZ38"/>
    <mergeCell ref="DC38:DM38"/>
    <mergeCell ref="HC38:HM38"/>
    <mergeCell ref="P38:Z38"/>
    <mergeCell ref="AC38:AM38"/>
    <mergeCell ref="AP38:AZ38"/>
    <mergeCell ref="GP32:GZ32"/>
    <mergeCell ref="AC32:AM32"/>
    <mergeCell ref="AP32:AZ32"/>
    <mergeCell ref="FC38:FM38"/>
    <mergeCell ref="FP38:FZ38"/>
    <mergeCell ref="HC32:HM32"/>
    <mergeCell ref="DC32:DM32"/>
    <mergeCell ref="DP32:DZ32"/>
    <mergeCell ref="EC32:EM32"/>
    <mergeCell ref="EP32:EZ32"/>
    <mergeCell ref="FP32:FZ32"/>
    <mergeCell ref="GC32:GM32"/>
    <mergeCell ref="GP38:GZ38"/>
    <mergeCell ref="DP38:DZ38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GP31:GZ31"/>
    <mergeCell ref="FP31:FZ31"/>
    <mergeCell ref="GC31:GM31"/>
    <mergeCell ref="HP31:HZ31"/>
    <mergeCell ref="HC31:HM31"/>
    <mergeCell ref="IC30:IM30"/>
    <mergeCell ref="HP30:HZ30"/>
    <mergeCell ref="GC30:GM30"/>
    <mergeCell ref="GP30:GZ30"/>
    <mergeCell ref="IC31:IM31"/>
    <mergeCell ref="IP30:IV30"/>
    <mergeCell ref="BC31:BM31"/>
    <mergeCell ref="BC32:BM32"/>
    <mergeCell ref="BP31:BZ31"/>
    <mergeCell ref="CC31:CM31"/>
    <mergeCell ref="CP31:CZ31"/>
    <mergeCell ref="BP32:BZ32"/>
    <mergeCell ref="DC31:DM31"/>
    <mergeCell ref="EP31:EZ31"/>
    <mergeCell ref="HC30:HM30"/>
    <mergeCell ref="FP29:FZ29"/>
    <mergeCell ref="CC30:CM30"/>
    <mergeCell ref="CP30:CZ30"/>
    <mergeCell ref="DC30:DM30"/>
    <mergeCell ref="DP30:DZ30"/>
    <mergeCell ref="FC30:FM30"/>
    <mergeCell ref="FP30:FZ30"/>
    <mergeCell ref="EP30:EZ30"/>
    <mergeCell ref="BP29:BZ29"/>
    <mergeCell ref="BC39:BM39"/>
    <mergeCell ref="BC38:BM38"/>
    <mergeCell ref="BP38:BZ38"/>
    <mergeCell ref="CC38:CM38"/>
    <mergeCell ref="FC29:FM29"/>
    <mergeCell ref="FC31:FM31"/>
    <mergeCell ref="CC32:CM32"/>
    <mergeCell ref="CP38:CZ38"/>
    <mergeCell ref="C41:M41"/>
    <mergeCell ref="C33:M33"/>
    <mergeCell ref="EC29:EM29"/>
    <mergeCell ref="EP29:EZ29"/>
    <mergeCell ref="BC30:BM30"/>
    <mergeCell ref="BP30:BZ30"/>
    <mergeCell ref="EC30:EM30"/>
    <mergeCell ref="AP29:AZ29"/>
    <mergeCell ref="C32:M32"/>
    <mergeCell ref="BC29:BM29"/>
    <mergeCell ref="IC29:IM29"/>
    <mergeCell ref="IP29:IV29"/>
    <mergeCell ref="HC29:HM29"/>
    <mergeCell ref="HP29:HZ29"/>
    <mergeCell ref="CC29:CM29"/>
    <mergeCell ref="CP29:CZ29"/>
    <mergeCell ref="DC29:DM29"/>
    <mergeCell ref="DP29:DZ29"/>
    <mergeCell ref="GC29:GM29"/>
    <mergeCell ref="GP29:GZ29"/>
    <mergeCell ref="C30:M30"/>
    <mergeCell ref="C31:M31"/>
    <mergeCell ref="P31:Z31"/>
    <mergeCell ref="AC31:AM31"/>
    <mergeCell ref="AP31:AZ31"/>
    <mergeCell ref="P32:Z32"/>
    <mergeCell ref="P30:Z30"/>
    <mergeCell ref="AC30:AM30"/>
    <mergeCell ref="AP30:AZ30"/>
    <mergeCell ref="AC29:AM29"/>
    <mergeCell ref="C19:M19"/>
    <mergeCell ref="C9:M9"/>
    <mergeCell ref="C10:M10"/>
    <mergeCell ref="C11:M11"/>
    <mergeCell ref="C16:M16"/>
    <mergeCell ref="C17:M17"/>
    <mergeCell ref="C18:M18"/>
    <mergeCell ref="C12:M12"/>
    <mergeCell ref="A2:E2"/>
    <mergeCell ref="A1:I1"/>
    <mergeCell ref="C3:M3"/>
    <mergeCell ref="C4:M4"/>
    <mergeCell ref="F2:I2"/>
    <mergeCell ref="P29:Z29"/>
    <mergeCell ref="C14:M14"/>
    <mergeCell ref="C13:M13"/>
    <mergeCell ref="C26:M26"/>
    <mergeCell ref="C27:M27"/>
    <mergeCell ref="C5:M5"/>
    <mergeCell ref="C6:M6"/>
    <mergeCell ref="C7:M7"/>
    <mergeCell ref="C8:M8"/>
    <mergeCell ref="C42:M42"/>
    <mergeCell ref="C37:M37"/>
    <mergeCell ref="C38:M38"/>
    <mergeCell ref="C15:M15"/>
    <mergeCell ref="C20:M20"/>
    <mergeCell ref="C29:M29"/>
    <mergeCell ref="C25:M25"/>
    <mergeCell ref="C34:M34"/>
    <mergeCell ref="C35:M35"/>
    <mergeCell ref="C36:M36"/>
    <mergeCell ref="C61:M61"/>
    <mergeCell ref="C66:M66"/>
    <mergeCell ref="C60:M60"/>
    <mergeCell ref="C58:M58"/>
    <mergeCell ref="C55:M55"/>
    <mergeCell ref="C56:M56"/>
    <mergeCell ref="C57:M57"/>
    <mergeCell ref="C59:M59"/>
    <mergeCell ref="C77:M77"/>
    <mergeCell ref="C78:M78"/>
    <mergeCell ref="C43:M43"/>
    <mergeCell ref="C39:M39"/>
    <mergeCell ref="C53:M53"/>
    <mergeCell ref="C54:M54"/>
    <mergeCell ref="A72:E72"/>
    <mergeCell ref="C73:M73"/>
    <mergeCell ref="C68:M68"/>
    <mergeCell ref="C69:M69"/>
    <mergeCell ref="C89:M89"/>
    <mergeCell ref="C90:M90"/>
    <mergeCell ref="C83:M83"/>
    <mergeCell ref="C84:M84"/>
    <mergeCell ref="C85:M85"/>
    <mergeCell ref="C86:M86"/>
    <mergeCell ref="C28:M28"/>
    <mergeCell ref="C21:M21"/>
    <mergeCell ref="C22:M22"/>
    <mergeCell ref="C23:M23"/>
    <mergeCell ref="C24:M24"/>
    <mergeCell ref="C80:M80"/>
    <mergeCell ref="C64:M64"/>
    <mergeCell ref="C65:M65"/>
    <mergeCell ref="C62:M62"/>
    <mergeCell ref="C63:M63"/>
    <mergeCell ref="C81:M81"/>
    <mergeCell ref="C67:M67"/>
    <mergeCell ref="C88:M88"/>
    <mergeCell ref="C87:M87"/>
    <mergeCell ref="C82:M82"/>
    <mergeCell ref="C70:M70"/>
    <mergeCell ref="C74:M74"/>
    <mergeCell ref="C79:M79"/>
    <mergeCell ref="C75:M75"/>
    <mergeCell ref="C76:M7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2011-10-31T13:45:09Z</cp:lastPrinted>
  <dcterms:created xsi:type="dcterms:W3CDTF">1997-12-04T19:04:30Z</dcterms:created>
  <dcterms:modified xsi:type="dcterms:W3CDTF">2025-01-09T20:41:32Z</dcterms:modified>
</cp:coreProperties>
</file>