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9317D5A-9263-4635-A0D6-923E641EB6EF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EB1FC8EA-56E9-4CC5-857F-1B1A1EAAFC1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2" l="1"/>
  <c r="H151" i="1"/>
  <c r="F2" i="11"/>
  <c r="B2" i="10"/>
  <c r="C5" i="10"/>
  <c r="I655" i="1"/>
  <c r="I660" i="1"/>
  <c r="I659" i="1"/>
  <c r="L189" i="1"/>
  <c r="C10" i="10" s="1"/>
  <c r="L207" i="1"/>
  <c r="L225" i="1"/>
  <c r="L268" i="1"/>
  <c r="L287" i="1"/>
  <c r="L301" i="1" s="1"/>
  <c r="L306" i="1"/>
  <c r="L320" i="1" s="1"/>
  <c r="L190" i="1"/>
  <c r="L208" i="1"/>
  <c r="L226" i="1"/>
  <c r="C11" i="10" s="1"/>
  <c r="L269" i="1"/>
  <c r="L288" i="1"/>
  <c r="L307" i="1"/>
  <c r="L191" i="1"/>
  <c r="L203" i="1" s="1"/>
  <c r="L209" i="1"/>
  <c r="L221" i="1" s="1"/>
  <c r="G650" i="1" s="1"/>
  <c r="L227" i="1"/>
  <c r="L270" i="1"/>
  <c r="E103" i="2" s="1"/>
  <c r="E107" i="2" s="1"/>
  <c r="L289" i="1"/>
  <c r="L308" i="1"/>
  <c r="L192" i="1"/>
  <c r="C13" i="10" s="1"/>
  <c r="L210" i="1"/>
  <c r="L228" i="1"/>
  <c r="L271" i="1"/>
  <c r="L290" i="1"/>
  <c r="L309" i="1"/>
  <c r="E104" i="2" s="1"/>
  <c r="L194" i="1"/>
  <c r="C15" i="10" s="1"/>
  <c r="L212" i="1"/>
  <c r="L230" i="1"/>
  <c r="L273" i="1"/>
  <c r="L292" i="1"/>
  <c r="L311" i="1"/>
  <c r="L195" i="1"/>
  <c r="L213" i="1"/>
  <c r="L231" i="1"/>
  <c r="L274" i="1"/>
  <c r="E111" i="2" s="1"/>
  <c r="L293" i="1"/>
  <c r="C16" i="10" s="1"/>
  <c r="L312" i="1"/>
  <c r="L196" i="1"/>
  <c r="L201" i="1"/>
  <c r="L214" i="1"/>
  <c r="L219" i="1"/>
  <c r="C117" i="2" s="1"/>
  <c r="L232" i="1"/>
  <c r="L237" i="1"/>
  <c r="L275" i="1"/>
  <c r="L280" i="1"/>
  <c r="L294" i="1"/>
  <c r="E112" i="2" s="1"/>
  <c r="L299" i="1"/>
  <c r="E117" i="2" s="1"/>
  <c r="L313" i="1"/>
  <c r="L318" i="1"/>
  <c r="L197" i="1"/>
  <c r="L215" i="1"/>
  <c r="L233" i="1"/>
  <c r="C18" i="10" s="1"/>
  <c r="L276" i="1"/>
  <c r="L295" i="1"/>
  <c r="L314" i="1"/>
  <c r="L198" i="1"/>
  <c r="E13" i="13" s="1"/>
  <c r="C13" i="13" s="1"/>
  <c r="L216" i="1"/>
  <c r="L234" i="1"/>
  <c r="L277" i="1"/>
  <c r="L296" i="1"/>
  <c r="L315" i="1"/>
  <c r="L199" i="1"/>
  <c r="D14" i="13" s="1"/>
  <c r="C14" i="13" s="1"/>
  <c r="L217" i="1"/>
  <c r="L235" i="1"/>
  <c r="L278" i="1"/>
  <c r="L297" i="1"/>
  <c r="L316" i="1"/>
  <c r="E115" i="2" s="1"/>
  <c r="L200" i="1"/>
  <c r="C21" i="10" s="1"/>
  <c r="L218" i="1"/>
  <c r="G640" i="1" s="1"/>
  <c r="J640" i="1" s="1"/>
  <c r="L236" i="1"/>
  <c r="L279" i="1"/>
  <c r="L298" i="1"/>
  <c r="L317" i="1"/>
  <c r="H652" i="1" s="1"/>
  <c r="L242" i="1"/>
  <c r="L324" i="1"/>
  <c r="C23" i="10"/>
  <c r="L243" i="1"/>
  <c r="C106" i="2" s="1"/>
  <c r="L244" i="1"/>
  <c r="D18" i="13" s="1"/>
  <c r="C18" i="13" s="1"/>
  <c r="L245" i="1"/>
  <c r="D19" i="13" s="1"/>
  <c r="C19" i="13" s="1"/>
  <c r="L246" i="1"/>
  <c r="L325" i="1"/>
  <c r="L326" i="1"/>
  <c r="L327" i="1"/>
  <c r="C24" i="10"/>
  <c r="L253" i="1"/>
  <c r="L334" i="1"/>
  <c r="C25" i="10"/>
  <c r="L260" i="1"/>
  <c r="L261" i="1"/>
  <c r="C135" i="2" s="1"/>
  <c r="L341" i="1"/>
  <c r="E134" i="2" s="1"/>
  <c r="L342" i="1"/>
  <c r="E135" i="2" s="1"/>
  <c r="I350" i="1"/>
  <c r="J350" i="1"/>
  <c r="L350" i="1"/>
  <c r="L351" i="1"/>
  <c r="J352" i="1"/>
  <c r="L352" i="1" s="1"/>
  <c r="H651" i="1" s="1"/>
  <c r="L353" i="1"/>
  <c r="L247" i="1"/>
  <c r="C29" i="10" s="1"/>
  <c r="L328" i="1"/>
  <c r="L366" i="1"/>
  <c r="L367" i="1"/>
  <c r="L368" i="1"/>
  <c r="L374" i="1" s="1"/>
  <c r="G626" i="1" s="1"/>
  <c r="J626" i="1" s="1"/>
  <c r="L369" i="1"/>
  <c r="L370" i="1"/>
  <c r="L371" i="1"/>
  <c r="L372" i="1"/>
  <c r="L252" i="1"/>
  <c r="C32" i="10" s="1"/>
  <c r="L333" i="1"/>
  <c r="F49" i="1"/>
  <c r="F52" i="1"/>
  <c r="C35" i="10" s="1"/>
  <c r="G52" i="1"/>
  <c r="D48" i="2" s="1"/>
  <c r="D55" i="2" s="1"/>
  <c r="H52" i="1"/>
  <c r="H104" i="1" s="1"/>
  <c r="I52" i="1"/>
  <c r="I104" i="1" s="1"/>
  <c r="I185" i="1" s="1"/>
  <c r="G620" i="1" s="1"/>
  <c r="J620" i="1" s="1"/>
  <c r="J52" i="1"/>
  <c r="J104" i="1" s="1"/>
  <c r="F60" i="1"/>
  <c r="F64" i="1"/>
  <c r="F71" i="1"/>
  <c r="F104" i="1" s="1"/>
  <c r="F86" i="1"/>
  <c r="F90" i="1"/>
  <c r="F95" i="1"/>
  <c r="F103" i="1"/>
  <c r="G103" i="1"/>
  <c r="G104" i="1" s="1"/>
  <c r="G185" i="1" s="1"/>
  <c r="G618" i="1" s="1"/>
  <c r="J618" i="1" s="1"/>
  <c r="H71" i="1"/>
  <c r="E49" i="2" s="1"/>
  <c r="E54" i="2" s="1"/>
  <c r="E55" i="2" s="1"/>
  <c r="H86" i="1"/>
  <c r="H103" i="1"/>
  <c r="I103" i="1"/>
  <c r="J88" i="1"/>
  <c r="J103" i="1"/>
  <c r="C37" i="10"/>
  <c r="F113" i="1"/>
  <c r="F132" i="1" s="1"/>
  <c r="C38" i="10" s="1"/>
  <c r="F128" i="1"/>
  <c r="G113" i="1"/>
  <c r="G128" i="1"/>
  <c r="G132" i="1"/>
  <c r="H113" i="1"/>
  <c r="H125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G154" i="1"/>
  <c r="G161" i="1"/>
  <c r="H139" i="1"/>
  <c r="H161" i="1" s="1"/>
  <c r="H154" i="1"/>
  <c r="I139" i="1"/>
  <c r="I154" i="1"/>
  <c r="I161" i="1"/>
  <c r="C40" i="10"/>
  <c r="C42" i="10"/>
  <c r="A1" i="2"/>
  <c r="A2" i="2"/>
  <c r="F9" i="1"/>
  <c r="C9" i="2" s="1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F13" i="1"/>
  <c r="C13" i="2" s="1"/>
  <c r="D13" i="2"/>
  <c r="E13" i="2"/>
  <c r="F13" i="2"/>
  <c r="I434" i="1"/>
  <c r="J13" i="1"/>
  <c r="G13" i="2" s="1"/>
  <c r="F14" i="1"/>
  <c r="C14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D19" i="2"/>
  <c r="C22" i="2"/>
  <c r="D22" i="2"/>
  <c r="E22" i="2"/>
  <c r="E32" i="2" s="1"/>
  <c r="F22" i="2"/>
  <c r="F32" i="2" s="1"/>
  <c r="I440" i="1"/>
  <c r="J23" i="1" s="1"/>
  <c r="C23" i="2"/>
  <c r="D23" i="2"/>
  <c r="D32" i="2" s="1"/>
  <c r="E23" i="2"/>
  <c r="F23" i="2"/>
  <c r="I441" i="1"/>
  <c r="J24" i="1"/>
  <c r="G23" i="2"/>
  <c r="F25" i="1"/>
  <c r="C24" i="2" s="1"/>
  <c r="C32" i="2" s="1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F30" i="1"/>
  <c r="C29" i="2"/>
  <c r="D29" i="2"/>
  <c r="E29" i="2"/>
  <c r="F29" i="2"/>
  <c r="C30" i="2"/>
  <c r="D30" i="2"/>
  <c r="E30" i="2"/>
  <c r="F30" i="2"/>
  <c r="F32" i="1"/>
  <c r="C31" i="2"/>
  <c r="D31" i="2"/>
  <c r="E31" i="2"/>
  <c r="F31" i="2"/>
  <c r="I443" i="1"/>
  <c r="J32" i="1"/>
  <c r="G31" i="2"/>
  <c r="C34" i="2"/>
  <c r="C42" i="2" s="1"/>
  <c r="D34" i="2"/>
  <c r="E34" i="2"/>
  <c r="F34" i="2"/>
  <c r="C35" i="2"/>
  <c r="D35" i="2"/>
  <c r="E35" i="2"/>
  <c r="E42" i="2" s="1"/>
  <c r="E43" i="2" s="1"/>
  <c r="F35" i="2"/>
  <c r="C36" i="2"/>
  <c r="D36" i="2"/>
  <c r="E36" i="2"/>
  <c r="F36" i="2"/>
  <c r="I446" i="1"/>
  <c r="J37" i="1" s="1"/>
  <c r="C37" i="2"/>
  <c r="D37" i="2"/>
  <c r="E37" i="2"/>
  <c r="F37" i="2"/>
  <c r="F42" i="2" s="1"/>
  <c r="F43" i="2" s="1"/>
  <c r="I447" i="1"/>
  <c r="J38" i="1"/>
  <c r="G37" i="2" s="1"/>
  <c r="C38" i="2"/>
  <c r="D38" i="2"/>
  <c r="E38" i="2"/>
  <c r="F38" i="2"/>
  <c r="I448" i="1"/>
  <c r="J40" i="1"/>
  <c r="G39" i="2"/>
  <c r="C40" i="2"/>
  <c r="D40" i="2"/>
  <c r="E40" i="2"/>
  <c r="F40" i="2"/>
  <c r="G449" i="1"/>
  <c r="I449" i="1"/>
  <c r="J41" i="1" s="1"/>
  <c r="G40" i="2" s="1"/>
  <c r="C41" i="2"/>
  <c r="D41" i="2"/>
  <c r="E41" i="2"/>
  <c r="F41" i="2"/>
  <c r="D42" i="2"/>
  <c r="D43" i="2" s="1"/>
  <c r="C48" i="2"/>
  <c r="E48" i="2"/>
  <c r="F48" i="2"/>
  <c r="F55" i="2" s="1"/>
  <c r="F96" i="2" s="1"/>
  <c r="G48" i="2"/>
  <c r="C50" i="2"/>
  <c r="E50" i="2"/>
  <c r="C51" i="2"/>
  <c r="D51" i="2"/>
  <c r="E51" i="2"/>
  <c r="F51" i="2"/>
  <c r="F54" i="2" s="1"/>
  <c r="G51" i="2"/>
  <c r="D52" i="2"/>
  <c r="C53" i="2"/>
  <c r="D53" i="2"/>
  <c r="E53" i="2"/>
  <c r="F53" i="2"/>
  <c r="G53" i="2"/>
  <c r="D54" i="2"/>
  <c r="G54" i="2"/>
  <c r="G55" i="2"/>
  <c r="C58" i="2"/>
  <c r="C59" i="2"/>
  <c r="C60" i="2"/>
  <c r="C61" i="2"/>
  <c r="C62" i="2" s="1"/>
  <c r="D61" i="2"/>
  <c r="E61" i="2"/>
  <c r="F61" i="2"/>
  <c r="G61" i="2"/>
  <c r="G62" i="2" s="1"/>
  <c r="D62" i="2"/>
  <c r="E62" i="2"/>
  <c r="F62" i="2"/>
  <c r="C64" i="2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 s="1"/>
  <c r="D73" i="2" s="1"/>
  <c r="E69" i="2"/>
  <c r="F69" i="2"/>
  <c r="G69" i="2"/>
  <c r="C70" i="2"/>
  <c r="G70" i="2"/>
  <c r="C71" i="2"/>
  <c r="D71" i="2"/>
  <c r="E71" i="2"/>
  <c r="C72" i="2"/>
  <c r="E72" i="2"/>
  <c r="D77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C85" i="2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C95" i="2" s="1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1" i="2"/>
  <c r="E102" i="2"/>
  <c r="C105" i="2"/>
  <c r="E105" i="2"/>
  <c r="E106" i="2"/>
  <c r="D107" i="2"/>
  <c r="F107" i="2"/>
  <c r="G107" i="2"/>
  <c r="E110" i="2"/>
  <c r="C111" i="2"/>
  <c r="C112" i="2"/>
  <c r="E113" i="2"/>
  <c r="C114" i="2"/>
  <c r="E114" i="2"/>
  <c r="F120" i="2"/>
  <c r="G120" i="2"/>
  <c r="G137" i="2" s="1"/>
  <c r="C122" i="2"/>
  <c r="E122" i="2"/>
  <c r="C123" i="2"/>
  <c r="E123" i="2"/>
  <c r="C124" i="2"/>
  <c r="E124" i="2"/>
  <c r="D126" i="2"/>
  <c r="L336" i="1"/>
  <c r="L343" i="1" s="1"/>
  <c r="E126" i="2"/>
  <c r="F126" i="2"/>
  <c r="K411" i="1"/>
  <c r="K426" i="1" s="1"/>
  <c r="G126" i="2" s="1"/>
  <c r="G136" i="2" s="1"/>
  <c r="K419" i="1"/>
  <c r="K425" i="1"/>
  <c r="L255" i="1"/>
  <c r="C127" i="2" s="1"/>
  <c r="L337" i="1"/>
  <c r="E127" i="2" s="1"/>
  <c r="E136" i="2" s="1"/>
  <c r="L256" i="1"/>
  <c r="C128" i="2"/>
  <c r="L257" i="1"/>
  <c r="C129" i="2"/>
  <c r="L338" i="1"/>
  <c r="E129" i="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H392" i="1"/>
  <c r="L392" i="1" s="1"/>
  <c r="L395" i="1"/>
  <c r="L396" i="1"/>
  <c r="L397" i="1"/>
  <c r="L398" i="1"/>
  <c r="L399" i="1"/>
  <c r="C132" i="2" s="1"/>
  <c r="L258" i="1"/>
  <c r="C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G149" i="2" s="1"/>
  <c r="F149" i="2"/>
  <c r="B150" i="2"/>
  <c r="C150" i="2"/>
  <c r="D150" i="2"/>
  <c r="E150" i="2"/>
  <c r="F150" i="2"/>
  <c r="G150" i="2"/>
  <c r="F488" i="1"/>
  <c r="F490" i="1" s="1"/>
  <c r="G488" i="1"/>
  <c r="C151" i="2"/>
  <c r="H488" i="1"/>
  <c r="D151" i="2" s="1"/>
  <c r="I488" i="1"/>
  <c r="E151" i="2" s="1"/>
  <c r="F151" i="2"/>
  <c r="B152" i="2"/>
  <c r="C152" i="2"/>
  <c r="D152" i="2"/>
  <c r="E152" i="2"/>
  <c r="F152" i="2"/>
  <c r="G152" i="2"/>
  <c r="G490" i="1"/>
  <c r="C153" i="2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/>
  <c r="I493" i="1"/>
  <c r="E156" i="2" s="1"/>
  <c r="J493" i="1"/>
  <c r="F156" i="2" s="1"/>
  <c r="B2" i="13"/>
  <c r="F5" i="13"/>
  <c r="D5" i="13" s="1"/>
  <c r="G5" i="13"/>
  <c r="F6" i="13"/>
  <c r="G6" i="13"/>
  <c r="D6" i="13"/>
  <c r="C6" i="13" s="1"/>
  <c r="F7" i="13"/>
  <c r="D7" i="13" s="1"/>
  <c r="C7" i="13" s="1"/>
  <c r="G7" i="13"/>
  <c r="F8" i="13"/>
  <c r="E8" i="13" s="1"/>
  <c r="G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D17" i="13"/>
  <c r="C17" i="13"/>
  <c r="F18" i="13"/>
  <c r="G18" i="13"/>
  <c r="F19" i="13"/>
  <c r="G19" i="13"/>
  <c r="F22" i="13"/>
  <c r="C22" i="13" s="1"/>
  <c r="I359" i="1"/>
  <c r="F29" i="13"/>
  <c r="G29" i="13"/>
  <c r="L282" i="1"/>
  <c r="J282" i="1"/>
  <c r="J301" i="1"/>
  <c r="J320" i="1"/>
  <c r="J330" i="1" s="1"/>
  <c r="J344" i="1" s="1"/>
  <c r="F31" i="13"/>
  <c r="K282" i="1"/>
  <c r="G31" i="13" s="1"/>
  <c r="K301" i="1"/>
  <c r="K320" i="1"/>
  <c r="D39" i="13"/>
  <c r="B1" i="12"/>
  <c r="B4" i="12"/>
  <c r="B9" i="12"/>
  <c r="C9" i="12"/>
  <c r="C11" i="12" s="1"/>
  <c r="B13" i="12"/>
  <c r="C10" i="12" s="1"/>
  <c r="B18" i="12"/>
  <c r="C18" i="12"/>
  <c r="B22" i="12"/>
  <c r="C19" i="12" s="1"/>
  <c r="C21" i="12"/>
  <c r="B27" i="12"/>
  <c r="C27" i="12"/>
  <c r="B31" i="12"/>
  <c r="A31" i="12" s="1"/>
  <c r="C31" i="12"/>
  <c r="B36" i="12"/>
  <c r="C36" i="12"/>
  <c r="C39" i="12" s="1"/>
  <c r="B40" i="12"/>
  <c r="C37" i="12" s="1"/>
  <c r="C38" i="12"/>
  <c r="G19" i="1"/>
  <c r="G608" i="1" s="1"/>
  <c r="J608" i="1" s="1"/>
  <c r="H19" i="1"/>
  <c r="I19" i="1"/>
  <c r="G610" i="1" s="1"/>
  <c r="G33" i="1"/>
  <c r="H33" i="1"/>
  <c r="I33" i="1"/>
  <c r="F43" i="1"/>
  <c r="G43" i="1"/>
  <c r="H43" i="1"/>
  <c r="I43" i="1"/>
  <c r="I44" i="1" s="1"/>
  <c r="H610" i="1" s="1"/>
  <c r="G44" i="1"/>
  <c r="H608" i="1" s="1"/>
  <c r="H44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H184" i="1" s="1"/>
  <c r="I180" i="1"/>
  <c r="G184" i="1"/>
  <c r="F203" i="1"/>
  <c r="F249" i="1" s="1"/>
  <c r="F263" i="1" s="1"/>
  <c r="G203" i="1"/>
  <c r="H203" i="1"/>
  <c r="I203" i="1"/>
  <c r="I249" i="1" s="1"/>
  <c r="I263" i="1" s="1"/>
  <c r="J203" i="1"/>
  <c r="K203" i="1"/>
  <c r="F221" i="1"/>
  <c r="G221" i="1"/>
  <c r="G249" i="1" s="1"/>
  <c r="G263" i="1" s="1"/>
  <c r="H221" i="1"/>
  <c r="H249" i="1" s="1"/>
  <c r="H263" i="1" s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K249" i="1"/>
  <c r="F262" i="1"/>
  <c r="L262" i="1" s="1"/>
  <c r="G262" i="1"/>
  <c r="H262" i="1"/>
  <c r="I262" i="1"/>
  <c r="J262" i="1"/>
  <c r="K262" i="1"/>
  <c r="K263" i="1"/>
  <c r="F282" i="1"/>
  <c r="G282" i="1"/>
  <c r="H282" i="1"/>
  <c r="H330" i="1" s="1"/>
  <c r="H344" i="1" s="1"/>
  <c r="I282" i="1"/>
  <c r="F301" i="1"/>
  <c r="G301" i="1"/>
  <c r="H301" i="1"/>
  <c r="I301" i="1"/>
  <c r="F320" i="1"/>
  <c r="F330" i="1" s="1"/>
  <c r="F344" i="1" s="1"/>
  <c r="G320" i="1"/>
  <c r="H320" i="1"/>
  <c r="I320" i="1"/>
  <c r="F329" i="1"/>
  <c r="G329" i="1"/>
  <c r="H329" i="1"/>
  <c r="L329" i="1" s="1"/>
  <c r="I329" i="1"/>
  <c r="J329" i="1"/>
  <c r="K329" i="1"/>
  <c r="G330" i="1"/>
  <c r="G344" i="1" s="1"/>
  <c r="I330" i="1"/>
  <c r="I344" i="1" s="1"/>
  <c r="L339" i="1"/>
  <c r="K343" i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I393" i="1"/>
  <c r="I400" i="1" s="1"/>
  <c r="F399" i="1"/>
  <c r="G399" i="1"/>
  <c r="H399" i="1"/>
  <c r="I399" i="1"/>
  <c r="F400" i="1"/>
  <c r="G400" i="1"/>
  <c r="H635" i="1" s="1"/>
  <c r="L405" i="1"/>
  <c r="L406" i="1"/>
  <c r="L407" i="1"/>
  <c r="L411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F426" i="1"/>
  <c r="J426" i="1"/>
  <c r="F438" i="1"/>
  <c r="G438" i="1"/>
  <c r="H438" i="1"/>
  <c r="I438" i="1"/>
  <c r="G632" i="1" s="1"/>
  <c r="F444" i="1"/>
  <c r="F451" i="1" s="1"/>
  <c r="H629" i="1" s="1"/>
  <c r="J629" i="1" s="1"/>
  <c r="G444" i="1"/>
  <c r="G451" i="1" s="1"/>
  <c r="H630" i="1" s="1"/>
  <c r="H444" i="1"/>
  <c r="H451" i="1" s="1"/>
  <c r="H631" i="1" s="1"/>
  <c r="F450" i="1"/>
  <c r="G450" i="1"/>
  <c r="H450" i="1"/>
  <c r="J455" i="1"/>
  <c r="J458" i="1"/>
  <c r="H627" i="1" s="1"/>
  <c r="F460" i="1"/>
  <c r="G460" i="1"/>
  <c r="H460" i="1"/>
  <c r="I460" i="1"/>
  <c r="J460" i="1"/>
  <c r="J466" i="1" s="1"/>
  <c r="H616" i="1" s="1"/>
  <c r="F462" i="1"/>
  <c r="H462" i="1"/>
  <c r="F464" i="1"/>
  <c r="G464" i="1"/>
  <c r="H464" i="1"/>
  <c r="H466" i="1" s="1"/>
  <c r="H614" i="1" s="1"/>
  <c r="I464" i="1"/>
  <c r="I466" i="1" s="1"/>
  <c r="H615" i="1" s="1"/>
  <c r="J464" i="1"/>
  <c r="F466" i="1"/>
  <c r="H612" i="1" s="1"/>
  <c r="J612" i="1" s="1"/>
  <c r="G466" i="1"/>
  <c r="K485" i="1"/>
  <c r="K486" i="1"/>
  <c r="K487" i="1"/>
  <c r="K488" i="1"/>
  <c r="K489" i="1"/>
  <c r="K491" i="1"/>
  <c r="K492" i="1"/>
  <c r="F507" i="1"/>
  <c r="G507" i="1"/>
  <c r="H507" i="1"/>
  <c r="I507" i="1"/>
  <c r="F511" i="1"/>
  <c r="G511" i="1"/>
  <c r="H516" i="1"/>
  <c r="L516" i="1" s="1"/>
  <c r="H511" i="1"/>
  <c r="H514" i="1" s="1"/>
  <c r="H535" i="1" s="1"/>
  <c r="I516" i="1"/>
  <c r="I511" i="1" s="1"/>
  <c r="I514" i="1" s="1"/>
  <c r="I535" i="1" s="1"/>
  <c r="J511" i="1"/>
  <c r="J514" i="1" s="1"/>
  <c r="J535" i="1" s="1"/>
  <c r="K511" i="1"/>
  <c r="L512" i="1"/>
  <c r="F513" i="1"/>
  <c r="L513" i="1" s="1"/>
  <c r="F541" i="1" s="1"/>
  <c r="G513" i="1"/>
  <c r="H513" i="1"/>
  <c r="I513" i="1"/>
  <c r="J513" i="1"/>
  <c r="K513" i="1"/>
  <c r="G514" i="1"/>
  <c r="G535" i="1" s="1"/>
  <c r="K514" i="1"/>
  <c r="K535" i="1" s="1"/>
  <c r="L517" i="1"/>
  <c r="G540" i="1" s="1"/>
  <c r="L518" i="1"/>
  <c r="F519" i="1"/>
  <c r="G519" i="1"/>
  <c r="H519" i="1"/>
  <c r="I519" i="1"/>
  <c r="J519" i="1"/>
  <c r="K519" i="1"/>
  <c r="L521" i="1"/>
  <c r="H539" i="1" s="1"/>
  <c r="L522" i="1"/>
  <c r="H540" i="1" s="1"/>
  <c r="L523" i="1"/>
  <c r="F524" i="1"/>
  <c r="G524" i="1"/>
  <c r="H524" i="1"/>
  <c r="I524" i="1"/>
  <c r="J524" i="1"/>
  <c r="K524" i="1"/>
  <c r="H526" i="1"/>
  <c r="L526" i="1" s="1"/>
  <c r="L527" i="1"/>
  <c r="H528" i="1"/>
  <c r="L528" i="1" s="1"/>
  <c r="I541" i="1" s="1"/>
  <c r="F529" i="1"/>
  <c r="G529" i="1"/>
  <c r="H529" i="1"/>
  <c r="I529" i="1"/>
  <c r="J529" i="1"/>
  <c r="K529" i="1"/>
  <c r="L531" i="1"/>
  <c r="L532" i="1"/>
  <c r="L533" i="1"/>
  <c r="L534" i="1" s="1"/>
  <c r="F534" i="1"/>
  <c r="G534" i="1"/>
  <c r="H534" i="1"/>
  <c r="I534" i="1"/>
  <c r="J534" i="1"/>
  <c r="K534" i="1"/>
  <c r="J539" i="1"/>
  <c r="F540" i="1"/>
  <c r="K540" i="1" s="1"/>
  <c r="I540" i="1"/>
  <c r="J540" i="1"/>
  <c r="G541" i="1"/>
  <c r="H541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J582" i="1"/>
  <c r="J588" i="1" s="1"/>
  <c r="H641" i="1" s="1"/>
  <c r="J641" i="1" s="1"/>
  <c r="K583" i="1"/>
  <c r="K584" i="1"/>
  <c r="K585" i="1"/>
  <c r="K586" i="1"/>
  <c r="K587" i="1"/>
  <c r="H588" i="1"/>
  <c r="I588" i="1"/>
  <c r="K592" i="1"/>
  <c r="K593" i="1"/>
  <c r="H594" i="1"/>
  <c r="K594" i="1" s="1"/>
  <c r="J594" i="1"/>
  <c r="I595" i="1"/>
  <c r="J595" i="1"/>
  <c r="L601" i="1"/>
  <c r="L604" i="1" s="1"/>
  <c r="L602" i="1"/>
  <c r="G653" i="1" s="1"/>
  <c r="L603" i="1"/>
  <c r="F604" i="1"/>
  <c r="G604" i="1"/>
  <c r="H604" i="1"/>
  <c r="I604" i="1"/>
  <c r="J604" i="1"/>
  <c r="K604" i="1"/>
  <c r="G609" i="1"/>
  <c r="H609" i="1"/>
  <c r="J609" i="1"/>
  <c r="G612" i="1"/>
  <c r="G613" i="1"/>
  <c r="H613" i="1"/>
  <c r="J613" i="1"/>
  <c r="G614" i="1"/>
  <c r="G615" i="1"/>
  <c r="H617" i="1"/>
  <c r="H618" i="1"/>
  <c r="H619" i="1"/>
  <c r="H620" i="1"/>
  <c r="H621" i="1"/>
  <c r="H622" i="1"/>
  <c r="H623" i="1"/>
  <c r="G624" i="1"/>
  <c r="H625" i="1"/>
  <c r="H626" i="1"/>
  <c r="H628" i="1"/>
  <c r="G629" i="1"/>
  <c r="G630" i="1"/>
  <c r="G631" i="1"/>
  <c r="J631" i="1" s="1"/>
  <c r="G633" i="1"/>
  <c r="H633" i="1"/>
  <c r="J633" i="1"/>
  <c r="G634" i="1"/>
  <c r="G635" i="1"/>
  <c r="H637" i="1"/>
  <c r="G639" i="1"/>
  <c r="J639" i="1" s="1"/>
  <c r="H639" i="1"/>
  <c r="H640" i="1"/>
  <c r="G641" i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F652" i="1"/>
  <c r="I652" i="1" s="1"/>
  <c r="G652" i="1"/>
  <c r="H653" i="1"/>
  <c r="I539" i="1" l="1"/>
  <c r="I542" i="1" s="1"/>
  <c r="L529" i="1"/>
  <c r="G9" i="2"/>
  <c r="G19" i="2" s="1"/>
  <c r="J19" i="1"/>
  <c r="G611" i="1" s="1"/>
  <c r="K541" i="1"/>
  <c r="A40" i="12"/>
  <c r="H185" i="1"/>
  <c r="G619" i="1" s="1"/>
  <c r="J619" i="1" s="1"/>
  <c r="C8" i="13"/>
  <c r="E96" i="2"/>
  <c r="D96" i="2"/>
  <c r="J635" i="1"/>
  <c r="L561" i="1"/>
  <c r="J33" i="1"/>
  <c r="G22" i="2"/>
  <c r="G32" i="2" s="1"/>
  <c r="C36" i="10"/>
  <c r="F650" i="1"/>
  <c r="G654" i="1"/>
  <c r="C19" i="2"/>
  <c r="L426" i="1"/>
  <c r="G628" i="1" s="1"/>
  <c r="J628" i="1" s="1"/>
  <c r="G156" i="2"/>
  <c r="L393" i="1"/>
  <c r="C131" i="2" s="1"/>
  <c r="C133" i="2" s="1"/>
  <c r="J542" i="1"/>
  <c r="G33" i="13"/>
  <c r="F651" i="1"/>
  <c r="I651" i="1" s="1"/>
  <c r="G539" i="1"/>
  <c r="G542" i="1" s="1"/>
  <c r="L519" i="1"/>
  <c r="J610" i="1"/>
  <c r="G36" i="2"/>
  <c r="G42" i="2" s="1"/>
  <c r="G43" i="2" s="1"/>
  <c r="J43" i="1"/>
  <c r="C43" i="2"/>
  <c r="F185" i="1"/>
  <c r="G617" i="1" s="1"/>
  <c r="J617" i="1" s="1"/>
  <c r="J630" i="1"/>
  <c r="K595" i="1"/>
  <c r="G638" i="1" s="1"/>
  <c r="J638" i="1" s="1"/>
  <c r="H542" i="1"/>
  <c r="L511" i="1"/>
  <c r="C5" i="13"/>
  <c r="B153" i="2"/>
  <c r="G153" i="2" s="1"/>
  <c r="K490" i="1"/>
  <c r="G73" i="2"/>
  <c r="G96" i="2" s="1"/>
  <c r="J615" i="1"/>
  <c r="C130" i="2"/>
  <c r="C73" i="2"/>
  <c r="J614" i="1"/>
  <c r="J263" i="1"/>
  <c r="H638" i="1"/>
  <c r="C40" i="12"/>
  <c r="D31" i="13"/>
  <c r="C31" i="13" s="1"/>
  <c r="J185" i="1"/>
  <c r="E116" i="2"/>
  <c r="E120" i="2" s="1"/>
  <c r="E137" i="2" s="1"/>
  <c r="H393" i="1"/>
  <c r="H400" i="1" s="1"/>
  <c r="H634" i="1" s="1"/>
  <c r="J634" i="1" s="1"/>
  <c r="L330" i="1"/>
  <c r="L344" i="1" s="1"/>
  <c r="G623" i="1" s="1"/>
  <c r="J623" i="1" s="1"/>
  <c r="C20" i="12"/>
  <c r="C22" i="12" s="1"/>
  <c r="A22" i="12" s="1"/>
  <c r="F122" i="2"/>
  <c r="F136" i="2" s="1"/>
  <c r="F137" i="2" s="1"/>
  <c r="C116" i="2"/>
  <c r="C110" i="2"/>
  <c r="C19" i="10"/>
  <c r="C12" i="10"/>
  <c r="F653" i="1"/>
  <c r="I653" i="1" s="1"/>
  <c r="H595" i="1"/>
  <c r="K330" i="1"/>
  <c r="K344" i="1" s="1"/>
  <c r="D29" i="13"/>
  <c r="C29" i="13" s="1"/>
  <c r="B151" i="2"/>
  <c r="G151" i="2" s="1"/>
  <c r="C103" i="2"/>
  <c r="C104" i="2"/>
  <c r="L524" i="1"/>
  <c r="K493" i="1"/>
  <c r="I444" i="1"/>
  <c r="F33" i="1"/>
  <c r="F44" i="1" s="1"/>
  <c r="H607" i="1" s="1"/>
  <c r="D15" i="13"/>
  <c r="C15" i="13" s="1"/>
  <c r="D12" i="13"/>
  <c r="C12" i="13" s="1"/>
  <c r="C115" i="2"/>
  <c r="C17" i="10"/>
  <c r="C102" i="2"/>
  <c r="C107" i="2" s="1"/>
  <c r="C49" i="2"/>
  <c r="C54" i="2" s="1"/>
  <c r="C55" i="2" s="1"/>
  <c r="C96" i="2" s="1"/>
  <c r="C26" i="10"/>
  <c r="K582" i="1"/>
  <c r="K588" i="1" s="1"/>
  <c r="G637" i="1" s="1"/>
  <c r="J637" i="1" s="1"/>
  <c r="J541" i="1"/>
  <c r="F514" i="1"/>
  <c r="F535" i="1" s="1"/>
  <c r="C20" i="10"/>
  <c r="L239" i="1"/>
  <c r="H650" i="1" s="1"/>
  <c r="H654" i="1" s="1"/>
  <c r="H25" i="13"/>
  <c r="C113" i="2"/>
  <c r="F19" i="1"/>
  <c r="G607" i="1" s="1"/>
  <c r="C12" i="12"/>
  <c r="C13" i="12" s="1"/>
  <c r="A13" i="12" s="1"/>
  <c r="L354" i="1"/>
  <c r="G651" i="1"/>
  <c r="F33" i="13"/>
  <c r="D119" i="2"/>
  <c r="D120" i="2" s="1"/>
  <c r="D137" i="2" s="1"/>
  <c r="C77" i="2"/>
  <c r="C83" i="2" s="1"/>
  <c r="I450" i="1"/>
  <c r="E16" i="13"/>
  <c r="C16" i="13" s="1"/>
  <c r="C137" i="2" l="1"/>
  <c r="C136" i="2"/>
  <c r="L400" i="1"/>
  <c r="I650" i="1"/>
  <c r="I654" i="1" s="1"/>
  <c r="F654" i="1"/>
  <c r="L514" i="1"/>
  <c r="L535" i="1" s="1"/>
  <c r="F539" i="1"/>
  <c r="L249" i="1"/>
  <c r="L263" i="1" s="1"/>
  <c r="G622" i="1" s="1"/>
  <c r="J622" i="1" s="1"/>
  <c r="E33" i="13"/>
  <c r="D35" i="13" s="1"/>
  <c r="D33" i="13"/>
  <c r="D36" i="13" s="1"/>
  <c r="D36" i="10"/>
  <c r="G636" i="1"/>
  <c r="G621" i="1"/>
  <c r="J621" i="1" s="1"/>
  <c r="H33" i="13"/>
  <c r="C25" i="13"/>
  <c r="G616" i="1"/>
  <c r="J616" i="1" s="1"/>
  <c r="J44" i="1"/>
  <c r="H611" i="1" s="1"/>
  <c r="J611" i="1"/>
  <c r="J607" i="1"/>
  <c r="C27" i="10"/>
  <c r="C28" i="10" s="1"/>
  <c r="G625" i="1"/>
  <c r="J625" i="1" s="1"/>
  <c r="C41" i="10"/>
  <c r="H662" i="1"/>
  <c r="C6" i="10" s="1"/>
  <c r="H657" i="1"/>
  <c r="G657" i="1"/>
  <c r="G662" i="1"/>
  <c r="I451" i="1"/>
  <c r="H632" i="1" s="1"/>
  <c r="J632" i="1" s="1"/>
  <c r="C120" i="2"/>
  <c r="D22" i="10" l="1"/>
  <c r="D23" i="10"/>
  <c r="C30" i="10"/>
  <c r="D10" i="10"/>
  <c r="D11" i="10"/>
  <c r="D21" i="10"/>
  <c r="D13" i="10"/>
  <c r="D18" i="10"/>
  <c r="D15" i="10"/>
  <c r="D24" i="10"/>
  <c r="D25" i="10"/>
  <c r="D16" i="10"/>
  <c r="D17" i="10"/>
  <c r="D20" i="10"/>
  <c r="D19" i="10"/>
  <c r="D26" i="10"/>
  <c r="D12" i="10"/>
  <c r="K539" i="1"/>
  <c r="K542" i="1" s="1"/>
  <c r="F542" i="1"/>
  <c r="D27" i="10"/>
  <c r="F662" i="1"/>
  <c r="C4" i="10" s="1"/>
  <c r="F657" i="1"/>
  <c r="H636" i="1"/>
  <c r="J636" i="1" s="1"/>
  <c r="G627" i="1"/>
  <c r="J627" i="1" s="1"/>
  <c r="I662" i="1"/>
  <c r="C7" i="10" s="1"/>
  <c r="I657" i="1"/>
  <c r="D37" i="10"/>
  <c r="D40" i="10"/>
  <c r="D38" i="10"/>
  <c r="D39" i="10"/>
  <c r="D35" i="10"/>
  <c r="D41" i="10" l="1"/>
  <c r="H646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EE79ED6-8564-4B7F-9B17-DC6F964B1C62}">
      <text>
        <r>
          <rPr>
            <sz val="8"/>
            <rFont val="Arial"/>
          </rPr>
          <t>zscË_x0001_+{£_x0001_£C+_x0001__x000B_k{«s£_x0001__x000B_K+_x0001_c{_x001B__x000B_ccË_x0001_£{_x0001_«{£_x0001_+#«_x001B__x000B_£K{sq_x0001__x0001_"{_x0001_s{£_x0001_+{£_x0001_£C+_x0001__x000B_k{«s£_x0001__x000B_K+_x0001_3{k_x0001_£C+_x0001_£_x000B_£+»K#+_x0001_{+£Ë_x0001_¢_x000B_Ãq_x0001__x0001_¢C_x000B_£_x0001__x000B_k{«s£_x0001_C{«c#_x0001__x0013_+_x0001_+{£+#_x0001_{s_x0001__x0001__x000B_;+_x0001_¡qPP</t>
        </r>
      </text>
    </comment>
    <comment ref="A53" authorId="0" shapeId="0" xr:uid="{3B1A9CAA-2E3C-4E6A-9F2B-B74C1D222C4E}">
      <text>
        <r>
          <rPr>
            <sz val="8"/>
            <rFont val="Arial"/>
          </rPr>
          <t>c_x0000_+_x0000__x000B__x0000__x0000_+_x0000__x0001__x0000__x0013__x0000_+_x0000__x0001__x0000__x001B__x0000__x000B__x0000__x0000_+_x0000_3_x0000_«_x0000_c_x0000__x0001__x0000_K_x0000_s_x0000__x0001__x0000__x0000_+_x0000__x0000_{_x0000__x0000_£_x0000_K_x0000_s_x0000_;_x0000__x0001__x0000_£_x0000_C_x0000_+_x0000__x0001__x0000_£_x0000_«_x0000_K_x0000_£_x0000_K_x0000_{_x0000_s_x0000__x0001__x0000__x0000_+_x0000_³_x0000_+_x0000_s_x0000_«_x0000_+_x0000__x0001__x0000_£_x0000_{_x0000__x0001__x0000_£_x0000_C_x0000_+_x0000__x0001__x0000__x000B__x0000__x0000__x0000__x0000_{_x0000__x0000__x0000_K_x0000__x000B__x0000_£_x0000_+_x0000__x0001__x0000__x001B__x0000__x000B__x0000_£_x0000_+_x0000_;</t>
        </r>
      </text>
    </comment>
    <comment ref="A73" authorId="0" shapeId="0" xr:uid="{3EC7381B-C2BB-44DE-B2FD-17CAF3D9530C}">
      <text>
        <r>
          <rPr>
            <sz val="8"/>
            <rFont val="Arial"/>
          </rPr>
          <t>c_x0000_+_x0000__x000B__x0000__x0000_+_x0000__x0001__x0000__x0013__x0000_+_x0000__x0001__x0000__x001B__x0000__x000B__x0000__x0000_+_x0000_3_x0000_«_x0000_c_x0000__x0001__x0000_K_x0000_s_x0000__x0001__x0000__x0000_+_x0000__x0000_{_x0000__x0000_£_x0000_K_x0000_s_x0000_;_x0000__x0001__x0000_£_x0000_C_x0000_+_x0000__x0001__x0000_£_x0000__x0000__x000B__x0000_s_x0000__x0000__x0000_{_x0000__x0000_£_x0000__x000B__x0000_£_x0000_K_x0000_{_x0000_s_x0000__x0001__x0000__x0000_+_x0000_³_x0000_+_x0000_s_x0000_«_x0000_+_x0000__x0001__x0000_£_x0000_{_x0000__x0001__x0000_£_x0000_C_x0000_+_x0000__x0001__x0000__x000B__x0000__x0000__x0000__x0000_{_x0000__x0000__x0000_K_x0000__x000B__x0000_£_x0000_+_x0000__x0001__x0000__x001B__x0000__x000B__x0000_£_x0000_+_x0000_;_x0000_{_x0000__x0000_Ë_x0000_q</t>
        </r>
      </text>
    </comment>
    <comment ref="A85" authorId="0" shapeId="0" xr:uid="{1FD74E13-62B5-4F16-B8F0-A9B5A0771B54}">
      <text>
        <r>
          <rPr>
            <sz val="8"/>
            <rFont val="Arial"/>
          </rPr>
          <t>r{£+Ñ_x0001__x0001_¢_x000B_s{£_x000B_£K{s_x0001_2++_x0001_+_x001B_+K³+#_x0001_3{_x0001_s{si£«#+s£_x0001_+c_x000B_£+#_x0001_£_x000B_s{£_x000B_£K{s_x0001_+³K_x001B_+P</t>
        </r>
      </text>
    </comment>
    <comment ref="A106" authorId="0" shapeId="0" xr:uid="{5E4D4874-CF50-495B-87C6-B60047A41F8E}">
      <text>
        <r>
          <rPr>
            <sz val="8"/>
            <rFont val="Arial"/>
          </rPr>
          <t>c+_x000B_+_x0001_+{£_x0001_£{_x0001_£C+_x0001__x000B_{K_x000B_£+_x0001__x001B__x000B_£+;{Ë_x0001_Ë{«_x0001_£_x000B_£+_x0001_+³+s«+q_x0001__x0001_c+_x000B_+_x0001_+3+_x0001_£{_x0001_#{_x001B_«k+s£_x0001__x0001_£_x000B_£+_x0001_
K#_x0001_A_x000B_£K_x000B_c_x0001_bK£Ks;Ia_x0001_3{_x0001_£C+_x0001__x000B_k{«s£_x0001_£{_x0001_+{£_x0001_Ks_x0001_£CK_x0001_+_x001B_£K{sq_x0001_P</t>
        </r>
      </text>
    </comment>
    <comment ref="F110" authorId="0" shapeId="0" xr:uid="{94D26C39-F128-4A5D-B513-8FB985006FF6}">
      <text>
        <r>
          <rPr>
            <sz val="8"/>
            <rFont val="Arial"/>
          </rPr>
          <t>zscË_x0001_+{£_x0001_£C_x000B_£_x0001__x000B_k{«s£_x0001__x000B_K+_x0001_3{k_x0001_£C+_x0001_£_x000B_£+»K#+_x0001_{+£Ë_x0001__x0001_¢_x000B_ÃqPP</t>
        </r>
      </text>
    </comment>
    <comment ref="G124" authorId="0" shapeId="0" xr:uid="{E7EA7D41-8968-4D58-83E6-328B8ED88E9D}">
      <text>
        <r>
          <rPr>
            <sz val="8"/>
            <rFont val="Arial"/>
          </rPr>
          <t>s_x0000_c_x0000_Ë_x0000__x0001__x0000__x0000_+_x0000__x0000_{_x0000__x0000_£_x0000__x0001__x0000_£_x0000_C_x0000_+_x0000__x0001__x0000__x0000_£_x0000__x000B__x0000_£_x0000_+_x0000_È_x0001__x0000__x0001__x0000__x0000_C_x0000__x000B__x0000__x0000_+_x0000__x0001__x0000_{_x0000_3_x0000__x0001__x0000_£_x0000_C_x0000_+_x0000__x0001__x0000__x0000_+_x0000_³_x0000_+_x0000_s_x0000_«_x0000_+_x0000__x0001__x0000_{_x0000_s_x0000__x0001__x0000_£_x0000_C_x0000_K_x0000__x0000__x0001__x0000__x0000__x000B__x0000_;</t>
        </r>
      </text>
    </comment>
    <comment ref="G150" authorId="0" shapeId="0" xr:uid="{2F7A4852-C82C-40FA-8CD4-988220252EE6}">
      <text>
        <r>
          <rPr>
            <sz val="8"/>
            <rFont val="Arial"/>
          </rPr>
          <t>zscË_x0001_+{£_x0001_£C+_x0001_3+#+_x000B_c_x0001_C_x000B_+_x0001_{3_x0001_£C+_x0001_+³+s«+_x0001_{s_x0001_£CK_x0001__x000B_;+q_x0001__x0001_"{_x0001_s{£_x0001_c«k_x0001_«k_x0001_£C+_x0001_P_x0001_3+#+_x000B_c_x0001__x000B_s#_x0001_£_x000B_£+_x0001_+³+s«+q_x0001_PP</t>
        </r>
      </text>
    </comment>
    <comment ref="A481" authorId="0" shapeId="0" xr:uid="{2D326702-2003-40AE-971E-3991B67ADBA6}">
      <text>
        <r>
          <rPr>
            <sz val="8"/>
            <rFont val="Arial"/>
          </rPr>
          <t>c+_x000B_+_x0001_«+_x0001_£C+_x0001_j{s£C_x0001_c_x000B_C_x0001_Ê+_x000B__x0001_2{k_x000B_£q_x0001__x0001_2{_x0001_+Ã_x000B_kc+Ñ_x0001_R«cË_x0001__x0001_é_x0001_¹yPP</t>
        </r>
      </text>
    </comment>
    <comment ref="K588" authorId="0" shapeId="0" xr:uid="{E16D2E96-AC47-450D-A895-3CA5F95BAE30}">
      <text>
        <r>
          <rPr>
            <sz val="8"/>
            <rFont val="Arial"/>
          </rPr>
          <t>¢C+_x0001_£{£_x000B_c_x0001_+{£+#_x0001_C++_x0001_k«£_x0001__x000B_;++_x0001_»K£C_x0001_£C+_x0001_£{£_x000B_c_x0001_£_x000B_s{£_x000B_£K{s_x0001_+Ã+s#K£«+_x0001_+{£+#_x0001_{s_x0001__x000B_;+_x0001_¹a_x0001_Áa_x0001__x000B_s#_x0001_ÉqP</t>
        </r>
      </text>
    </comment>
    <comment ref="K595" authorId="0" shapeId="0" xr:uid="{B782BD5E-1713-444B-9EC2-4199A82ABC5B}">
      <text>
        <r>
          <rPr>
            <sz val="8"/>
            <rFont val="Arial"/>
          </rPr>
          <t>¢C+_x0001_£{£_x000B_c_x0001_+{£+#_x0001_C++_x0001_k«£_x0001__x000B_;++_x0001_»K£C_x0001_£C+_x0001_£{£_x000B_c_x0001_+{£+#_x0001_{s_x0001__x000B_;+_x0001__x0001__x000B_s#_x0001_¡_x0001__x0001_kKs«_x0001_2«s_x001B_£K{s_x0001_¡_x0001_A2_x000B__x001B_KcK£K+_x0001_
_x001B_«KK£K{sI_x0001_3{_x0001_P_x0001_{+£ËqPP</t>
        </r>
      </text>
    </comment>
    <comment ref="H646" authorId="0" shapeId="0" xr:uid="{4B05F9A9-DC7A-47D6-B174-B9F0A745DF92}">
      <text>
        <r>
          <rPr>
            <sz val="8"/>
            <rFont val="Arial"/>
          </rPr>
          <t>¢CK_x0001_³_x000B_c«+_x0001_k«£_x0001_+«_x000B_c_x0001_Ó+{q_x0001__x0001_c+_x000B_+_x0001__x000B_c{_x0001_k_x000B_[+_x0001_«+_x0001_£C_x000B_£_x0001_{»_x0001_±_x0001_£{_x0001_±±Á_x0001__x001B_{c«ks_x0001_B_x0001_+«_x000B_c_x0001_Ó+{qP</t>
        </r>
      </text>
    </comment>
  </commentList>
</comments>
</file>

<file path=xl/sharedStrings.xml><?xml version="1.0" encoding="utf-8"?>
<sst xmlns="http://schemas.openxmlformats.org/spreadsheetml/2006/main" count="3866" uniqueCount="900">
  <si>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</si>
  <si>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</si>
  <si>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</si>
  <si>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</si>
  <si>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</si>
  <si>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</si>
  <si>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</si>
  <si>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</si>
  <si>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</si>
  <si>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</si>
  <si>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</si>
  <si>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</si>
  <si>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</si>
  <si>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</si>
  <si>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</si>
  <si>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</si>
  <si>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</si>
  <si>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</si>
  <si>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</si>
  <si>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</si>
  <si>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</si>
  <si>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</si>
  <si>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</si>
  <si>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</si>
  <si>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</si>
  <si>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</si>
  <si>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</si>
  <si>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</si>
  <si>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</si>
  <si>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</si>
  <si>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</si>
  <si>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</si>
  <si>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</si>
  <si>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</si>
  <si>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</si>
  <si>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</si>
  <si>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</si>
  <si>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</si>
  <si>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</si>
  <si>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</si>
  <si>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</si>
  <si>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</si>
  <si>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</si>
  <si>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</si>
  <si>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</si>
  <si>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</si>
  <si>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</si>
  <si>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</si>
  <si>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</si>
  <si>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</si>
  <si>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</si>
  <si>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</si>
  <si>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</si>
  <si>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</si>
  <si>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</si>
  <si>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</si>
  <si>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</si>
  <si>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</si>
  <si>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</si>
  <si>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</si>
  <si>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</si>
  <si>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</si>
  <si>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</si>
  <si>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</si>
  <si>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</si>
  <si>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</si>
  <si>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</si>
  <si>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</si>
  <si>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</si>
  <si>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</si>
  <si>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</si>
  <si>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</si>
  <si>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</si>
  <si>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</si>
  <si>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</si>
  <si>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</si>
  <si>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</si>
  <si>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</si>
  <si>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</si>
  <si>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</si>
  <si>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</si>
  <si>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</si>
  <si>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</si>
  <si>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</si>
  <si>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</si>
  <si>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</si>
  <si>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</si>
  <si>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</si>
  <si>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</si>
  <si>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</si>
  <si>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</si>
  <si>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</si>
  <si>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</si>
  <si>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</si>
  <si>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</si>
  <si>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</si>
  <si>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</si>
  <si>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</si>
  <si>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</si>
  <si>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</si>
  <si>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</si>
  <si>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</si>
  <si>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</si>
  <si>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</si>
  <si>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</si>
  <si>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</si>
  <si>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</si>
  <si>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</si>
  <si>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</si>
  <si>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</si>
  <si>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</si>
  <si>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</si>
  <si>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</si>
  <si>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</si>
  <si>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</si>
  <si>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</si>
  <si>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</si>
  <si>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</si>
  <si>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</si>
  <si>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</si>
  <si>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</si>
  <si>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</si>
  <si>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</si>
  <si>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</si>
  <si>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</si>
  <si>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</si>
  <si>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</si>
  <si>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</si>
  <si>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</si>
  <si>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</si>
  <si>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</si>
  <si>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</si>
  <si>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</si>
  <si>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</si>
  <si>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</si>
  <si>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</si>
  <si>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</si>
  <si>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</si>
  <si>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</si>
  <si>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</si>
  <si>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</si>
  <si>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</si>
  <si>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</si>
  <si>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</si>
  <si>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</si>
  <si>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</si>
  <si>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</si>
  <si>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</si>
  <si>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</si>
  <si>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</si>
  <si>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</si>
  <si>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</si>
  <si>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</si>
  <si>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</si>
  <si>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</si>
  <si>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</si>
  <si>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</si>
  <si>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</si>
  <si>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</si>
  <si>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</si>
  <si>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</si>
  <si>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</si>
  <si>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</si>
  <si>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</si>
  <si>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</si>
  <si>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</si>
  <si>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</si>
  <si>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</si>
  <si>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</si>
  <si>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</si>
  <si>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</si>
  <si>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</si>
  <si>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</si>
  <si>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</si>
  <si>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</si>
  <si>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</si>
  <si>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</si>
  <si>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</si>
  <si>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</si>
  <si>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</si>
  <si>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</si>
  <si>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</si>
  <si>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</si>
  <si>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</si>
  <si>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</si>
  <si>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</si>
  <si>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</si>
  <si>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</si>
  <si>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</si>
  <si>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</si>
  <si>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</si>
  <si>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</si>
  <si>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</si>
  <si>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</si>
  <si>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</si>
  <si>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</si>
  <si>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</si>
  <si>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</si>
  <si>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</si>
  <si>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</si>
  <si>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</si>
  <si>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</si>
  <si>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</si>
  <si>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</si>
  <si>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</si>
  <si>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</si>
  <si>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</si>
  <si>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</si>
  <si>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</si>
  <si>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</si>
  <si>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</si>
  <si>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</si>
  <si>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</si>
  <si>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</si>
  <si>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</si>
  <si>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</si>
  <si>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</si>
  <si>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</si>
  <si>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</si>
  <si>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</si>
  <si>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</si>
  <si>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</si>
  <si>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</si>
  <si>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</si>
  <si>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</si>
  <si>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</si>
  <si>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</si>
  <si>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</si>
  <si>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</si>
  <si>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</si>
  <si>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</si>
  <si>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</si>
  <si>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</si>
  <si>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</si>
  <si>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</si>
  <si>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</si>
  <si>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</si>
  <si>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</si>
  <si>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</si>
  <si>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</si>
  <si>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</si>
  <si>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</si>
  <si>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</si>
  <si>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</si>
  <si>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</si>
  <si>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</si>
  <si>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</si>
  <si>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</si>
  <si>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</si>
  <si>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</si>
  <si>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</si>
  <si>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</si>
  <si>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</si>
  <si>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</si>
  <si>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</si>
  <si>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</si>
  <si>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</si>
  <si>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</si>
  <si>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</si>
  <si>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</si>
  <si>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</si>
  <si>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</si>
  <si>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</si>
  <si>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</si>
  <si>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</si>
  <si>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</si>
  <si>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</si>
  <si>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</si>
  <si>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</si>
  <si>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</si>
  <si>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</si>
  <si>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</si>
  <si>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</si>
  <si>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</si>
  <si>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</si>
  <si>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</si>
  <si>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</si>
  <si>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</si>
  <si>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</si>
  <si>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</si>
  <si>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</si>
  <si>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</si>
  <si>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</si>
  <si>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</si>
  <si>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</si>
  <si>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</si>
  <si>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</si>
  <si>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</si>
  <si>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</si>
  <si>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</si>
  <si>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</si>
  <si>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</si>
  <si>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</si>
  <si>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</si>
  <si>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</si>
  <si>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</si>
  <si>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</si>
  <si>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</si>
  <si>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</si>
  <si>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</si>
  <si>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</si>
  <si>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</si>
  <si>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</si>
  <si>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</si>
  <si>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</si>
  <si>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</si>
  <si>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</si>
  <si>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</si>
  <si>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</si>
  <si>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</si>
  <si>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</si>
  <si>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</si>
  <si>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</si>
  <si>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</si>
  <si>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</si>
  <si>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</si>
  <si>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</si>
  <si>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</si>
  <si>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</si>
  <si>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</si>
  <si>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</si>
  <si>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</si>
  <si>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</si>
  <si>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</si>
  <si>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</si>
  <si>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</si>
  <si>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</si>
  <si>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</si>
  <si>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</si>
  <si>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</si>
  <si>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</si>
  <si>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</si>
  <si>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</si>
  <si>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</si>
  <si>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</si>
  <si>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</si>
  <si>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</si>
  <si>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</si>
  <si>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</si>
  <si>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</si>
  <si>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</si>
  <si>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</si>
  <si>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</si>
  <si>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</si>
  <si>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</si>
  <si>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</si>
  <si>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</si>
  <si>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</si>
  <si>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</si>
  <si>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</si>
  <si>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</si>
  <si>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</si>
  <si>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</si>
  <si>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</si>
  <si>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</si>
  <si>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</si>
  <si>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</si>
  <si>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</si>
  <si>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</si>
  <si>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</si>
  <si>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</si>
  <si>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</si>
  <si>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</si>
  <si>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</si>
  <si>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</si>
  <si>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</si>
  <si>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</si>
  <si>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</si>
  <si>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</si>
  <si>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</si>
  <si>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</si>
  <si>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</si>
  <si>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</si>
  <si>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</si>
  <si>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</si>
  <si>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</si>
  <si>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</si>
  <si>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</si>
  <si>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</si>
  <si>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</si>
  <si>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</si>
  <si>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</si>
  <si>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</si>
  <si>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</si>
  <si>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</si>
  <si>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</si>
  <si>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</si>
  <si>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</si>
  <si>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</si>
  <si>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</si>
  <si>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</si>
  <si>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</si>
  <si>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</si>
  <si>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</si>
  <si>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</si>
  <si>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</si>
  <si>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</si>
  <si>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</si>
  <si>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</si>
  <si>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</si>
  <si>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</si>
  <si>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</si>
  <si>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</si>
  <si>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</si>
  <si>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</si>
  <si>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</si>
  <si>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</si>
  <si>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</si>
  <si>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</si>
  <si>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</si>
  <si>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</si>
  <si>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</si>
  <si>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</si>
  <si>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</si>
  <si>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</si>
  <si>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</si>
  <si>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</si>
  <si>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</si>
  <si>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</si>
  <si>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</si>
  <si>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</si>
  <si>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</si>
  <si>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</si>
  <si>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</si>
  <si>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</si>
  <si>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</si>
  <si>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</si>
  <si>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</si>
  <si>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</si>
  <si>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</si>
  <si>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</si>
  <si>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</si>
  <si>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</si>
  <si>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</si>
  <si>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</si>
  <si>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</si>
  <si>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</si>
  <si>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</si>
  <si>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</si>
  <si>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</si>
  <si>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</si>
  <si>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</si>
  <si>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</si>
  <si>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</si>
  <si>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</si>
  <si>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</si>
  <si>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</si>
  <si>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</si>
  <si>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</si>
  <si>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</si>
  <si>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</si>
  <si>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</si>
  <si>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</si>
  <si>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</si>
  <si>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</si>
  <si>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</si>
  <si>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</si>
  <si>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</si>
  <si>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</si>
  <si>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</si>
  <si>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</si>
  <si>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</si>
  <si>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</si>
  <si>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</si>
  <si>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</si>
  <si>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</si>
  <si>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</si>
  <si>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</si>
  <si>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</si>
  <si>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</si>
  <si>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</si>
  <si>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</si>
  <si>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</si>
  <si>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</si>
  <si>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</si>
  <si>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</si>
  <si>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</si>
  <si>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</si>
  <si>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</si>
  <si>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</si>
  <si>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</si>
  <si>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</si>
  <si>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</si>
  <si>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</si>
  <si>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</si>
  <si>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</si>
  <si>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</si>
  <si>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</si>
  <si>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</si>
  <si>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</si>
  <si>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</si>
  <si>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</si>
  <si>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</si>
  <si>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</si>
  <si>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</si>
  <si>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</si>
  <si>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</si>
  <si>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</si>
  <si>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</si>
  <si>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</si>
  <si>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</si>
  <si>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</si>
  <si>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</si>
  <si>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</si>
  <si>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</si>
  <si>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</si>
  <si>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</si>
  <si>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</si>
  <si>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</si>
  <si>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</si>
  <si>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</si>
  <si>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</si>
  <si>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</si>
  <si>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</si>
  <si>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</si>
  <si>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</si>
  <si>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</si>
  <si>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</si>
  <si>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</si>
  <si>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</si>
  <si>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</si>
  <si>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</si>
  <si>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</si>
  <si>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</si>
  <si>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</si>
  <si>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</si>
  <si>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</si>
  <si>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</si>
  <si>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</si>
  <si>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</si>
  <si>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</si>
  <si>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</si>
  <si>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</si>
  <si>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</si>
  <si>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</si>
  <si>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</si>
  <si>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</si>
  <si>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</si>
  <si>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</si>
  <si>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</si>
  <si>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</si>
  <si>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</si>
  <si>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</si>
  <si>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</si>
  <si>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</si>
  <si>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</si>
  <si>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</si>
  <si>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</si>
  <si>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</si>
  <si>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</si>
  <si>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</si>
  <si>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</si>
  <si>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</si>
  <si>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</si>
  <si>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</si>
  <si>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</si>
  <si>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</si>
  <si>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</si>
  <si>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</si>
  <si>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</si>
  <si>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</si>
  <si>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</si>
  <si>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</si>
  <si>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</si>
  <si>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</si>
  <si>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</si>
  <si>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</si>
  <si>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</si>
  <si>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</si>
  <si>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</si>
  <si>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</si>
  <si>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</si>
  <si>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</si>
  <si>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</si>
  <si>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</si>
  <si>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</si>
  <si>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</si>
  <si>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</si>
  <si>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</si>
  <si>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</si>
  <si>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</si>
  <si>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</si>
  <si>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</si>
  <si>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</si>
  <si>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</si>
  <si>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</si>
  <si>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</si>
  <si>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</si>
  <si>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</si>
  <si>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</si>
  <si>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</si>
  <si>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</si>
  <si>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</si>
  <si>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</si>
  <si>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</si>
  <si>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</si>
  <si>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</si>
  <si>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</si>
  <si>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</si>
  <si>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</si>
  <si>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</si>
  <si>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</si>
  <si>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</si>
  <si>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</si>
  <si>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</si>
  <si>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</si>
  <si>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</si>
  <si>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</si>
  <si>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</si>
  <si>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</si>
  <si>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</si>
  <si>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</si>
  <si>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</si>
  <si>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</si>
  <si>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</si>
  <si>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</si>
  <si>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</si>
  <si>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</si>
  <si>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</si>
  <si>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</si>
  <si>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</si>
  <si>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</si>
  <si>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</si>
  <si>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</si>
  <si>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</si>
  <si>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</si>
  <si>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</si>
  <si>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</si>
  <si>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</si>
  <si>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</si>
  <si>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</si>
  <si>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</si>
  <si>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</si>
  <si>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</si>
  <si>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</si>
  <si>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</si>
  <si>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</si>
  <si>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</si>
  <si>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</si>
  <si>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</si>
  <si>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</si>
  <si>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</si>
  <si>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</si>
  <si>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</si>
  <si>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</si>
  <si>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</si>
  <si>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</si>
  <si>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</si>
  <si>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</si>
  <si>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</si>
  <si>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</si>
  <si>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</si>
  <si>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</si>
  <si>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</si>
  <si>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</si>
  <si>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</si>
  <si>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</si>
  <si>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</si>
  <si>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</si>
  <si>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</si>
  <si>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</si>
  <si>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</si>
  <si>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</si>
  <si>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</si>
  <si>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</si>
  <si>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</si>
  <si>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</si>
  <si>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</si>
  <si>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</si>
  <si>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</si>
  <si>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</si>
  <si>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</si>
  <si>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</si>
  <si>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</si>
  <si>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</si>
  <si>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</si>
  <si>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</si>
  <si>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</si>
  <si>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</si>
  <si>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</si>
  <si>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</si>
  <si>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</si>
  <si>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</si>
  <si>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</si>
  <si>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</si>
  <si>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</si>
  <si>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</si>
  <si>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</si>
  <si>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</si>
  <si>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</si>
  <si>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</si>
  <si>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</si>
  <si>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</si>
  <si>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</si>
  <si>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</si>
  <si>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</si>
  <si>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</si>
  <si>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</si>
  <si>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</si>
  <si>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</si>
  <si>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</si>
  <si>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</si>
  <si>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</si>
  <si>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</si>
  <si>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</si>
  <si>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</si>
  <si>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</si>
  <si>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</si>
  <si>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</si>
  <si>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</si>
  <si>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</si>
  <si>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</si>
  <si>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</si>
  <si>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</si>
  <si>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</si>
  <si>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</si>
  <si>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</si>
  <si>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</si>
  <si>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</si>
  <si>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</si>
  <si>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</si>
  <si>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</si>
  <si>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</si>
  <si>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</si>
  <si>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</si>
  <si>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</si>
  <si>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</si>
  <si>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</si>
  <si>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</si>
  <si>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</si>
  <si>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</si>
  <si>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</si>
  <si>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</si>
  <si>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</si>
  <si>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</si>
  <si>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</si>
  <si>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</si>
  <si>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</si>
  <si>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</si>
  <si>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</si>
  <si>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</si>
  <si>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</si>
  <si>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</si>
  <si>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</si>
  <si>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</si>
  <si>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</si>
  <si>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</si>
  <si>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</si>
  <si>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</si>
  <si>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</si>
  <si>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</si>
  <si>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</si>
  <si>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</si>
  <si>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</si>
  <si>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</si>
  <si>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</si>
  <si>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</si>
  <si>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</si>
  <si>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</si>
  <si>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</si>
  <si>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</si>
  <si>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</si>
  <si>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</si>
  <si>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</si>
  <si>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</si>
  <si>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</si>
  <si>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</si>
  <si>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</si>
  <si>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</si>
  <si>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</si>
  <si>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</si>
  <si>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</si>
  <si>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</si>
  <si>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</si>
  <si>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</si>
  <si>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</si>
  <si>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</si>
  <si>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</si>
  <si>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</si>
  <si>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</si>
  <si>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</si>
  <si>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</si>
  <si>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</si>
  <si>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</si>
  <si>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</si>
  <si>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</si>
  <si>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</si>
  <si>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</si>
  <si>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</si>
  <si>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</si>
  <si>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</si>
  <si>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</si>
  <si>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</si>
  <si>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</si>
  <si>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</si>
  <si>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</si>
  <si>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</si>
  <si>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</si>
  <si>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</si>
  <si>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</si>
  <si>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</si>
  <si>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</si>
  <si>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</si>
  <si>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</si>
  <si>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</si>
  <si>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</si>
  <si>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</si>
  <si>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</si>
  <si>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</si>
  <si>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</si>
  <si>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</si>
  <si>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</si>
  <si>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</si>
  <si>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</si>
  <si>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</si>
  <si>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</si>
  <si>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</si>
  <si>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</si>
  <si>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</si>
  <si>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</si>
  <si>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</si>
  <si>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</si>
  <si>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</si>
  <si>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</si>
  <si>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</si>
  <si>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</si>
  <si>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</si>
  <si>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</si>
  <si>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</si>
  <si>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</si>
  <si>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</si>
  <si>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</si>
  <si>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</si>
  <si>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</si>
  <si>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</si>
  <si>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</si>
  <si>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</si>
  <si>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</si>
  <si>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</si>
  <si>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</si>
  <si>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</si>
  <si>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</si>
  <si>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</si>
  <si>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</si>
  <si>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</si>
  <si>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</si>
  <si>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</si>
  <si>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</si>
  <si>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</si>
  <si>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</si>
  <si>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</si>
  <si>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</si>
  <si>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</si>
  <si>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</si>
  <si>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</si>
  <si>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</si>
  <si>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</si>
  <si>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</si>
  <si>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</si>
  <si>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</si>
  <si>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</si>
  <si>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</si>
  <si>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</si>
  <si>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</si>
  <si>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</si>
  <si>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</si>
  <si>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</si>
  <si>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</si>
  <si>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</si>
  <si>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</si>
  <si>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</si>
  <si>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</si>
  <si>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</si>
  <si>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</si>
  <si>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</si>
  <si>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</si>
  <si>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</si>
  <si>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</si>
  <si>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</si>
  <si>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</si>
  <si>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</si>
  <si>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</si>
  <si>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</si>
  <si>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</si>
  <si>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</si>
  <si>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</si>
  <si>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</si>
  <si>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</si>
  <si>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</si>
  <si>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</si>
  <si>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</si>
  <si>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</si>
  <si>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</si>
  <si>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</si>
  <si>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Dresden School District</t>
  </si>
  <si>
    <t>1/15/07</t>
    <phoneticPr fontId="0" type="noConversion"/>
  </si>
  <si>
    <t>12/22/04</t>
    <phoneticPr fontId="0" type="noConversion"/>
  </si>
  <si>
    <t>8/15/03</t>
    <phoneticPr fontId="0" type="noConversion"/>
  </si>
  <si>
    <t>8/15/01</t>
    <phoneticPr fontId="0" type="noConversion"/>
  </si>
  <si>
    <t>1/15/25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</si>
</sst>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6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8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19" fillId="0" borderId="0" xfId="0" applyFont="1" applyBorder="1" applyAlignment="1" applyProtection="1">
      <alignment horizontal="center"/>
    </xf>
    <xf numFmtId="14" fontId="19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0" fillId="0" borderId="0" xfId="0" applyNumberFormat="1" applyFont="1" applyProtection="1">
      <protection locked="0"/>
    </xf>
    <xf numFmtId="0" fontId="19" fillId="0" borderId="0" xfId="0" applyFont="1"/>
    <xf numFmtId="164" fontId="2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7" fillId="0" borderId="3" xfId="0" applyNumberFormat="1" applyFont="1" applyBorder="1" applyProtection="1"/>
    <xf numFmtId="40" fontId="17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4" fillId="0" borderId="0" xfId="0" applyNumberFormat="1" applyFont="1"/>
    <xf numFmtId="0" fontId="25" fillId="0" borderId="0" xfId="0" applyFont="1"/>
    <xf numFmtId="0" fontId="25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7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19" fillId="0" borderId="0" xfId="0" applyNumberFormat="1" applyFont="1" applyAlignment="1" applyProtection="1">
      <alignment horizontal="left"/>
    </xf>
    <xf numFmtId="40" fontId="19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19" fillId="0" borderId="0" xfId="0" applyNumberFormat="1" applyFont="1" applyAlignment="1" applyProtection="1">
      <alignment horizontal="center"/>
    </xf>
    <xf numFmtId="40" fontId="19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164" fontId="22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0" fillId="0" borderId="0" xfId="0" applyFont="1"/>
    <xf numFmtId="49" fontId="25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5" fillId="0" borderId="0" xfId="0" applyFont="1"/>
    <xf numFmtId="0" fontId="24" fillId="0" borderId="0" xfId="0" applyFont="1"/>
    <xf numFmtId="40" fontId="11" fillId="0" borderId="0" xfId="0" applyNumberFormat="1" applyFont="1" applyProtection="1">
      <protection locked="0"/>
    </xf>
    <xf numFmtId="0" fontId="25" fillId="0" borderId="0" xfId="0" applyFont="1" applyAlignment="1">
      <alignment horizontal="center"/>
    </xf>
    <xf numFmtId="0" fontId="25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3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8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29" fillId="0" borderId="0" xfId="0" applyNumberFormat="1" applyFont="1" applyBorder="1" applyAlignment="1"/>
    <xf numFmtId="0" fontId="29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7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E7C9-89E4-41CE-8BA8-47383C9FC1F9}">
  <sheetPr transitionEvaluation="1" codeName="Sheet1">
    <tabColor indexed="56"/>
  </sheetPr>
  <dimension ref="A1:AQ666"/>
  <sheetViews>
    <sheetView tabSelected="1" zoomScale="75" zoomScaleNormal="15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142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400+400+508438.85</f>
        <v>509238.85</v>
      </c>
      <c r="G9" s="18"/>
      <c r="H9" s="18"/>
      <c r="I9" s="18"/>
      <c r="J9" s="67">
        <f>SUM(I431)</f>
        <v>56606.12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27026.91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4331.07</f>
        <v>4331.07</v>
      </c>
      <c r="G13" s="18">
        <v>262.88</v>
      </c>
      <c r="H13" s="18">
        <v>115943.11</v>
      </c>
      <c r="I13" s="18">
        <v>10610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34689.62</f>
        <v>34689.620000000003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41450.57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589710.11</v>
      </c>
      <c r="G19" s="41">
        <f>SUM(G9:G18)</f>
        <v>262.88</v>
      </c>
      <c r="H19" s="41">
        <f>SUM(H9:H18)</f>
        <v>115943.11</v>
      </c>
      <c r="I19" s="41">
        <f>SUM(I9:I18)</f>
        <v>10610</v>
      </c>
      <c r="J19" s="41">
        <f>SUM(J9:J18)</f>
        <v>83633.03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-109217.97</v>
      </c>
      <c r="G23" s="18">
        <v>-45075.74</v>
      </c>
      <c r="H23" s="18">
        <v>112146.77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17433</v>
      </c>
      <c r="G24" s="18">
        <v>9658.92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71495.68+64415.66</f>
        <v>135911.34</v>
      </c>
      <c r="G25" s="18"/>
      <c r="H25" s="18">
        <v>5496.29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-3.37-153.72-675.77-1721.58-168</f>
        <v>-2722.44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10236.86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f>1125+48605.99</f>
        <v>49730.99</v>
      </c>
      <c r="G32" s="18"/>
      <c r="H32" s="18">
        <v>8.34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91134.919999999984</v>
      </c>
      <c r="G33" s="41">
        <f>SUM(G23:G32)</f>
        <v>-25179.96</v>
      </c>
      <c r="H33" s="41">
        <f>SUM(H23:H32)</f>
        <v>117651.4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25442.84</v>
      </c>
      <c r="H41" s="18">
        <v>-1708.29</v>
      </c>
      <c r="I41" s="18">
        <v>10610</v>
      </c>
      <c r="J41" s="13">
        <f>SUM(I449)</f>
        <v>83633.03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498525.19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498575.19</v>
      </c>
      <c r="G43" s="41">
        <f>SUM(G35:G42)</f>
        <v>25442.84</v>
      </c>
      <c r="H43" s="41">
        <f>SUM(H35:H42)</f>
        <v>-1708.29</v>
      </c>
      <c r="I43" s="41">
        <f>SUM(I35:I42)</f>
        <v>10610</v>
      </c>
      <c r="J43" s="41">
        <f>SUM(J35:J42)</f>
        <v>83633.03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589710.11</v>
      </c>
      <c r="G44" s="41">
        <f>G43+G33</f>
        <v>262.88000000000102</v>
      </c>
      <c r="H44" s="41">
        <f>H43+H33</f>
        <v>115943.11</v>
      </c>
      <c r="I44" s="41">
        <f>I43+I33</f>
        <v>10610</v>
      </c>
      <c r="J44" s="41">
        <f>J43+J33</f>
        <v>83633.03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10860501+5651526-F110</f>
        <v>14183753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14183753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121967.4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1089904.52+2030339+57936</f>
        <v>3178179.52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62462.54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f>542508</f>
        <v>542508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3905117.46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9250.61</v>
      </c>
      <c r="G88" s="18">
        <v>-194</v>
      </c>
      <c r="H88" s="18"/>
      <c r="I88" s="18"/>
      <c r="J88" s="18">
        <f>65.79+4843.42+538.2</f>
        <v>5447.41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562148.23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5626.78+145747.02-12289.52</f>
        <v>139084.28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34656.910000000003</v>
      </c>
      <c r="G93" s="18">
        <v>7281.4</v>
      </c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32553.61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f>100000</f>
        <v>100000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1473.49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6921.6</v>
      </c>
      <c r="G102" s="18">
        <v>228.37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291386.89</v>
      </c>
      <c r="G103" s="41">
        <f>SUM(G88:G102)</f>
        <v>569464</v>
      </c>
      <c r="H103" s="41">
        <f>SUM(H88:H102)</f>
        <v>32553.61</v>
      </c>
      <c r="I103" s="41">
        <f>SUM(I88:I102)</f>
        <v>0</v>
      </c>
      <c r="J103" s="41">
        <f>SUM(J88:J102)</f>
        <v>5447.41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18380257.350000001</v>
      </c>
      <c r="G104" s="41">
        <f>G52+G103</f>
        <v>569464</v>
      </c>
      <c r="H104" s="41">
        <f>H52+H71+H86+H103</f>
        <v>32553.61</v>
      </c>
      <c r="I104" s="41">
        <f>I52+I103</f>
        <v>0</v>
      </c>
      <c r="J104" s="41">
        <f>J52+J103</f>
        <v>5447.41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2328274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2328274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598904.79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15571.31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f>15750+2769</f>
        <v>18519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614476.10000000009</v>
      </c>
      <c r="G128" s="41">
        <f>SUM(G115:G127)</f>
        <v>0</v>
      </c>
      <c r="H128" s="41">
        <f>SUM(H115:H127)</f>
        <v>18519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2942750.1</v>
      </c>
      <c r="G132" s="41">
        <f>G113+SUM(G128:G129)</f>
        <v>0</v>
      </c>
      <c r="H132" s="41">
        <f>H113+SUM(H128:H131)</f>
        <v>18519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1262.3499999999999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1549.22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8037.62+333939.78</f>
        <v>341977.4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1549.22</v>
      </c>
      <c r="H154" s="41">
        <f>SUM(H142:H153)</f>
        <v>343239.75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2891.21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2891.21</v>
      </c>
      <c r="G161" s="41">
        <f>G139+G154+SUM(G155:G160)</f>
        <v>1549.22</v>
      </c>
      <c r="H161" s="41">
        <f>H139+H154+SUM(H155:H160)</f>
        <v>343239.75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12289.52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444410.46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456699.98000000004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456699.98000000004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21782598.640000004</v>
      </c>
      <c r="G185" s="47">
        <f>G104+G132+G161+G184</f>
        <v>571013.22</v>
      </c>
      <c r="H185" s="47">
        <f>H104+H132+H161+H184</f>
        <v>394312.36</v>
      </c>
      <c r="I185" s="47">
        <f>I104+I132+I161+I184</f>
        <v>0</v>
      </c>
      <c r="J185" s="47">
        <f>J104+J132+J184</f>
        <v>5447.41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2381579.6800000002</v>
      </c>
      <c r="G189" s="18">
        <v>978760.99</v>
      </c>
      <c r="H189" s="18">
        <v>39896.589999999997</v>
      </c>
      <c r="I189" s="18">
        <v>93574.21</v>
      </c>
      <c r="J189" s="18">
        <v>49555.45</v>
      </c>
      <c r="K189" s="18">
        <v>0</v>
      </c>
      <c r="L189" s="19">
        <f>SUM(F189:K189)</f>
        <v>3543366.92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928173.38</v>
      </c>
      <c r="G190" s="18">
        <v>382071.64</v>
      </c>
      <c r="H190" s="18">
        <v>68418.41</v>
      </c>
      <c r="I190" s="18">
        <v>4801.79</v>
      </c>
      <c r="J190" s="18">
        <v>1386.14</v>
      </c>
      <c r="K190" s="18">
        <v>0</v>
      </c>
      <c r="L190" s="19">
        <f>SUM(F190:K190)</f>
        <v>1384851.3599999999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11398.7</v>
      </c>
      <c r="G192" s="18">
        <v>4692.1400000000003</v>
      </c>
      <c r="H192" s="18">
        <v>7906.56</v>
      </c>
      <c r="I192" s="18">
        <v>0</v>
      </c>
      <c r="J192" s="18">
        <v>0</v>
      </c>
      <c r="K192" s="18">
        <v>0</v>
      </c>
      <c r="L192" s="19">
        <f>SUM(F192:K192)</f>
        <v>23997.4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211488.47</v>
      </c>
      <c r="G194" s="18">
        <v>87056.74</v>
      </c>
      <c r="H194" s="18">
        <v>1016.22</v>
      </c>
      <c r="I194" s="18">
        <v>2626.37</v>
      </c>
      <c r="J194" s="18">
        <v>0</v>
      </c>
      <c r="K194" s="18">
        <v>100</v>
      </c>
      <c r="L194" s="19">
        <f t="shared" ref="L194:L200" si="0">SUM(F194:K194)</f>
        <v>302287.8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82752.28</v>
      </c>
      <c r="G195" s="18">
        <v>69296.789999999994</v>
      </c>
      <c r="H195" s="18">
        <v>10726.27</v>
      </c>
      <c r="I195" s="18">
        <v>23726.97</v>
      </c>
      <c r="J195" s="18">
        <v>2074</v>
      </c>
      <c r="K195" s="18">
        <v>0</v>
      </c>
      <c r="L195" s="19">
        <f t="shared" si="0"/>
        <v>188576.31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3655.33</v>
      </c>
      <c r="G196" s="18">
        <v>0</v>
      </c>
      <c r="H196" s="18">
        <v>259345</v>
      </c>
      <c r="I196" s="18">
        <v>0</v>
      </c>
      <c r="J196" s="18">
        <v>0</v>
      </c>
      <c r="K196" s="18">
        <v>2928.61</v>
      </c>
      <c r="L196" s="19">
        <f t="shared" si="0"/>
        <v>265928.94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252562.63</v>
      </c>
      <c r="G197" s="18">
        <v>154782.85999999999</v>
      </c>
      <c r="H197" s="18">
        <v>18795.02</v>
      </c>
      <c r="I197" s="18">
        <v>3310.63</v>
      </c>
      <c r="J197" s="18">
        <v>0</v>
      </c>
      <c r="K197" s="18">
        <v>484</v>
      </c>
      <c r="L197" s="19">
        <f t="shared" si="0"/>
        <v>429935.14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274464.52</v>
      </c>
      <c r="G199" s="18">
        <v>80670.880000000005</v>
      </c>
      <c r="H199" s="18">
        <v>101448.94</v>
      </c>
      <c r="I199" s="18">
        <v>105159.71</v>
      </c>
      <c r="J199" s="18">
        <v>2421.5300000000002</v>
      </c>
      <c r="K199" s="18">
        <v>0</v>
      </c>
      <c r="L199" s="19">
        <f t="shared" si="0"/>
        <v>564165.58000000007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25414.080000000002</v>
      </c>
      <c r="I200" s="18">
        <v>0</v>
      </c>
      <c r="J200" s="18">
        <v>0</v>
      </c>
      <c r="K200" s="18">
        <v>0</v>
      </c>
      <c r="L200" s="19">
        <f t="shared" si="0"/>
        <v>25414.080000000002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4146074.99</v>
      </c>
      <c r="G203" s="41">
        <f t="shared" si="1"/>
        <v>1757332.0399999996</v>
      </c>
      <c r="H203" s="41">
        <f t="shared" si="1"/>
        <v>532967.09</v>
      </c>
      <c r="I203" s="41">
        <f t="shared" si="1"/>
        <v>233199.68</v>
      </c>
      <c r="J203" s="41">
        <f t="shared" si="1"/>
        <v>55437.119999999995</v>
      </c>
      <c r="K203" s="41">
        <f t="shared" si="1"/>
        <v>3512.61</v>
      </c>
      <c r="L203" s="41">
        <f t="shared" si="1"/>
        <v>6728523.5299999993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4172368.58</v>
      </c>
      <c r="G225" s="18">
        <v>1565087.62</v>
      </c>
      <c r="H225" s="18">
        <v>71651.289999999994</v>
      </c>
      <c r="I225" s="18">
        <v>149972.85999999999</v>
      </c>
      <c r="J225" s="18">
        <v>37088.550000000003</v>
      </c>
      <c r="K225" s="18">
        <v>39.979999999999997</v>
      </c>
      <c r="L225" s="19">
        <f>SUM(F225:K225)</f>
        <v>5996208.8800000008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692963.37</v>
      </c>
      <c r="G226" s="18">
        <v>260557.99</v>
      </c>
      <c r="H226" s="18">
        <v>74378.97</v>
      </c>
      <c r="I226" s="18">
        <v>8279.5</v>
      </c>
      <c r="J226" s="18">
        <v>1893.99</v>
      </c>
      <c r="K226" s="18">
        <v>0</v>
      </c>
      <c r="L226" s="19">
        <f>SUM(F226:K226)</f>
        <v>1038073.82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32519.39</v>
      </c>
      <c r="I227" s="18">
        <v>0</v>
      </c>
      <c r="J227" s="18">
        <v>0</v>
      </c>
      <c r="K227" s="18">
        <v>0</v>
      </c>
      <c r="L227" s="19">
        <f>SUM(F227:K227)</f>
        <v>32519.39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360486.72</v>
      </c>
      <c r="G228" s="18">
        <v>150129.57</v>
      </c>
      <c r="H228" s="18">
        <v>137049.04999999999</v>
      </c>
      <c r="I228" s="18">
        <v>14379.15</v>
      </c>
      <c r="J228" s="18">
        <v>29049.54</v>
      </c>
      <c r="K228" s="18">
        <v>1255</v>
      </c>
      <c r="L228" s="19">
        <f>SUM(F228:K228)</f>
        <v>692349.03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558640.98</v>
      </c>
      <c r="G230" s="18">
        <v>210239.67</v>
      </c>
      <c r="H230" s="18">
        <v>6324.92</v>
      </c>
      <c r="I230" s="18">
        <v>8729.1299999999992</v>
      </c>
      <c r="J230" s="18">
        <v>0</v>
      </c>
      <c r="K230" s="18">
        <v>2470</v>
      </c>
      <c r="L230" s="19">
        <f t="shared" ref="L230:L236" si="4">SUM(F230:K230)</f>
        <v>786404.70000000007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135497.54999999999</v>
      </c>
      <c r="G231" s="18">
        <v>100568.15</v>
      </c>
      <c r="H231" s="18">
        <v>22168.16</v>
      </c>
      <c r="I231" s="18">
        <v>51954.11</v>
      </c>
      <c r="J231" s="18">
        <v>100790.66</v>
      </c>
      <c r="K231" s="18">
        <v>692</v>
      </c>
      <c r="L231" s="19">
        <f t="shared" si="4"/>
        <v>411670.63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6394.67</v>
      </c>
      <c r="G232" s="18">
        <v>0</v>
      </c>
      <c r="H232" s="18">
        <v>453700.47</v>
      </c>
      <c r="I232" s="18">
        <v>0</v>
      </c>
      <c r="J232" s="18">
        <v>0</v>
      </c>
      <c r="K232" s="18">
        <v>5123.33</v>
      </c>
      <c r="L232" s="19">
        <f t="shared" si="4"/>
        <v>465218.47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596236.81999999995</v>
      </c>
      <c r="G233" s="18">
        <v>313090.52</v>
      </c>
      <c r="H233" s="18">
        <v>50233.99</v>
      </c>
      <c r="I233" s="18">
        <v>18335.189999999999</v>
      </c>
      <c r="J233" s="18">
        <v>420.99</v>
      </c>
      <c r="K233" s="18">
        <v>3050</v>
      </c>
      <c r="L233" s="19">
        <f t="shared" si="4"/>
        <v>981367.50999999989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489508.78</v>
      </c>
      <c r="G235" s="18">
        <v>133481.68</v>
      </c>
      <c r="H235" s="18">
        <v>213518.62</v>
      </c>
      <c r="I235" s="18">
        <v>193907.14</v>
      </c>
      <c r="J235" s="18">
        <v>3167.77</v>
      </c>
      <c r="K235" s="18">
        <v>0</v>
      </c>
      <c r="L235" s="19">
        <f t="shared" si="4"/>
        <v>1033583.99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148682.04</v>
      </c>
      <c r="I236" s="18">
        <v>0</v>
      </c>
      <c r="J236" s="18">
        <v>0</v>
      </c>
      <c r="K236" s="18">
        <v>0</v>
      </c>
      <c r="L236" s="19">
        <f t="shared" si="4"/>
        <v>148682.04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7012097.4700000007</v>
      </c>
      <c r="G239" s="41">
        <f t="shared" si="5"/>
        <v>2733155.2</v>
      </c>
      <c r="H239" s="41">
        <f t="shared" si="5"/>
        <v>1210226.8999999999</v>
      </c>
      <c r="I239" s="41">
        <f t="shared" si="5"/>
        <v>445557.08</v>
      </c>
      <c r="J239" s="41">
        <f t="shared" si="5"/>
        <v>172411.49999999997</v>
      </c>
      <c r="K239" s="41">
        <f t="shared" si="5"/>
        <v>12630.31</v>
      </c>
      <c r="L239" s="41">
        <f t="shared" si="5"/>
        <v>11586078.460000001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8675.2099999999991</v>
      </c>
      <c r="I247" s="18"/>
      <c r="J247" s="18"/>
      <c r="K247" s="18"/>
      <c r="L247" s="19">
        <f t="shared" si="6"/>
        <v>8675.2099999999991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8675.2099999999991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8675.2099999999991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11158172.460000001</v>
      </c>
      <c r="G249" s="41">
        <f t="shared" si="8"/>
        <v>4490487.24</v>
      </c>
      <c r="H249" s="41">
        <f t="shared" si="8"/>
        <v>1751869.1999999997</v>
      </c>
      <c r="I249" s="41">
        <f t="shared" si="8"/>
        <v>678756.76</v>
      </c>
      <c r="J249" s="41">
        <f t="shared" si="8"/>
        <v>227848.61999999997</v>
      </c>
      <c r="K249" s="41">
        <f t="shared" si="8"/>
        <v>16142.92</v>
      </c>
      <c r="L249" s="41">
        <f t="shared" si="8"/>
        <v>18323277.200000003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2576078.46</v>
      </c>
      <c r="L252" s="19">
        <f>SUM(F252:K252)</f>
        <v>2576078.46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953092.82</v>
      </c>
      <c r="L253" s="19">
        <f>SUM(F253:K253)</f>
        <v>953092.82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3529171.28</v>
      </c>
      <c r="L262" s="41">
        <f t="shared" si="9"/>
        <v>3529171.28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11158172.460000001</v>
      </c>
      <c r="G263" s="42">
        <f t="shared" si="11"/>
        <v>4490487.24</v>
      </c>
      <c r="H263" s="42">
        <f t="shared" si="11"/>
        <v>1751869.1999999997</v>
      </c>
      <c r="I263" s="42">
        <f t="shared" si="11"/>
        <v>678756.76</v>
      </c>
      <c r="J263" s="42">
        <f t="shared" si="11"/>
        <v>227848.61999999997</v>
      </c>
      <c r="K263" s="42">
        <f t="shared" si="11"/>
        <v>3545314.1999999997</v>
      </c>
      <c r="L263" s="42">
        <f t="shared" si="11"/>
        <v>21852448.480000004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1200</v>
      </c>
      <c r="G268" s="18">
        <v>9702.34</v>
      </c>
      <c r="H268" s="18">
        <v>225</v>
      </c>
      <c r="I268" s="18">
        <v>0</v>
      </c>
      <c r="J268" s="18">
        <v>0</v>
      </c>
      <c r="K268" s="18">
        <v>0</v>
      </c>
      <c r="L268" s="19">
        <f>SUM(F268:K268)</f>
        <v>11127.34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205459.19</v>
      </c>
      <c r="G269" s="18">
        <v>11058.98</v>
      </c>
      <c r="H269" s="18">
        <v>21871.54</v>
      </c>
      <c r="I269" s="18">
        <v>4732.5</v>
      </c>
      <c r="J269" s="18">
        <v>39227.040000000001</v>
      </c>
      <c r="K269" s="18">
        <v>0</v>
      </c>
      <c r="L269" s="19">
        <f>SUM(F269:K269)</f>
        <v>282349.25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206659.19</v>
      </c>
      <c r="G282" s="42">
        <f t="shared" si="13"/>
        <v>20761.32</v>
      </c>
      <c r="H282" s="42">
        <f t="shared" si="13"/>
        <v>22096.54</v>
      </c>
      <c r="I282" s="42">
        <f t="shared" si="13"/>
        <v>4732.5</v>
      </c>
      <c r="J282" s="42">
        <f t="shared" si="13"/>
        <v>39227.040000000001</v>
      </c>
      <c r="K282" s="42">
        <f t="shared" si="13"/>
        <v>0</v>
      </c>
      <c r="L282" s="41">
        <f t="shared" si="13"/>
        <v>293476.59000000003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333.76</v>
      </c>
      <c r="H306" s="18">
        <v>18519</v>
      </c>
      <c r="I306" s="18">
        <v>0</v>
      </c>
      <c r="J306" s="18">
        <v>0</v>
      </c>
      <c r="K306" s="18">
        <v>0</v>
      </c>
      <c r="L306" s="19">
        <f>SUM(F306:K306)</f>
        <v>18852.759999999998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17274.990000000002</v>
      </c>
      <c r="I307" s="18">
        <v>2970</v>
      </c>
      <c r="J307" s="18">
        <v>25386.76</v>
      </c>
      <c r="K307" s="18">
        <v>0</v>
      </c>
      <c r="L307" s="19">
        <f>SUM(F307:K307)</f>
        <v>45631.75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10313.040000000001</v>
      </c>
      <c r="G309" s="18">
        <v>0</v>
      </c>
      <c r="H309" s="18">
        <v>21881.61</v>
      </c>
      <c r="I309" s="18">
        <v>35</v>
      </c>
      <c r="J309" s="18">
        <v>0</v>
      </c>
      <c r="K309" s="18">
        <v>0</v>
      </c>
      <c r="L309" s="19">
        <f>SUM(F309:K309)</f>
        <v>32229.65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10313.040000000001</v>
      </c>
      <c r="G320" s="42">
        <f t="shared" si="17"/>
        <v>333.76</v>
      </c>
      <c r="H320" s="42">
        <f t="shared" si="17"/>
        <v>57675.600000000006</v>
      </c>
      <c r="I320" s="42">
        <f t="shared" si="17"/>
        <v>3005</v>
      </c>
      <c r="J320" s="42">
        <f t="shared" si="17"/>
        <v>25386.76</v>
      </c>
      <c r="K320" s="42">
        <f t="shared" si="17"/>
        <v>0</v>
      </c>
      <c r="L320" s="41">
        <f t="shared" si="17"/>
        <v>96714.16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10718.94</v>
      </c>
      <c r="K328" s="18">
        <v>0</v>
      </c>
      <c r="L328" s="19">
        <f t="shared" si="18"/>
        <v>10718.94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10718.94</v>
      </c>
      <c r="K329" s="41">
        <f t="shared" si="19"/>
        <v>0</v>
      </c>
      <c r="L329" s="41">
        <f t="shared" si="18"/>
        <v>10718.94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216972.23</v>
      </c>
      <c r="G330" s="41">
        <f t="shared" si="20"/>
        <v>21095.079999999998</v>
      </c>
      <c r="H330" s="41">
        <f t="shared" si="20"/>
        <v>79772.140000000014</v>
      </c>
      <c r="I330" s="41">
        <f t="shared" si="20"/>
        <v>7737.5</v>
      </c>
      <c r="J330" s="41">
        <f t="shared" si="20"/>
        <v>75332.740000000005</v>
      </c>
      <c r="K330" s="41">
        <f t="shared" si="20"/>
        <v>0</v>
      </c>
      <c r="L330" s="41">
        <f t="shared" si="20"/>
        <v>400909.69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12289.52</v>
      </c>
      <c r="L336" s="19">
        <f t="shared" ref="L336:L342" si="21">SUM(F336:K336)</f>
        <v>12289.52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12289.52</v>
      </c>
      <c r="L343" s="41">
        <f>SUM(L333:L342)</f>
        <v>12289.52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216972.23</v>
      </c>
      <c r="G344" s="41">
        <f>G330</f>
        <v>21095.079999999998</v>
      </c>
      <c r="H344" s="41">
        <f>H330</f>
        <v>79772.140000000014</v>
      </c>
      <c r="I344" s="41">
        <f>I330</f>
        <v>7737.5</v>
      </c>
      <c r="J344" s="41">
        <f>J330</f>
        <v>75332.740000000005</v>
      </c>
      <c r="K344" s="47">
        <f>K330+K343</f>
        <v>12289.52</v>
      </c>
      <c r="L344" s="41">
        <f>L330+L343</f>
        <v>413199.21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78642.259999999995</v>
      </c>
      <c r="G350" s="18">
        <v>31334.17</v>
      </c>
      <c r="H350" s="18">
        <v>319.48</v>
      </c>
      <c r="I350" s="18">
        <f>158368.25</f>
        <v>158368.25</v>
      </c>
      <c r="J350" s="18">
        <f>-118.01+118.01</f>
        <v>0</v>
      </c>
      <c r="K350" s="18">
        <v>0</v>
      </c>
      <c r="L350" s="13">
        <f>SUM(F350:K350)</f>
        <v>268664.15999999997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277702</v>
      </c>
      <c r="I352" s="18">
        <v>0</v>
      </c>
      <c r="J352" s="18">
        <f>1154-118.01</f>
        <v>1035.99</v>
      </c>
      <c r="K352" s="18">
        <v>0</v>
      </c>
      <c r="L352" s="19">
        <f>SUM(F352:K352)</f>
        <v>278737.99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78642.259999999995</v>
      </c>
      <c r="G354" s="47">
        <f t="shared" si="22"/>
        <v>31334.17</v>
      </c>
      <c r="H354" s="47">
        <f t="shared" si="22"/>
        <v>278021.48</v>
      </c>
      <c r="I354" s="47">
        <f t="shared" si="22"/>
        <v>158368.25</v>
      </c>
      <c r="J354" s="47">
        <f t="shared" si="22"/>
        <v>1035.99</v>
      </c>
      <c r="K354" s="47">
        <f t="shared" si="22"/>
        <v>0</v>
      </c>
      <c r="L354" s="47">
        <f t="shared" si="22"/>
        <v>547402.14999999991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149280.99</v>
      </c>
      <c r="G359" s="18"/>
      <c r="H359" s="18"/>
      <c r="I359" s="56">
        <f>SUM(F359:H359)</f>
        <v>149280.99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9087.26</v>
      </c>
      <c r="G360" s="63"/>
      <c r="H360" s="63"/>
      <c r="I360" s="56">
        <f>SUM(F360:H360)</f>
        <v>9087.26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158368.25</v>
      </c>
      <c r="G361" s="47">
        <f>SUM(G359:G360)</f>
        <v>0</v>
      </c>
      <c r="H361" s="47">
        <f>SUM(H359:H360)</f>
        <v>0</v>
      </c>
      <c r="I361" s="47">
        <f>SUM(I359:I360)</f>
        <v>158368.25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444410.46</v>
      </c>
      <c r="L373" s="13">
        <f t="shared" si="23"/>
        <v>444410.46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444410.46</v>
      </c>
      <c r="L374" s="47">
        <f t="shared" si="24"/>
        <v>444410.46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65.79+4843.42+538.2</f>
        <v>5447.41</v>
      </c>
      <c r="I392" s="18"/>
      <c r="J392" s="24" t="s">
        <v>312</v>
      </c>
      <c r="K392" s="24" t="s">
        <v>312</v>
      </c>
      <c r="L392" s="56">
        <f t="shared" si="26"/>
        <v>5447.41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5447.41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5447.41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5447.41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5447.41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443.71</v>
      </c>
      <c r="I410" s="18"/>
      <c r="J410" s="18"/>
      <c r="K410" s="18"/>
      <c r="L410" s="56">
        <f t="shared" si="27"/>
        <v>443.71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443.71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443.71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443.71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443.71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56606.12</v>
      </c>
      <c r="H431" s="18"/>
      <c r="I431" s="56">
        <f t="shared" ref="I431:I437" si="33">SUM(F431:H431)</f>
        <v>56606.12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27026.91</v>
      </c>
      <c r="H432" s="18"/>
      <c r="I432" s="56">
        <f t="shared" si="33"/>
        <v>27026.91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83633.03</v>
      </c>
      <c r="H438" s="13">
        <f>SUM(H431:H437)</f>
        <v>0</v>
      </c>
      <c r="I438" s="13">
        <f>SUM(I431:I437)</f>
        <v>83633.03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27026.91+56606.12</f>
        <v>83633.03</v>
      </c>
      <c r="H449" s="18"/>
      <c r="I449" s="56">
        <f>SUM(F449:H449)</f>
        <v>83633.03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83633.03</v>
      </c>
      <c r="H450" s="83">
        <f>SUM(H446:H449)</f>
        <v>0</v>
      </c>
      <c r="I450" s="83">
        <f>SUM(I446:I449)</f>
        <v>83633.03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83633.03</v>
      </c>
      <c r="H451" s="42">
        <f>H444+H450</f>
        <v>0</v>
      </c>
      <c r="I451" s="42">
        <f>I444+I450</f>
        <v>83633.03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568425.03</v>
      </c>
      <c r="G455" s="18">
        <v>1831.77</v>
      </c>
      <c r="H455" s="18">
        <v>17178.560000000001</v>
      </c>
      <c r="I455" s="18">
        <v>455020.46</v>
      </c>
      <c r="J455" s="18">
        <f>22023.21+56606.12</f>
        <v>78629.33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21782598.640000001</v>
      </c>
      <c r="G458" s="18">
        <v>571013.22</v>
      </c>
      <c r="H458" s="18">
        <v>394312.36</v>
      </c>
      <c r="I458" s="18">
        <v>0</v>
      </c>
      <c r="J458" s="18">
        <f>65.79+4843.42+538.2</f>
        <v>5447.41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21782598.640000001</v>
      </c>
      <c r="G460" s="53">
        <f>SUM(G458:G459)</f>
        <v>571013.22</v>
      </c>
      <c r="H460" s="53">
        <f>SUM(H458:H459)</f>
        <v>394312.36</v>
      </c>
      <c r="I460" s="53">
        <f>SUM(I458:I459)</f>
        <v>0</v>
      </c>
      <c r="J460" s="53">
        <f>SUM(J458:J459)</f>
        <v>5447.41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21852448.48</f>
        <v>21852448.48</v>
      </c>
      <c r="G462" s="18">
        <v>547402.15</v>
      </c>
      <c r="H462" s="18">
        <f>400909.69+12289.52</f>
        <v>413199.21</v>
      </c>
      <c r="I462" s="18">
        <v>444410.46</v>
      </c>
      <c r="J462" s="18">
        <v>443.71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21852448.48</v>
      </c>
      <c r="G464" s="53">
        <f>SUM(G462:G463)</f>
        <v>547402.15</v>
      </c>
      <c r="H464" s="53">
        <f>SUM(H462:H463)</f>
        <v>413199.21</v>
      </c>
      <c r="I464" s="53">
        <f>SUM(I462:I463)</f>
        <v>444410.46</v>
      </c>
      <c r="J464" s="53">
        <f>SUM(J462:J463)</f>
        <v>443.71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498575.19000000134</v>
      </c>
      <c r="G466" s="53">
        <f>(G455+G460)- G464</f>
        <v>25442.839999999967</v>
      </c>
      <c r="H466" s="53">
        <f>(H455+H460)- H464</f>
        <v>-1708.2900000000373</v>
      </c>
      <c r="I466" s="53">
        <f>(I455+I460)- I464</f>
        <v>10610</v>
      </c>
      <c r="J466" s="53">
        <f>(J455+J460)- J464</f>
        <v>83633.03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20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 t="s">
        <v>897</v>
      </c>
      <c r="I481" s="155" t="s">
        <v>898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899</v>
      </c>
      <c r="H482" s="155" t="s">
        <v>897</v>
      </c>
      <c r="I482" s="155" t="s">
        <v>898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2526000</v>
      </c>
      <c r="G483" s="18">
        <v>4000000</v>
      </c>
      <c r="H483" s="18">
        <v>38460936</v>
      </c>
      <c r="I483" s="18">
        <v>1100000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4.08</v>
      </c>
      <c r="G484" s="18">
        <v>4.47</v>
      </c>
      <c r="H484" s="18">
        <v>4.62</v>
      </c>
      <c r="I484" s="18">
        <v>4.71</v>
      </c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2001176</v>
      </c>
      <c r="G485" s="18">
        <v>2647288</v>
      </c>
      <c r="H485" s="18">
        <v>22258864</v>
      </c>
      <c r="I485" s="18">
        <v>660000</v>
      </c>
      <c r="J485" s="18"/>
      <c r="K485" s="53">
        <f>SUM(F485:J485)</f>
        <v>27567328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161403</v>
      </c>
      <c r="G487" s="18">
        <v>237216</v>
      </c>
      <c r="H487" s="18">
        <v>2122460</v>
      </c>
      <c r="I487" s="18">
        <v>55000</v>
      </c>
      <c r="J487" s="18"/>
      <c r="K487" s="53">
        <f t="shared" si="34"/>
        <v>2576079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1839773</v>
      </c>
      <c r="G488" s="205">
        <f>G485-G487</f>
        <v>2410072</v>
      </c>
      <c r="H488" s="205">
        <f>H485-H487</f>
        <v>20136404</v>
      </c>
      <c r="I488" s="205">
        <f>I485-I487</f>
        <v>605000</v>
      </c>
      <c r="J488" s="205"/>
      <c r="K488" s="206">
        <f t="shared" si="34"/>
        <v>24991249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1234458</v>
      </c>
      <c r="G489" s="18">
        <v>1891978</v>
      </c>
      <c r="H489" s="18">
        <v>17757895</v>
      </c>
      <c r="I489" s="18">
        <v>162972</v>
      </c>
      <c r="J489" s="18"/>
      <c r="K489" s="53">
        <f t="shared" si="34"/>
        <v>21047303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3074231</v>
      </c>
      <c r="G490" s="42">
        <f>SUM(G488:G489)</f>
        <v>4302050</v>
      </c>
      <c r="H490" s="42">
        <f>SUM(H488:H489)</f>
        <v>37894299</v>
      </c>
      <c r="I490" s="42">
        <f>SUM(I488:I489)</f>
        <v>767972</v>
      </c>
      <c r="J490" s="42">
        <f>SUM(J488:J489)</f>
        <v>0</v>
      </c>
      <c r="K490" s="42">
        <f t="shared" si="34"/>
        <v>46038552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155411</v>
      </c>
      <c r="G491" s="205">
        <v>225922</v>
      </c>
      <c r="H491" s="205">
        <v>2023511</v>
      </c>
      <c r="I491" s="205">
        <v>55000</v>
      </c>
      <c r="J491" s="205"/>
      <c r="K491" s="206">
        <f t="shared" si="34"/>
        <v>2459844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36345</v>
      </c>
      <c r="G492" s="18">
        <v>80809</v>
      </c>
      <c r="H492" s="18">
        <v>876068</v>
      </c>
      <c r="I492" s="18">
        <v>27734</v>
      </c>
      <c r="J492" s="18"/>
      <c r="K492" s="53">
        <f t="shared" si="34"/>
        <v>1020956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191756</v>
      </c>
      <c r="G493" s="42">
        <f>SUM(G491:G492)</f>
        <v>306731</v>
      </c>
      <c r="H493" s="42">
        <f>SUM(H491:H492)</f>
        <v>2899579</v>
      </c>
      <c r="I493" s="42">
        <f>SUM(I491:I492)</f>
        <v>82734</v>
      </c>
      <c r="J493" s="42">
        <f>SUM(J491:J492)</f>
        <v>0</v>
      </c>
      <c r="K493" s="42">
        <f t="shared" si="34"/>
        <v>3480800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</f>
        <v>1133632.57</v>
      </c>
      <c r="G511" s="18">
        <f>G190+G269</f>
        <v>393130.62</v>
      </c>
      <c r="H511" s="18">
        <f>H190+H269-H516</f>
        <v>28972.930000000008</v>
      </c>
      <c r="I511" s="18">
        <f>I190+I269-I516</f>
        <v>8166.3600000000006</v>
      </c>
      <c r="J511" s="18">
        <f>J190+J269</f>
        <v>40613.18</v>
      </c>
      <c r="K511" s="18">
        <f>K190+K269</f>
        <v>0</v>
      </c>
      <c r="L511" s="88">
        <f>SUM(F511:K511)</f>
        <v>1604515.66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5">F226+F307</f>
        <v>692963.37</v>
      </c>
      <c r="G513" s="18">
        <f t="shared" si="35"/>
        <v>260557.99</v>
      </c>
      <c r="H513" s="18">
        <f t="shared" si="35"/>
        <v>91653.96</v>
      </c>
      <c r="I513" s="18">
        <f t="shared" si="35"/>
        <v>11249.5</v>
      </c>
      <c r="J513" s="18">
        <f t="shared" si="35"/>
        <v>27280.75</v>
      </c>
      <c r="K513" s="18">
        <f t="shared" si="35"/>
        <v>0</v>
      </c>
      <c r="L513" s="88">
        <f>SUM(F513:K513)</f>
        <v>1083705.5699999998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1826595.94</v>
      </c>
      <c r="G514" s="108">
        <f t="shared" ref="G514:L514" si="36">SUM(G511:G513)</f>
        <v>653688.61</v>
      </c>
      <c r="H514" s="108">
        <f t="shared" si="36"/>
        <v>120626.89000000001</v>
      </c>
      <c r="I514" s="108">
        <f t="shared" si="36"/>
        <v>19415.86</v>
      </c>
      <c r="J514" s="108">
        <f t="shared" si="36"/>
        <v>67893.929999999993</v>
      </c>
      <c r="K514" s="108">
        <f t="shared" si="36"/>
        <v>0</v>
      </c>
      <c r="L514" s="89">
        <f t="shared" si="36"/>
        <v>2688221.2299999995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751.66+1768+1730.4+14359.8+2193+33914.15+187.5+1170+1270+3972.51</f>
        <v>61317.020000000004</v>
      </c>
      <c r="I516" s="18">
        <f>386.57+83.22+898.14</f>
        <v>1367.9299999999998</v>
      </c>
      <c r="J516" s="18"/>
      <c r="K516" s="18"/>
      <c r="L516" s="88">
        <f>SUM(F516:K516)</f>
        <v>62684.950000000004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7">SUM(G516:G518)</f>
        <v>0</v>
      </c>
      <c r="H519" s="89">
        <f t="shared" si="37"/>
        <v>61317.020000000004</v>
      </c>
      <c r="I519" s="89">
        <f t="shared" si="37"/>
        <v>1367.9299999999998</v>
      </c>
      <c r="J519" s="89">
        <f t="shared" si="37"/>
        <v>0</v>
      </c>
      <c r="K519" s="89">
        <f t="shared" si="37"/>
        <v>0</v>
      </c>
      <c r="L519" s="89">
        <f t="shared" si="37"/>
        <v>62684.950000000004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31541</v>
      </c>
      <c r="G521" s="18">
        <v>10604</v>
      </c>
      <c r="H521" s="18">
        <v>404</v>
      </c>
      <c r="I521" s="18"/>
      <c r="J521" s="18"/>
      <c r="K521" s="18"/>
      <c r="L521" s="88">
        <f>SUM(F521:K521)</f>
        <v>42549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51744</v>
      </c>
      <c r="G523" s="18">
        <v>17396</v>
      </c>
      <c r="H523" s="18">
        <v>663</v>
      </c>
      <c r="I523" s="18"/>
      <c r="J523" s="18"/>
      <c r="K523" s="18"/>
      <c r="L523" s="88">
        <f>SUM(F523:K523)</f>
        <v>69803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83285</v>
      </c>
      <c r="G524" s="89">
        <f t="shared" ref="G524:L524" si="38">SUM(G521:G523)</f>
        <v>28000</v>
      </c>
      <c r="H524" s="89">
        <f t="shared" si="38"/>
        <v>1067</v>
      </c>
      <c r="I524" s="89">
        <f t="shared" si="38"/>
        <v>0</v>
      </c>
      <c r="J524" s="89">
        <f t="shared" si="38"/>
        <v>0</v>
      </c>
      <c r="K524" s="89">
        <f t="shared" si="38"/>
        <v>0</v>
      </c>
      <c r="L524" s="89">
        <f t="shared" si="38"/>
        <v>112352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8079.42*0.33</f>
        <v>2666.2085999999999</v>
      </c>
      <c r="I526" s="18"/>
      <c r="J526" s="18"/>
      <c r="K526" s="18"/>
      <c r="L526" s="88">
        <f>SUM(F526:K526)</f>
        <v>2666.2085999999999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8079.42-H526</f>
        <v>5413.2114000000001</v>
      </c>
      <c r="I528" s="18"/>
      <c r="J528" s="18"/>
      <c r="K528" s="18"/>
      <c r="L528" s="88">
        <f>SUM(F528:K528)</f>
        <v>5413.2114000000001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8079.42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8079.42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16170.2</v>
      </c>
      <c r="I531" s="18"/>
      <c r="J531" s="18"/>
      <c r="K531" s="18"/>
      <c r="L531" s="88">
        <f>SUM(F531:K531)</f>
        <v>16170.2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8437.2999999999993</v>
      </c>
      <c r="I533" s="18"/>
      <c r="J533" s="18"/>
      <c r="K533" s="18"/>
      <c r="L533" s="88">
        <f>SUM(F533:K533)</f>
        <v>8437.2999999999993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0">SUM(G531:G533)</f>
        <v>0</v>
      </c>
      <c r="H534" s="194">
        <f t="shared" si="40"/>
        <v>24607.5</v>
      </c>
      <c r="I534" s="194">
        <f t="shared" si="40"/>
        <v>0</v>
      </c>
      <c r="J534" s="194">
        <f t="shared" si="40"/>
        <v>0</v>
      </c>
      <c r="K534" s="194">
        <f t="shared" si="40"/>
        <v>0</v>
      </c>
      <c r="L534" s="194">
        <f t="shared" si="40"/>
        <v>24607.5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1909880.94</v>
      </c>
      <c r="G535" s="89">
        <f t="shared" ref="G535:L535" si="41">G514+G519+G524+G529+G534</f>
        <v>681688.61</v>
      </c>
      <c r="H535" s="89">
        <f t="shared" si="41"/>
        <v>215697.83000000005</v>
      </c>
      <c r="I535" s="89">
        <f t="shared" si="41"/>
        <v>20783.79</v>
      </c>
      <c r="J535" s="89">
        <f t="shared" si="41"/>
        <v>67893.929999999993</v>
      </c>
      <c r="K535" s="89">
        <f t="shared" si="41"/>
        <v>0</v>
      </c>
      <c r="L535" s="89">
        <f t="shared" si="41"/>
        <v>2895945.0999999996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1604515.66</v>
      </c>
      <c r="G539" s="87">
        <f>L516</f>
        <v>62684.950000000004</v>
      </c>
      <c r="H539" s="87">
        <f>L521</f>
        <v>42549</v>
      </c>
      <c r="I539" s="87">
        <f>L526</f>
        <v>2666.2085999999999</v>
      </c>
      <c r="J539" s="87">
        <f>L531</f>
        <v>16170.2</v>
      </c>
      <c r="K539" s="87">
        <f>SUM(F539:J539)</f>
        <v>1728586.0185999998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1083705.5699999998</v>
      </c>
      <c r="G541" s="87">
        <f>L518</f>
        <v>0</v>
      </c>
      <c r="H541" s="87">
        <f>L523</f>
        <v>69803</v>
      </c>
      <c r="I541" s="87">
        <f>L528</f>
        <v>5413.2114000000001</v>
      </c>
      <c r="J541" s="87">
        <f>L533</f>
        <v>8437.2999999999993</v>
      </c>
      <c r="K541" s="87">
        <f>SUM(F541:J541)</f>
        <v>1167359.0813999998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2">SUM(F539:F541)</f>
        <v>2688221.2299999995</v>
      </c>
      <c r="G542" s="89">
        <f t="shared" si="42"/>
        <v>62684.950000000004</v>
      </c>
      <c r="H542" s="89">
        <f t="shared" si="42"/>
        <v>112352</v>
      </c>
      <c r="I542" s="89">
        <f t="shared" si="42"/>
        <v>8079.42</v>
      </c>
      <c r="J542" s="89">
        <f t="shared" si="42"/>
        <v>24607.5</v>
      </c>
      <c r="K542" s="89">
        <f t="shared" si="42"/>
        <v>2895945.0999999996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3">SUM(F547:F549)</f>
        <v>0</v>
      </c>
      <c r="G550" s="108">
        <f t="shared" si="43"/>
        <v>0</v>
      </c>
      <c r="H550" s="108">
        <f t="shared" si="43"/>
        <v>0</v>
      </c>
      <c r="I550" s="108">
        <f t="shared" si="43"/>
        <v>0</v>
      </c>
      <c r="J550" s="108">
        <f t="shared" si="43"/>
        <v>0</v>
      </c>
      <c r="K550" s="108">
        <f t="shared" si="43"/>
        <v>0</v>
      </c>
      <c r="L550" s="89">
        <f t="shared" si="43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4">SUM(F552:F554)</f>
        <v>0</v>
      </c>
      <c r="G555" s="89">
        <f t="shared" si="44"/>
        <v>0</v>
      </c>
      <c r="H555" s="89">
        <f t="shared" si="44"/>
        <v>0</v>
      </c>
      <c r="I555" s="89">
        <f t="shared" si="44"/>
        <v>0</v>
      </c>
      <c r="J555" s="89">
        <f t="shared" si="44"/>
        <v>0</v>
      </c>
      <c r="K555" s="89">
        <f t="shared" si="44"/>
        <v>0</v>
      </c>
      <c r="L555" s="89">
        <f t="shared" si="44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5">SUM(G557:G559)</f>
        <v>0</v>
      </c>
      <c r="H560" s="194">
        <f t="shared" si="45"/>
        <v>0</v>
      </c>
      <c r="I560" s="194">
        <f t="shared" si="45"/>
        <v>0</v>
      </c>
      <c r="J560" s="194">
        <f t="shared" si="45"/>
        <v>0</v>
      </c>
      <c r="K560" s="194">
        <f t="shared" si="45"/>
        <v>0</v>
      </c>
      <c r="L560" s="194">
        <f t="shared" si="45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6">G550+G555+G560</f>
        <v>0</v>
      </c>
      <c r="H561" s="89">
        <f t="shared" si="46"/>
        <v>0</v>
      </c>
      <c r="I561" s="89">
        <f t="shared" si="46"/>
        <v>0</v>
      </c>
      <c r="J561" s="89">
        <f t="shared" si="46"/>
        <v>0</v>
      </c>
      <c r="K561" s="89">
        <f t="shared" si="46"/>
        <v>0</v>
      </c>
      <c r="L561" s="89">
        <f t="shared" si="46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7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7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7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7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7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7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7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7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7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32519.39</v>
      </c>
      <c r="I575" s="87">
        <f t="shared" si="47"/>
        <v>32519.39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7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5161.6000000000004</v>
      </c>
      <c r="I581" s="18"/>
      <c r="J581" s="18"/>
      <c r="K581" s="104">
        <f t="shared" ref="K581:K587" si="48">SUM(H581:J581)</f>
        <v>5161.6000000000004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16170.2</v>
      </c>
      <c r="I582" s="18"/>
      <c r="J582" s="18">
        <f>8437.3</f>
        <v>8437.2999999999993</v>
      </c>
      <c r="K582" s="104">
        <f t="shared" si="48"/>
        <v>24607.5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18353.78</v>
      </c>
      <c r="K583" s="104">
        <f t="shared" si="48"/>
        <v>18353.78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110359.32</v>
      </c>
      <c r="K584" s="104">
        <f t="shared" si="48"/>
        <v>110359.32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4082.28</v>
      </c>
      <c r="I585" s="18"/>
      <c r="J585" s="18">
        <v>11531.64</v>
      </c>
      <c r="K585" s="104">
        <f t="shared" si="48"/>
        <v>15613.92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8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8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25414.080000000002</v>
      </c>
      <c r="I588" s="108">
        <f>SUM(I581:I587)</f>
        <v>0</v>
      </c>
      <c r="J588" s="108">
        <f>SUM(J581:J587)</f>
        <v>148682.03999999998</v>
      </c>
      <c r="K588" s="108">
        <f>SUM(K581:K587)</f>
        <v>174096.12000000002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46815.22+43610.87+7901.72-4383.83</f>
        <v>93943.98</v>
      </c>
      <c r="I594" s="18"/>
      <c r="J594" s="18">
        <f>156829.25+31721.87+15803.43-6335.11+499</f>
        <v>198518.44</v>
      </c>
      <c r="K594" s="104">
        <f>SUM(H594:J594)</f>
        <v>292462.42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93943.98</v>
      </c>
      <c r="I595" s="108">
        <f>SUM(I592:I594)</f>
        <v>0</v>
      </c>
      <c r="J595" s="108">
        <f>SUM(J592:J594)</f>
        <v>198518.44</v>
      </c>
      <c r="K595" s="108">
        <f>SUM(K592:K594)</f>
        <v>292462.42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269">
        <v>14168.95</v>
      </c>
      <c r="G601" s="269">
        <v>4534.0600000000004</v>
      </c>
      <c r="H601" s="269">
        <v>13260.99</v>
      </c>
      <c r="I601" s="269">
        <v>0</v>
      </c>
      <c r="J601" s="269">
        <v>0</v>
      </c>
      <c r="K601" s="269">
        <v>0</v>
      </c>
      <c r="L601" s="88">
        <f>SUM(F601:K601)</f>
        <v>31964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269">
        <v>13393.09</v>
      </c>
      <c r="G603" s="269">
        <v>4285.79</v>
      </c>
      <c r="H603" s="269">
        <v>13005.47</v>
      </c>
      <c r="I603" s="269">
        <v>0</v>
      </c>
      <c r="J603" s="269">
        <v>0</v>
      </c>
      <c r="K603" s="269">
        <v>0</v>
      </c>
      <c r="L603" s="88">
        <f>SUM(F603:K603)</f>
        <v>30684.35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9">SUM(F601:F603)</f>
        <v>27562.04</v>
      </c>
      <c r="G604" s="108">
        <f t="shared" si="49"/>
        <v>8819.85</v>
      </c>
      <c r="H604" s="108">
        <f t="shared" si="49"/>
        <v>26266.46</v>
      </c>
      <c r="I604" s="108">
        <f t="shared" si="49"/>
        <v>0</v>
      </c>
      <c r="J604" s="108">
        <f t="shared" si="49"/>
        <v>0</v>
      </c>
      <c r="K604" s="108">
        <f t="shared" si="49"/>
        <v>0</v>
      </c>
      <c r="L604" s="89">
        <f t="shared" si="49"/>
        <v>62648.35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589710.11</v>
      </c>
      <c r="H607" s="109">
        <f>SUM(F44)</f>
        <v>589710.11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262.88</v>
      </c>
      <c r="H608" s="109">
        <f>SUM(G44)</f>
        <v>262.88000000000102</v>
      </c>
      <c r="I608" s="121" t="s">
        <v>102</v>
      </c>
      <c r="J608" s="109">
        <f>G608-H608</f>
        <v>-1.0231815394945443E-12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115943.11</v>
      </c>
      <c r="H609" s="109">
        <f>SUM(H44)</f>
        <v>115943.11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10610</v>
      </c>
      <c r="H610" s="109">
        <f>SUM(I44)</f>
        <v>10610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83633.03</v>
      </c>
      <c r="H611" s="109">
        <f>SUM(J44)</f>
        <v>83633.03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498575.19</v>
      </c>
      <c r="H612" s="109">
        <f>F466</f>
        <v>498575.19000000134</v>
      </c>
      <c r="I612" s="121" t="s">
        <v>106</v>
      </c>
      <c r="J612" s="109">
        <f t="shared" ref="J612:J645" si="50">G612-H612</f>
        <v>-1.3387762010097504E-9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25442.84</v>
      </c>
      <c r="H613" s="109">
        <f>G466</f>
        <v>25442.839999999967</v>
      </c>
      <c r="I613" s="121" t="s">
        <v>108</v>
      </c>
      <c r="J613" s="109">
        <f t="shared" si="50"/>
        <v>3.2741809263825417E-11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-1708.29</v>
      </c>
      <c r="H614" s="109">
        <f>H466</f>
        <v>-1708.2900000000373</v>
      </c>
      <c r="I614" s="121" t="s">
        <v>110</v>
      </c>
      <c r="J614" s="109">
        <f t="shared" si="50"/>
        <v>3.7289282772690058E-11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10610</v>
      </c>
      <c r="H615" s="109">
        <f>I466</f>
        <v>10610</v>
      </c>
      <c r="I615" s="121" t="s">
        <v>112</v>
      </c>
      <c r="J615" s="109">
        <f t="shared" si="50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83633.03</v>
      </c>
      <c r="H616" s="109">
        <f>J466</f>
        <v>83633.03</v>
      </c>
      <c r="I616" s="140" t="s">
        <v>114</v>
      </c>
      <c r="J616" s="109">
        <f t="shared" si="50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21782598.640000004</v>
      </c>
      <c r="H617" s="104">
        <f>SUM(F458)</f>
        <v>21782598.640000001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571013.22</v>
      </c>
      <c r="H618" s="104">
        <f>SUM(G458)</f>
        <v>571013.22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394312.36</v>
      </c>
      <c r="H619" s="104">
        <f>SUM(H458)</f>
        <v>394312.36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5447.41</v>
      </c>
      <c r="H621" s="104">
        <f>SUM(J458)</f>
        <v>5447.41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21852448.480000004</v>
      </c>
      <c r="H622" s="104">
        <f>SUM(F462)</f>
        <v>21852448.48</v>
      </c>
      <c r="I622" s="140" t="s">
        <v>120</v>
      </c>
      <c r="J622" s="109">
        <f t="shared" si="50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413199.21</v>
      </c>
      <c r="H623" s="104">
        <f>SUM(H462)</f>
        <v>413199.21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158368.25</v>
      </c>
      <c r="H624" s="104">
        <f>I361</f>
        <v>158368.25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547402.14999999991</v>
      </c>
      <c r="H625" s="104">
        <f>SUM(G462)</f>
        <v>547402.15</v>
      </c>
      <c r="I625" s="140" t="s">
        <v>123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444410.46</v>
      </c>
      <c r="H626" s="104">
        <f>SUM(I462)</f>
        <v>444410.46</v>
      </c>
      <c r="I626" s="140" t="s">
        <v>125</v>
      </c>
      <c r="J626" s="109">
        <f t="shared" si="50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5447.41</v>
      </c>
      <c r="H627" s="164">
        <f>SUM(J458)</f>
        <v>5447.41</v>
      </c>
      <c r="I627" s="165" t="s">
        <v>119</v>
      </c>
      <c r="J627" s="151">
        <f t="shared" si="50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443.71</v>
      </c>
      <c r="H628" s="164">
        <f>SUM(J462)</f>
        <v>443.71</v>
      </c>
      <c r="I628" s="165" t="s">
        <v>126</v>
      </c>
      <c r="J628" s="151">
        <f t="shared" si="50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50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83633.03</v>
      </c>
      <c r="H630" s="104">
        <f>SUM(G451)</f>
        <v>83633.03</v>
      </c>
      <c r="I630" s="140" t="s">
        <v>130</v>
      </c>
      <c r="J630" s="109">
        <f t="shared" si="50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83633.03</v>
      </c>
      <c r="H632" s="104">
        <f>SUM(I451)</f>
        <v>83633.03</v>
      </c>
      <c r="I632" s="140" t="s">
        <v>134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0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5447.41</v>
      </c>
      <c r="H634" s="104">
        <f>H400</f>
        <v>5447.41</v>
      </c>
      <c r="I634" s="140" t="s">
        <v>504</v>
      </c>
      <c r="J634" s="109">
        <f t="shared" si="50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0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5447.41</v>
      </c>
      <c r="H636" s="104">
        <f>L400</f>
        <v>5447.41</v>
      </c>
      <c r="I636" s="140" t="s">
        <v>501</v>
      </c>
      <c r="J636" s="109">
        <f t="shared" si="50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174096.12000000002</v>
      </c>
      <c r="H637" s="104">
        <f>L200+L218+L236</f>
        <v>174096.12</v>
      </c>
      <c r="I637" s="140" t="s">
        <v>420</v>
      </c>
      <c r="J637" s="109">
        <f t="shared" si="50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292462.42</v>
      </c>
      <c r="H638" s="104">
        <f>(J249+J330)-(J247+J328)</f>
        <v>292462.42</v>
      </c>
      <c r="I638" s="140" t="s">
        <v>734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25414.080000000002</v>
      </c>
      <c r="H639" s="104">
        <f>H588</f>
        <v>25414.080000000002</v>
      </c>
      <c r="I639" s="140" t="s">
        <v>412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148682.04</v>
      </c>
      <c r="H641" s="104">
        <f>J588</f>
        <v>148682.03999999998</v>
      </c>
      <c r="I641" s="140" t="s">
        <v>414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7290664.2799999993</v>
      </c>
      <c r="G650" s="19">
        <f>(L221+L301+L351)</f>
        <v>0</v>
      </c>
      <c r="H650" s="19">
        <f>(L239+L320+L352)</f>
        <v>11961530.610000001</v>
      </c>
      <c r="I650" s="19">
        <f>SUM(F650:H650)</f>
        <v>19252194.890000001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279587.29803542059</v>
      </c>
      <c r="G651" s="19">
        <f>(L351/IF(SUM(L350:L352)=0,1,SUM(L350:L352))*(SUM(G89:G102)))</f>
        <v>0</v>
      </c>
      <c r="H651" s="19">
        <f>(L352/IF(SUM(L350:L352)=0,1,SUM(L350:L352))*(SUM(G89:G102)))</f>
        <v>290070.70196457946</v>
      </c>
      <c r="I651" s="19">
        <f>SUM(F651:H651)</f>
        <v>569658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25414.080000000002</v>
      </c>
      <c r="G652" s="19">
        <f>(L218+L298)-(J218+J298)</f>
        <v>0</v>
      </c>
      <c r="H652" s="19">
        <f>(L236+L317)-(J236+J317)</f>
        <v>148682.04</v>
      </c>
      <c r="I652" s="19">
        <f>SUM(F652:H652)</f>
        <v>174096.12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125907.98</v>
      </c>
      <c r="G653" s="200">
        <f>SUM(G565:G577)+SUM(I592:I594)+L602</f>
        <v>0</v>
      </c>
      <c r="H653" s="200">
        <f>SUM(H565:H577)+SUM(J592:J594)+L603</f>
        <v>261722.18000000002</v>
      </c>
      <c r="I653" s="19">
        <f>SUM(F653:H653)</f>
        <v>387630.16000000003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6859754.9219645783</v>
      </c>
      <c r="G654" s="19">
        <f>G650-SUM(G651:G653)</f>
        <v>0</v>
      </c>
      <c r="H654" s="19">
        <f>H650-SUM(H651:H653)</f>
        <v>11261055.688035421</v>
      </c>
      <c r="I654" s="19">
        <f>I650-SUM(I651:I653)</f>
        <v>18120810.609999999</v>
      </c>
      <c r="J654" s="13"/>
      <c r="K654" s="13"/>
      <c r="L654" s="13"/>
      <c r="M654" s="8"/>
    </row>
    <row r="655" spans="1:13" s="3" customFormat="1" ht="12" customHeight="1" x14ac:dyDescent="0.15">
      <c r="A655" s="1" t="s">
        <v>144</v>
      </c>
      <c r="F655" s="18">
        <v>425.63</v>
      </c>
      <c r="G655" s="18"/>
      <c r="H655" s="18">
        <v>743.24</v>
      </c>
      <c r="I655" s="19">
        <f>SUM(F655:H655)</f>
        <v>1168.8699999999999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16116.71</v>
      </c>
      <c r="G657" s="19" t="e">
        <f>ROUND(G654/G655,2)</f>
        <v>#DIV/0!</v>
      </c>
      <c r="H657" s="19">
        <f>ROUND(H654/H655,2)</f>
        <v>15151.3</v>
      </c>
      <c r="I657" s="19">
        <f>ROUND(I654/I655,2)</f>
        <v>15502.85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-4.12</v>
      </c>
      <c r="I660" s="19">
        <f>SUM(F660:H660)</f>
        <v>-4.12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16116.71</v>
      </c>
      <c r="G662" s="19" t="e">
        <f>ROUND((G654+G659)/(G655+G660),2)</f>
        <v>#DIV/0!</v>
      </c>
      <c r="H662" s="19">
        <f>ROUND((H654+H659)/(H655+H660),2)</f>
        <v>15235.76</v>
      </c>
      <c r="I662" s="19">
        <f>ROUND((I654+I659)/(I655+I660),2)</f>
        <v>15557.68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/>
  <pageMargins left="0.3" right="0.3" top="0.75" bottom="0.75" header="0.5" footer="0.5"/>
  <pageSetup scale="75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9BD8-75AA-4055-A58E-0972ABF54ADE}">
  <sheetPr>
    <tabColor indexed="20"/>
  </sheetPr>
  <dimension ref="A1:C52"/>
  <sheetViews>
    <sheetView zoomScaleNormal="150" workbookViewId="0">
      <selection activeCell="B12" sqref="B12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816</v>
      </c>
      <c r="B1" s="233" t="str">
        <f>'DOE25'!A2</f>
        <v>Dresden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3" t="s">
        <v>815</v>
      </c>
      <c r="B3" s="273"/>
      <c r="C3" s="273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0" t="s">
        <v>813</v>
      </c>
      <c r="C7" s="271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6555148.2599999998</v>
      </c>
      <c r="C9" s="230">
        <f>'DOE25'!G189+'DOE25'!G207+'DOE25'!G225+'DOE25'!G268+'DOE25'!G287+'DOE25'!G306</f>
        <v>2553884.71</v>
      </c>
    </row>
    <row r="10" spans="1:3" x14ac:dyDescent="0.2">
      <c r="A10" t="s">
        <v>810</v>
      </c>
      <c r="B10" s="241">
        <v>6110272.3200000003</v>
      </c>
      <c r="C10" s="241">
        <f>B10/B13*C9</f>
        <v>2380561.1151782293</v>
      </c>
    </row>
    <row r="11" spans="1:3" x14ac:dyDescent="0.2">
      <c r="A11" t="s">
        <v>811</v>
      </c>
      <c r="B11" s="241">
        <v>326812.43</v>
      </c>
      <c r="C11" s="241">
        <f>B11/B13*C9</f>
        <v>127326.07027486901</v>
      </c>
    </row>
    <row r="12" spans="1:3" x14ac:dyDescent="0.2">
      <c r="A12" t="s">
        <v>812</v>
      </c>
      <c r="B12" s="241">
        <f>119899.49-1835.98</f>
        <v>118063.51000000001</v>
      </c>
      <c r="C12" s="241">
        <f>B12/B13*C9</f>
        <v>45997.52454690203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6555148.2599999998</v>
      </c>
      <c r="C13" s="232">
        <f>SUM(C10:C12)</f>
        <v>2553884.7100000004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0" t="s">
        <v>738</v>
      </c>
      <c r="C16" s="271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1826595.94</v>
      </c>
      <c r="C18" s="230">
        <f>'DOE25'!G190+'DOE25'!G208+'DOE25'!G226+'DOE25'!G269+'DOE25'!G288+'DOE25'!G307</f>
        <v>653688.61</v>
      </c>
    </row>
    <row r="19" spans="1:3" x14ac:dyDescent="0.2">
      <c r="A19" t="s">
        <v>810</v>
      </c>
      <c r="B19" s="241">
        <v>1168656.6599999999</v>
      </c>
      <c r="C19" s="241">
        <f>B19/B22*C18</f>
        <v>418230.17938091035</v>
      </c>
    </row>
    <row r="20" spans="1:3" x14ac:dyDescent="0.2">
      <c r="A20" t="s">
        <v>811</v>
      </c>
      <c r="B20" s="241">
        <v>657652.28</v>
      </c>
      <c r="C20" s="241">
        <f>B20/B22*C18</f>
        <v>235355.72118732007</v>
      </c>
    </row>
    <row r="21" spans="1:3" x14ac:dyDescent="0.2">
      <c r="A21" t="s">
        <v>812</v>
      </c>
      <c r="B21" s="241">
        <v>287</v>
      </c>
      <c r="C21" s="241">
        <f>B21/B22*C18</f>
        <v>102.70943176956804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1826595.94</v>
      </c>
      <c r="C22" s="232">
        <f>SUM(C19:C21)</f>
        <v>653688.61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0" t="s">
        <v>739</v>
      </c>
      <c r="C25" s="271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>
        <v>0</v>
      </c>
      <c r="C28" s="241"/>
    </row>
    <row r="29" spans="1:3" x14ac:dyDescent="0.2">
      <c r="A29" t="s">
        <v>811</v>
      </c>
      <c r="B29" s="241">
        <v>0</v>
      </c>
      <c r="C29" s="241"/>
    </row>
    <row r="30" spans="1:3" x14ac:dyDescent="0.2">
      <c r="A30" t="s">
        <v>812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0" t="s">
        <v>740</v>
      </c>
      <c r="C34" s="271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382198.45999999996</v>
      </c>
      <c r="C36" s="236">
        <f>'DOE25'!G192+'DOE25'!G210+'DOE25'!G228+'DOE25'!G271+'DOE25'!G290+'DOE25'!G309</f>
        <v>154821.71000000002</v>
      </c>
    </row>
    <row r="37" spans="1:3" x14ac:dyDescent="0.2">
      <c r="A37" t="s">
        <v>810</v>
      </c>
      <c r="B37" s="241">
        <v>202066.54</v>
      </c>
      <c r="C37" s="241">
        <f>B37/B40*C36</f>
        <v>81853.514680784967</v>
      </c>
    </row>
    <row r="38" spans="1:3" x14ac:dyDescent="0.2">
      <c r="A38" t="s">
        <v>811</v>
      </c>
      <c r="B38" s="241">
        <v>40840.639999999999</v>
      </c>
      <c r="C38" s="241">
        <f>B38/B40*C36</f>
        <v>16543.807430030985</v>
      </c>
    </row>
    <row r="39" spans="1:3" x14ac:dyDescent="0.2">
      <c r="A39" t="s">
        <v>812</v>
      </c>
      <c r="B39" s="241">
        <v>139291.28</v>
      </c>
      <c r="C39" s="241">
        <f>B39/B40*C36</f>
        <v>56424.387889184072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382198.45999999996</v>
      </c>
      <c r="C40" s="232">
        <f>SUM(C37:C39)</f>
        <v>154821.71000000002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3" t="s">
        <v>809</v>
      </c>
    </row>
    <row r="49" spans="1:1" x14ac:dyDescent="0.2">
      <c r="A49" s="267" t="s">
        <v>875</v>
      </c>
    </row>
    <row r="50" spans="1:1" x14ac:dyDescent="0.2">
      <c r="A50" s="267" t="s">
        <v>869</v>
      </c>
    </row>
    <row r="51" spans="1:1" x14ac:dyDescent="0.2">
      <c r="A51" s="267" t="s">
        <v>876</v>
      </c>
    </row>
    <row r="52" spans="1:1" x14ac:dyDescent="0.2">
      <c r="A52" s="268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BC70-BABC-4314-826D-C5F83ABF62A1}">
  <sheetPr>
    <tabColor indexed="11"/>
    <pageSetUpPr fitToPage="1"/>
  </sheetPr>
  <dimension ref="A1:I51"/>
  <sheetViews>
    <sheetView zoomScale="150" zoomScaleNormal="150" workbookViewId="0">
      <pane ySplit="4" topLeftCell="A22" activePane="bottomLeft" state="frozen"/>
      <selection pane="bottomLeft" activeCell="D10" sqref="D10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2" t="s">
        <v>821</v>
      </c>
      <c r="B1" s="277"/>
      <c r="C1" s="277"/>
      <c r="D1" s="277"/>
      <c r="E1" s="277"/>
      <c r="F1" s="277"/>
      <c r="G1" s="277"/>
      <c r="H1" s="277"/>
      <c r="I1" s="181"/>
    </row>
    <row r="2" spans="1:9" x14ac:dyDescent="0.2">
      <c r="A2" s="33" t="s">
        <v>748</v>
      </c>
      <c r="B2" s="264" t="str">
        <f>'DOE25'!A2</f>
        <v>Dresden School District</v>
      </c>
      <c r="C2" s="181"/>
      <c r="D2" s="181" t="s">
        <v>823</v>
      </c>
      <c r="E2" s="181" t="s">
        <v>825</v>
      </c>
      <c r="F2" s="274" t="s">
        <v>852</v>
      </c>
      <c r="G2" s="275"/>
      <c r="H2" s="276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0" t="s">
        <v>831</v>
      </c>
      <c r="B4" s="250" t="s">
        <v>847</v>
      </c>
      <c r="C4" s="250" t="s">
        <v>822</v>
      </c>
      <c r="D4" s="250" t="s">
        <v>848</v>
      </c>
      <c r="E4" s="250" t="s">
        <v>848</v>
      </c>
      <c r="F4" s="249" t="s">
        <v>828</v>
      </c>
      <c r="G4" s="250" t="s">
        <v>842</v>
      </c>
      <c r="H4" s="251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12711366.800000001</v>
      </c>
      <c r="D5" s="20">
        <f>SUM('DOE25'!L189:L192)+SUM('DOE25'!L207:L210)+SUM('DOE25'!L225:L228)-F5-G5</f>
        <v>12591098.15</v>
      </c>
      <c r="E5" s="244"/>
      <c r="F5" s="254">
        <f>SUM('DOE25'!J189:J192)+SUM('DOE25'!J207:J210)+SUM('DOE25'!J225:J228)</f>
        <v>118973.67</v>
      </c>
      <c r="G5" s="53">
        <f>SUM('DOE25'!K189:K192)+SUM('DOE25'!K207:K210)+SUM('DOE25'!K225:K228)</f>
        <v>1294.98</v>
      </c>
      <c r="H5" s="258"/>
    </row>
    <row r="6" spans="1:9" x14ac:dyDescent="0.2">
      <c r="A6" s="32">
        <v>2100</v>
      </c>
      <c r="B6" t="s">
        <v>832</v>
      </c>
      <c r="C6" s="246">
        <f t="shared" si="0"/>
        <v>1088692.5</v>
      </c>
      <c r="D6" s="20">
        <f>'DOE25'!L194+'DOE25'!L212+'DOE25'!L230-F6-G6</f>
        <v>1086122.5</v>
      </c>
      <c r="E6" s="244"/>
      <c r="F6" s="254">
        <f>'DOE25'!J194+'DOE25'!J212+'DOE25'!J230</f>
        <v>0</v>
      </c>
      <c r="G6" s="53">
        <f>'DOE25'!K194+'DOE25'!K212+'DOE25'!K230</f>
        <v>2570</v>
      </c>
      <c r="H6" s="258"/>
    </row>
    <row r="7" spans="1:9" x14ac:dyDescent="0.2">
      <c r="A7" s="32">
        <v>2200</v>
      </c>
      <c r="B7" t="s">
        <v>865</v>
      </c>
      <c r="C7" s="246">
        <f t="shared" si="0"/>
        <v>600246.93999999994</v>
      </c>
      <c r="D7" s="20">
        <f>'DOE25'!L195+'DOE25'!L213+'DOE25'!L231-F7-G7</f>
        <v>496690.27999999991</v>
      </c>
      <c r="E7" s="244"/>
      <c r="F7" s="254">
        <f>'DOE25'!J195+'DOE25'!J213+'DOE25'!J231</f>
        <v>102864.66</v>
      </c>
      <c r="G7" s="53">
        <f>'DOE25'!K195+'DOE25'!K213+'DOE25'!K231</f>
        <v>692</v>
      </c>
      <c r="H7" s="258"/>
    </row>
    <row r="8" spans="1:9" x14ac:dyDescent="0.2">
      <c r="A8" s="32">
        <v>2300</v>
      </c>
      <c r="B8" t="s">
        <v>833</v>
      </c>
      <c r="C8" s="246">
        <f t="shared" si="0"/>
        <v>510160.99999999994</v>
      </c>
      <c r="D8" s="244"/>
      <c r="E8" s="20">
        <f>'DOE25'!L196+'DOE25'!L214+'DOE25'!L232-F8-G8-D9-D11</f>
        <v>502109.05999999994</v>
      </c>
      <c r="F8" s="254">
        <f>'DOE25'!J196+'DOE25'!J214+'DOE25'!J232</f>
        <v>0</v>
      </c>
      <c r="G8" s="53">
        <f>'DOE25'!K196+'DOE25'!K214+'DOE25'!K232</f>
        <v>8051.9400000000005</v>
      </c>
      <c r="H8" s="258"/>
    </row>
    <row r="9" spans="1:9" x14ac:dyDescent="0.2">
      <c r="A9" s="32">
        <v>2310</v>
      </c>
      <c r="B9" t="s">
        <v>849</v>
      </c>
      <c r="C9" s="246">
        <f t="shared" si="0"/>
        <v>65435.41</v>
      </c>
      <c r="D9" s="245">
        <v>65435.41</v>
      </c>
      <c r="E9" s="244"/>
      <c r="F9" s="257"/>
      <c r="G9" s="255"/>
      <c r="H9" s="258"/>
    </row>
    <row r="10" spans="1:9" x14ac:dyDescent="0.2">
      <c r="A10" s="32">
        <v>2317</v>
      </c>
      <c r="B10" t="s">
        <v>850</v>
      </c>
      <c r="C10" s="246">
        <f t="shared" si="0"/>
        <v>12793.5</v>
      </c>
      <c r="D10" s="244"/>
      <c r="E10" s="245">
        <v>12793.5</v>
      </c>
      <c r="F10" s="257"/>
      <c r="G10" s="255"/>
      <c r="H10" s="258"/>
    </row>
    <row r="11" spans="1:9" x14ac:dyDescent="0.2">
      <c r="A11" s="32">
        <v>2321</v>
      </c>
      <c r="B11" t="s">
        <v>862</v>
      </c>
      <c r="C11" s="246">
        <f t="shared" si="0"/>
        <v>155551</v>
      </c>
      <c r="D11" s="245">
        <v>155551</v>
      </c>
      <c r="E11" s="244"/>
      <c r="F11" s="257"/>
      <c r="G11" s="255"/>
      <c r="H11" s="258"/>
    </row>
    <row r="12" spans="1:9" x14ac:dyDescent="0.2">
      <c r="A12" s="32">
        <v>2400</v>
      </c>
      <c r="B12" t="s">
        <v>746</v>
      </c>
      <c r="C12" s="246">
        <f t="shared" si="0"/>
        <v>1411302.65</v>
      </c>
      <c r="D12" s="20">
        <f>'DOE25'!L197+'DOE25'!L215+'DOE25'!L233-F12-G12</f>
        <v>1407347.66</v>
      </c>
      <c r="E12" s="244"/>
      <c r="F12" s="254">
        <f>'DOE25'!J197+'DOE25'!J215+'DOE25'!J233</f>
        <v>420.99</v>
      </c>
      <c r="G12" s="53">
        <f>'DOE25'!K197+'DOE25'!K215+'DOE25'!K233</f>
        <v>3534</v>
      </c>
      <c r="H12" s="258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4">
        <f>'DOE25'!J198+'DOE25'!J216+'DOE25'!J234</f>
        <v>0</v>
      </c>
      <c r="G13" s="53">
        <f>'DOE25'!K198+'DOE25'!K216+'DOE25'!K234</f>
        <v>0</v>
      </c>
      <c r="H13" s="258"/>
    </row>
    <row r="14" spans="1:9" x14ac:dyDescent="0.2">
      <c r="A14" s="32">
        <v>2600</v>
      </c>
      <c r="B14" t="s">
        <v>863</v>
      </c>
      <c r="C14" s="246">
        <f t="shared" si="0"/>
        <v>1597749.57</v>
      </c>
      <c r="D14" s="20">
        <f>'DOE25'!L199+'DOE25'!L217+'DOE25'!L235-F14-G14</f>
        <v>1592160.27</v>
      </c>
      <c r="E14" s="244"/>
      <c r="F14" s="254">
        <f>'DOE25'!J199+'DOE25'!J217+'DOE25'!J235</f>
        <v>5589.3</v>
      </c>
      <c r="G14" s="53">
        <f>'DOE25'!K199+'DOE25'!K217+'DOE25'!K235</f>
        <v>0</v>
      </c>
      <c r="H14" s="258"/>
    </row>
    <row r="15" spans="1:9" x14ac:dyDescent="0.2">
      <c r="A15" s="32">
        <v>2700</v>
      </c>
      <c r="B15" t="s">
        <v>835</v>
      </c>
      <c r="C15" s="246">
        <f t="shared" si="0"/>
        <v>174096.12</v>
      </c>
      <c r="D15" s="20">
        <f>'DOE25'!L200+'DOE25'!L218+'DOE25'!L236-F15-G15</f>
        <v>174096.12</v>
      </c>
      <c r="E15" s="244"/>
      <c r="F15" s="254">
        <f>'DOE25'!J200+'DOE25'!J218+'DOE25'!J236</f>
        <v>0</v>
      </c>
      <c r="G15" s="53">
        <f>'DOE25'!K200+'DOE25'!K218+'DOE25'!K236</f>
        <v>0</v>
      </c>
      <c r="H15" s="258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4">
        <f>'DOE25'!J201+'DOE25'!J219+'DOE25'!J237</f>
        <v>0</v>
      </c>
      <c r="G16" s="53">
        <f>'DOE25'!K201+'DOE25'!K219+'DOE25'!K237</f>
        <v>0</v>
      </c>
      <c r="H16" s="258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4">
        <f>'DOE25'!J243</f>
        <v>0</v>
      </c>
      <c r="G17" s="53">
        <f>'DOE25'!K243</f>
        <v>0</v>
      </c>
      <c r="H17" s="258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4">
        <f>'DOE25'!J244</f>
        <v>0</v>
      </c>
      <c r="G18" s="53">
        <f>'DOE25'!K244</f>
        <v>0</v>
      </c>
      <c r="H18" s="258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4">
        <f>'DOE25'!J245</f>
        <v>0</v>
      </c>
      <c r="G19" s="53">
        <f>'DOE25'!K245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827</v>
      </c>
      <c r="F21" s="259"/>
      <c r="G21" s="52"/>
      <c r="H21" s="260"/>
    </row>
    <row r="22" spans="1:8" x14ac:dyDescent="0.2">
      <c r="A22" s="32">
        <v>4000</v>
      </c>
      <c r="B22" t="s">
        <v>864</v>
      </c>
      <c r="C22" s="246">
        <f>SUM(D22:H22)</f>
        <v>19394.150000000001</v>
      </c>
      <c r="D22" s="244"/>
      <c r="E22" s="244"/>
      <c r="F22" s="254">
        <f>'DOE25'!L247+'DOE25'!L328</f>
        <v>19394.150000000001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487</v>
      </c>
      <c r="F24" s="259"/>
      <c r="G24" s="52"/>
      <c r="H24" s="260"/>
    </row>
    <row r="25" spans="1:8" x14ac:dyDescent="0.2">
      <c r="A25" s="32" t="s">
        <v>840</v>
      </c>
      <c r="B25" t="s">
        <v>841</v>
      </c>
      <c r="C25" s="246">
        <f>SUM(D25:H25)</f>
        <v>3529171.28</v>
      </c>
      <c r="D25" s="244"/>
      <c r="E25" s="244"/>
      <c r="F25" s="257"/>
      <c r="G25" s="255"/>
      <c r="H25" s="256">
        <f>'DOE25'!L252+'DOE25'!L253+'DOE25'!L333+'DOE25'!L334</f>
        <v>3529171.28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843</v>
      </c>
      <c r="F27" s="259"/>
      <c r="G27" s="52"/>
      <c r="H27" s="260"/>
    </row>
    <row r="28" spans="1:8" x14ac:dyDescent="0.2">
      <c r="A28" s="32">
        <v>3100</v>
      </c>
      <c r="B28" t="s">
        <v>856</v>
      </c>
      <c r="F28" s="259"/>
      <c r="G28" s="52"/>
      <c r="H28" s="260"/>
    </row>
    <row r="29" spans="1:8" x14ac:dyDescent="0.2">
      <c r="A29" s="32"/>
      <c r="B29" t="s">
        <v>844</v>
      </c>
      <c r="C29" s="246">
        <f>SUM(D29:H29)</f>
        <v>398121.15999999992</v>
      </c>
      <c r="D29" s="20">
        <f>'DOE25'!L350+'DOE25'!L351+'DOE25'!L352-'DOE25'!I359-F29-G29</f>
        <v>397085.16999999993</v>
      </c>
      <c r="E29" s="244"/>
      <c r="F29" s="254">
        <f>'DOE25'!J350+'DOE25'!J351+'DOE25'!J352</f>
        <v>1035.99</v>
      </c>
      <c r="G29" s="53">
        <f>'DOE25'!K350+'DOE25'!K351+'DOE25'!K352</f>
        <v>0</v>
      </c>
      <c r="H29" s="258"/>
    </row>
    <row r="30" spans="1:8" x14ac:dyDescent="0.2">
      <c r="A30" s="32"/>
      <c r="D30" s="20"/>
      <c r="E30" s="244"/>
      <c r="F30" s="254"/>
      <c r="G30" s="53"/>
      <c r="H30" s="258"/>
    </row>
    <row r="31" spans="1:8" x14ac:dyDescent="0.2">
      <c r="A31" s="32" t="s">
        <v>858</v>
      </c>
      <c r="B31" t="s">
        <v>857</v>
      </c>
      <c r="C31" s="246">
        <f>SUM(D31:H31)</f>
        <v>390190.75</v>
      </c>
      <c r="D31" s="20">
        <f>'DOE25'!L282+'DOE25'!L301+'DOE25'!L320+'DOE25'!L325+'DOE25'!L326+'DOE25'!L327-F31-G31</f>
        <v>325576.95</v>
      </c>
      <c r="E31" s="244"/>
      <c r="F31" s="254">
        <f>'DOE25'!J282+'DOE25'!J301+'DOE25'!J320+'DOE25'!J325+'DOE25'!J326+'DOE25'!J327</f>
        <v>64613.8</v>
      </c>
      <c r="G31" s="53">
        <f>'DOE25'!K282+'DOE25'!K301+'DOE25'!K320+'DOE25'!K325+'DOE25'!K326+'DOE25'!K327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845</v>
      </c>
      <c r="D33" s="247">
        <f>SUM(D5:D31)</f>
        <v>18291163.510000002</v>
      </c>
      <c r="E33" s="247">
        <f>SUM(E5:E31)</f>
        <v>514902.55999999994</v>
      </c>
      <c r="F33" s="247">
        <f>SUM(F5:F31)</f>
        <v>312892.56</v>
      </c>
      <c r="G33" s="247">
        <f>SUM(G5:G31)</f>
        <v>16142.92</v>
      </c>
      <c r="H33" s="247">
        <f>SUM(H5:H31)</f>
        <v>3529171.28</v>
      </c>
    </row>
    <row r="35" spans="2:8" ht="12" thickBot="1" x14ac:dyDescent="0.25">
      <c r="B35" s="252" t="s">
        <v>878</v>
      </c>
      <c r="D35" s="253">
        <f>E33</f>
        <v>514902.55999999994</v>
      </c>
      <c r="E35" s="248"/>
    </row>
    <row r="36" spans="2:8" ht="12" thickTop="1" x14ac:dyDescent="0.2">
      <c r="B36" t="s">
        <v>846</v>
      </c>
      <c r="D36" s="20">
        <f>D33</f>
        <v>18291163.510000002</v>
      </c>
    </row>
    <row r="38" spans="2:8" x14ac:dyDescent="0.2">
      <c r="B38" s="187" t="s">
        <v>887</v>
      </c>
      <c r="C38" s="265"/>
      <c r="D38" s="266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3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0606-4AF8-4A7B-9033-F06BA832DF85}">
  <sheetPr transitionEvaluation="1" codeName="Sheet2">
    <tabColor indexed="10"/>
    <pageSetUpPr fitToPage="1"/>
  </sheetPr>
  <dimension ref="A1:I156"/>
  <sheetViews>
    <sheetView showGridLines="0" zoomScale="150" zoomScaleNormal="150" workbookViewId="0">
      <pane ySplit="2" topLeftCell="A17" activePane="bottomLeft" state="frozen"/>
      <selection pane="bottomLeft" activeCell="A60" sqref="A60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509238.85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56606.12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27026.91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4331.07</v>
      </c>
      <c r="D13" s="95">
        <f>'DOE25'!G13</f>
        <v>262.88</v>
      </c>
      <c r="E13" s="95">
        <f>'DOE25'!H13</f>
        <v>115943.11</v>
      </c>
      <c r="F13" s="95">
        <f>'DOE25'!I13</f>
        <v>10610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34689.620000000003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41450.57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589710.11</v>
      </c>
      <c r="D19" s="41">
        <f>SUM(D9:D18)</f>
        <v>262.88</v>
      </c>
      <c r="E19" s="41">
        <f>SUM(E9:E18)</f>
        <v>115943.11</v>
      </c>
      <c r="F19" s="41">
        <f>SUM(F9:F18)</f>
        <v>10610</v>
      </c>
      <c r="G19" s="41">
        <f>SUM(G9:G18)</f>
        <v>83633.03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-109217.97</v>
      </c>
      <c r="D22" s="95">
        <f>'DOE25'!G23</f>
        <v>-45075.74</v>
      </c>
      <c r="E22" s="95">
        <f>'DOE25'!H23</f>
        <v>112146.77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17433</v>
      </c>
      <c r="D23" s="95">
        <f>'DOE25'!G24</f>
        <v>9658.92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135911.34</v>
      </c>
      <c r="D24" s="95">
        <f>'DOE25'!G25</f>
        <v>0</v>
      </c>
      <c r="E24" s="95">
        <f>'DOE25'!H25</f>
        <v>5496.29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-2722.44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10236.86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49730.99</v>
      </c>
      <c r="D31" s="95">
        <f>'DOE25'!G32</f>
        <v>0</v>
      </c>
      <c r="E31" s="95">
        <f>'DOE25'!H32</f>
        <v>8.34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91134.919999999984</v>
      </c>
      <c r="D32" s="41">
        <f>SUM(D22:D31)</f>
        <v>-25179.96</v>
      </c>
      <c r="E32" s="41">
        <f>SUM(E22:E31)</f>
        <v>117651.4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25442.84</v>
      </c>
      <c r="E40" s="95">
        <f>'DOE25'!H41</f>
        <v>-1708.29</v>
      </c>
      <c r="F40" s="95">
        <f>'DOE25'!I41</f>
        <v>10610</v>
      </c>
      <c r="G40" s="95">
        <f>'DOE25'!J41</f>
        <v>83633.03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498525.19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498575.19</v>
      </c>
      <c r="D42" s="41">
        <f>SUM(D34:D41)</f>
        <v>25442.84</v>
      </c>
      <c r="E42" s="41">
        <f>SUM(E34:E41)</f>
        <v>-1708.29</v>
      </c>
      <c r="F42" s="41">
        <f>SUM(F34:F41)</f>
        <v>10610</v>
      </c>
      <c r="G42" s="41">
        <f>SUM(G34:G41)</f>
        <v>83633.03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589710.11</v>
      </c>
      <c r="D43" s="41">
        <f>D42+D32</f>
        <v>262.88000000000102</v>
      </c>
      <c r="E43" s="41">
        <f>E42+E32</f>
        <v>115943.11</v>
      </c>
      <c r="F43" s="41">
        <f>F42+F32</f>
        <v>10610</v>
      </c>
      <c r="G43" s="41">
        <f>G42+G32</f>
        <v>83633.03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14183753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3905117.46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9250.61</v>
      </c>
      <c r="D51" s="95">
        <f>'DOE25'!G88</f>
        <v>-194</v>
      </c>
      <c r="E51" s="95">
        <f>'DOE25'!H88</f>
        <v>0</v>
      </c>
      <c r="F51" s="95">
        <f>'DOE25'!I88</f>
        <v>0</v>
      </c>
      <c r="G51" s="95">
        <f>'DOE25'!J88</f>
        <v>5447.41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562148.23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282136.27999999997</v>
      </c>
      <c r="D53" s="95">
        <f>SUM('DOE25'!G90:G102)</f>
        <v>7509.7699999999995</v>
      </c>
      <c r="E53" s="95">
        <f>SUM('DOE25'!H90:H102)</f>
        <v>32553.61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4196504.3499999996</v>
      </c>
      <c r="D54" s="130">
        <f>SUM(D49:D53)</f>
        <v>569464</v>
      </c>
      <c r="E54" s="130">
        <f>SUM(E49:E53)</f>
        <v>32553.61</v>
      </c>
      <c r="F54" s="130">
        <f>SUM(F49:F53)</f>
        <v>0</v>
      </c>
      <c r="G54" s="130">
        <f>SUM(G49:G53)</f>
        <v>5447.41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18380257.350000001</v>
      </c>
      <c r="D55" s="22">
        <f>D48+D54</f>
        <v>569464</v>
      </c>
      <c r="E55" s="22">
        <f>E48+E54</f>
        <v>32553.61</v>
      </c>
      <c r="F55" s="22">
        <f>F48+F54</f>
        <v>0</v>
      </c>
      <c r="G55" s="22">
        <f>G48+G54</f>
        <v>5447.41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2328274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2328274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598904.79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15571.31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18519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614476.10000000009</v>
      </c>
      <c r="D70" s="130">
        <f>SUM(D64:D69)</f>
        <v>0</v>
      </c>
      <c r="E70" s="130">
        <f>SUM(E64:E69)</f>
        <v>18519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2942750.1</v>
      </c>
      <c r="D73" s="130">
        <f>SUM(D71:D72)+D70+D62</f>
        <v>0</v>
      </c>
      <c r="E73" s="130">
        <f>SUM(E71:E72)+E70+E62</f>
        <v>18519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1549.22</v>
      </c>
      <c r="E80" s="95">
        <f>SUM('DOE25'!H145:H153)</f>
        <v>343239.75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2891.21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2891.21</v>
      </c>
      <c r="D83" s="131">
        <f>SUM(D77:D82)</f>
        <v>1549.22</v>
      </c>
      <c r="E83" s="131">
        <f>SUM(E77:E82)</f>
        <v>343239.75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12289.52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444410.46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456699.98000000004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21782598.640000004</v>
      </c>
      <c r="D96" s="86">
        <f>D55+D73+D83+D95</f>
        <v>571013.22</v>
      </c>
      <c r="E96" s="86">
        <f>E55+E73+E83+E95</f>
        <v>394312.36</v>
      </c>
      <c r="F96" s="86">
        <f>F55+F73+F83+F95</f>
        <v>0</v>
      </c>
      <c r="G96" s="86">
        <f>G55+G73+G95</f>
        <v>5447.41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9539575.8000000007</v>
      </c>
      <c r="D101" s="24" t="s">
        <v>312</v>
      </c>
      <c r="E101" s="95">
        <f>('DOE25'!L268)+('DOE25'!L287)+('DOE25'!L306)</f>
        <v>29980.1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2422925.1799999997</v>
      </c>
      <c r="D102" s="24" t="s">
        <v>312</v>
      </c>
      <c r="E102" s="95">
        <f>('DOE25'!L269)+('DOE25'!L288)+('DOE25'!L307)</f>
        <v>327981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32519.39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716346.43</v>
      </c>
      <c r="D104" s="24" t="s">
        <v>312</v>
      </c>
      <c r="E104" s="95">
        <f>+('DOE25'!L271)+('DOE25'!L290)+('DOE25'!L309)</f>
        <v>32229.65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12711366.800000001</v>
      </c>
      <c r="D107" s="86">
        <f>SUM(D101:D106)</f>
        <v>0</v>
      </c>
      <c r="E107" s="86">
        <f>SUM(E101:E106)</f>
        <v>390190.75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1088692.5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600246.93999999994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731147.40999999992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1411302.65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1597749.57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174096.12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547402.14999999991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5603235.1899999995</v>
      </c>
      <c r="D120" s="86">
        <f>SUM(D110:D119)</f>
        <v>547402.14999999991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8675.2099999999991</v>
      </c>
      <c r="D122" s="24" t="s">
        <v>312</v>
      </c>
      <c r="E122" s="129">
        <f>'DOE25'!L328</f>
        <v>10718.94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2576078.46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953092.82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12289.52</v>
      </c>
      <c r="F126" s="95">
        <f>'DOE25'!K373</f>
        <v>444410.46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5447.41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-5447.41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3537846.4899999998</v>
      </c>
      <c r="D136" s="141">
        <f>SUM(D122:D135)</f>
        <v>0</v>
      </c>
      <c r="E136" s="141">
        <f>SUM(E122:E135)</f>
        <v>23008.46</v>
      </c>
      <c r="F136" s="141">
        <f>SUM(F122:F135)</f>
        <v>444410.46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21852448.48</v>
      </c>
      <c r="D137" s="86">
        <f>(D107+D120+D136)</f>
        <v>547402.14999999991</v>
      </c>
      <c r="E137" s="86">
        <f>(E107+E120+E136)</f>
        <v>413199.21</v>
      </c>
      <c r="F137" s="86">
        <f>(F107+F120+F136)</f>
        <v>444410.46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1/15/07</v>
      </c>
      <c r="C144" s="152" t="str">
        <f>'DOE25'!G481</f>
        <v>12/22/04</v>
      </c>
      <c r="D144" s="152" t="str">
        <f>'DOE25'!H481</f>
        <v>8/15/03</v>
      </c>
      <c r="E144" s="152" t="str">
        <f>'DOE25'!I481</f>
        <v>8/15/01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1/15/07</v>
      </c>
      <c r="C145" s="152" t="str">
        <f>'DOE25'!G482</f>
        <v>1/15/25</v>
      </c>
      <c r="D145" s="152" t="str">
        <f>'DOE25'!H482</f>
        <v>8/15/03</v>
      </c>
      <c r="E145" s="152" t="str">
        <f>'DOE25'!I482</f>
        <v>8/15/01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2526000</v>
      </c>
      <c r="C146" s="137">
        <f>'DOE25'!G483</f>
        <v>4000000</v>
      </c>
      <c r="D146" s="137">
        <f>'DOE25'!H483</f>
        <v>38460936</v>
      </c>
      <c r="E146" s="137">
        <f>'DOE25'!I483</f>
        <v>1100000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4.08</v>
      </c>
      <c r="C147" s="137">
        <f>'DOE25'!G484</f>
        <v>4.47</v>
      </c>
      <c r="D147" s="137">
        <f>'DOE25'!H484</f>
        <v>4.62</v>
      </c>
      <c r="E147" s="137">
        <f>'DOE25'!I484</f>
        <v>4.71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2001176</v>
      </c>
      <c r="C148" s="137">
        <f>'DOE25'!G485</f>
        <v>2647288</v>
      </c>
      <c r="D148" s="137">
        <f>'DOE25'!H485</f>
        <v>22258864</v>
      </c>
      <c r="E148" s="137">
        <f>'DOE25'!I485</f>
        <v>660000</v>
      </c>
      <c r="F148" s="137">
        <f>'DOE25'!J485</f>
        <v>0</v>
      </c>
      <c r="G148" s="138">
        <f>SUM(B148:F148)</f>
        <v>27567328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161403</v>
      </c>
      <c r="C150" s="137">
        <f>'DOE25'!G487</f>
        <v>237216</v>
      </c>
      <c r="D150" s="137">
        <f>'DOE25'!H487</f>
        <v>2122460</v>
      </c>
      <c r="E150" s="137">
        <f>'DOE25'!I487</f>
        <v>55000</v>
      </c>
      <c r="F150" s="137">
        <f>'DOE25'!J487</f>
        <v>0</v>
      </c>
      <c r="G150" s="138">
        <f t="shared" si="0"/>
        <v>2576079</v>
      </c>
    </row>
    <row r="151" spans="1:7" x14ac:dyDescent="0.2">
      <c r="A151" s="22" t="s">
        <v>35</v>
      </c>
      <c r="B151" s="137">
        <f>'DOE25'!F488</f>
        <v>1839773</v>
      </c>
      <c r="C151" s="137">
        <f>'DOE25'!G488</f>
        <v>2410072</v>
      </c>
      <c r="D151" s="137">
        <f>'DOE25'!H488</f>
        <v>20136404</v>
      </c>
      <c r="E151" s="137">
        <f>'DOE25'!I488</f>
        <v>605000</v>
      </c>
      <c r="F151" s="137">
        <f>'DOE25'!J488</f>
        <v>0</v>
      </c>
      <c r="G151" s="138">
        <f t="shared" si="0"/>
        <v>24991249</v>
      </c>
    </row>
    <row r="152" spans="1:7" x14ac:dyDescent="0.2">
      <c r="A152" s="22" t="s">
        <v>36</v>
      </c>
      <c r="B152" s="137">
        <f>'DOE25'!F489</f>
        <v>1234458</v>
      </c>
      <c r="C152" s="137">
        <f>'DOE25'!G489</f>
        <v>1891978</v>
      </c>
      <c r="D152" s="137">
        <f>'DOE25'!H489</f>
        <v>17757895</v>
      </c>
      <c r="E152" s="137">
        <f>'DOE25'!I489</f>
        <v>162972</v>
      </c>
      <c r="F152" s="137">
        <f>'DOE25'!J489</f>
        <v>0</v>
      </c>
      <c r="G152" s="138">
        <f t="shared" si="0"/>
        <v>21047303</v>
      </c>
    </row>
    <row r="153" spans="1:7" x14ac:dyDescent="0.2">
      <c r="A153" s="22" t="s">
        <v>37</v>
      </c>
      <c r="B153" s="137">
        <f>'DOE25'!F490</f>
        <v>3074231</v>
      </c>
      <c r="C153" s="137">
        <f>'DOE25'!G490</f>
        <v>4302050</v>
      </c>
      <c r="D153" s="137">
        <f>'DOE25'!H490</f>
        <v>37894299</v>
      </c>
      <c r="E153" s="137">
        <f>'DOE25'!I490</f>
        <v>767972</v>
      </c>
      <c r="F153" s="137">
        <f>'DOE25'!J490</f>
        <v>0</v>
      </c>
      <c r="G153" s="138">
        <f t="shared" si="0"/>
        <v>46038552</v>
      </c>
    </row>
    <row r="154" spans="1:7" x14ac:dyDescent="0.2">
      <c r="A154" s="22" t="s">
        <v>38</v>
      </c>
      <c r="B154" s="137">
        <f>'DOE25'!F491</f>
        <v>155411</v>
      </c>
      <c r="C154" s="137">
        <f>'DOE25'!G491</f>
        <v>225922</v>
      </c>
      <c r="D154" s="137">
        <f>'DOE25'!H491</f>
        <v>2023511</v>
      </c>
      <c r="E154" s="137">
        <f>'DOE25'!I491</f>
        <v>55000</v>
      </c>
      <c r="F154" s="137">
        <f>'DOE25'!J491</f>
        <v>0</v>
      </c>
      <c r="G154" s="138">
        <f t="shared" si="0"/>
        <v>2459844</v>
      </c>
    </row>
    <row r="155" spans="1:7" x14ac:dyDescent="0.2">
      <c r="A155" s="22" t="s">
        <v>39</v>
      </c>
      <c r="B155" s="137">
        <f>'DOE25'!F492</f>
        <v>36345</v>
      </c>
      <c r="C155" s="137">
        <f>'DOE25'!G492</f>
        <v>80809</v>
      </c>
      <c r="D155" s="137">
        <f>'DOE25'!H492</f>
        <v>876068</v>
      </c>
      <c r="E155" s="137">
        <f>'DOE25'!I492</f>
        <v>27734</v>
      </c>
      <c r="F155" s="137">
        <f>'DOE25'!J492</f>
        <v>0</v>
      </c>
      <c r="G155" s="138">
        <f t="shared" si="0"/>
        <v>1020956</v>
      </c>
    </row>
    <row r="156" spans="1:7" x14ac:dyDescent="0.2">
      <c r="A156" s="22" t="s">
        <v>269</v>
      </c>
      <c r="B156" s="137">
        <f>'DOE25'!F493</f>
        <v>191756</v>
      </c>
      <c r="C156" s="137">
        <f>'DOE25'!G493</f>
        <v>306731</v>
      </c>
      <c r="D156" s="137">
        <f>'DOE25'!H493</f>
        <v>2899579</v>
      </c>
      <c r="E156" s="137">
        <f>'DOE25'!I493</f>
        <v>82734</v>
      </c>
      <c r="F156" s="137">
        <f>'DOE25'!J493</f>
        <v>0</v>
      </c>
      <c r="G156" s="138">
        <f t="shared" si="0"/>
        <v>3480800</v>
      </c>
    </row>
  </sheetData>
  <sheetProtection password="B30A" sheet="1" objects="1" scenarios="1"/>
  <phoneticPr fontId="0" type="noConversion"/>
  <printOptions gridLinesSet="0"/>
  <pageMargins left="0.75" right="0.75" top="1" bottom="1" header="0.5" footer="0.5"/>
  <pageSetup scale="84" fitToHeight="5" orientation="landscape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1E99-9B80-40BF-B947-63859C4C2EAE}">
  <sheetPr codeName="Sheet3">
    <tabColor indexed="43"/>
    <pageSetUpPr fitToPage="1"/>
  </sheetPr>
  <dimension ref="A1:D42"/>
  <sheetViews>
    <sheetView showGridLines="0" zoomScale="150" zoomScaleNormal="150" workbookViewId="0">
      <selection activeCell="C4" sqref="C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771</v>
      </c>
      <c r="B1" s="278"/>
      <c r="C1" s="278"/>
      <c r="D1" s="278"/>
    </row>
    <row r="2" spans="1:4" x14ac:dyDescent="0.2">
      <c r="A2" s="187" t="s">
        <v>748</v>
      </c>
      <c r="B2" s="186" t="str">
        <f>'DOE25'!A2</f>
        <v>Dresden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16117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15236</v>
      </c>
    </row>
    <row r="7" spans="1:4" x14ac:dyDescent="0.2">
      <c r="B7" t="s">
        <v>736</v>
      </c>
      <c r="C7" s="179">
        <f>IF('DOE25'!I655+'DOE25'!I660=0,0,ROUND('DOE25'!I662,0))</f>
        <v>15558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9569556</v>
      </c>
      <c r="D10" s="182">
        <f>ROUND((C10/$C$28)*100,1)</f>
        <v>48.7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2750906</v>
      </c>
      <c r="D11" s="182">
        <f>ROUND((C11/$C$28)*100,1)</f>
        <v>14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32519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748576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1088693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600247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731147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1411303</v>
      </c>
      <c r="D18" s="182">
        <f t="shared" si="0"/>
        <v>7.2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1597750</v>
      </c>
      <c r="D20" s="182">
        <f t="shared" si="0"/>
        <v>8.1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174096</v>
      </c>
      <c r="D21" s="182">
        <f t="shared" si="0"/>
        <v>0.9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953093</v>
      </c>
      <c r="D25" s="182">
        <f t="shared" si="0"/>
        <v>4.9000000000000004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-22256</v>
      </c>
      <c r="D27" s="182">
        <f t="shared" si="0"/>
        <v>-0.1</v>
      </c>
    </row>
    <row r="28" spans="1:4" x14ac:dyDescent="0.2">
      <c r="B28" s="187" t="s">
        <v>754</v>
      </c>
      <c r="C28" s="180">
        <f>SUM(C10:C27)</f>
        <v>19635630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19394</v>
      </c>
    </row>
    <row r="30" spans="1:4" x14ac:dyDescent="0.2">
      <c r="B30" s="187" t="s">
        <v>760</v>
      </c>
      <c r="C30" s="180">
        <f>SUM(C28:C29)</f>
        <v>19655024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2576078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14183753</v>
      </c>
      <c r="D35" s="182">
        <f t="shared" ref="D35:D40" si="1">ROUND((C35/$C$41)*100,1)</f>
        <v>65.3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4234311.370000001</v>
      </c>
      <c r="D36" s="182">
        <f t="shared" si="1"/>
        <v>19.5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2328274</v>
      </c>
      <c r="D37" s="182">
        <f t="shared" si="1"/>
        <v>10.7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632995</v>
      </c>
      <c r="D38" s="182">
        <f t="shared" si="1"/>
        <v>2.9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347680</v>
      </c>
      <c r="D39" s="182">
        <f t="shared" si="1"/>
        <v>1.6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21727013.370000001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CEE5-266D-4C29-B18F-27C7E2F42086}">
  <sheetPr>
    <tabColor indexed="17"/>
    <pageSetUpPr fitToPage="1"/>
  </sheetPr>
  <dimension ref="A1:IV90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801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85" t="s">
        <v>798</v>
      </c>
      <c r="B2" s="286"/>
      <c r="C2" s="286"/>
      <c r="D2" s="286"/>
      <c r="E2" s="286"/>
      <c r="F2" s="291" t="str">
        <f>'DOE25'!A2</f>
        <v>Dresden School District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9" t="s">
        <v>802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8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8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8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8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8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8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8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8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8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8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8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8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8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8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8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8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8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8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8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8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80"/>
      <c r="N29" s="212"/>
      <c r="O29" s="21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8"/>
      <c r="AB29" s="208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8"/>
      <c r="AO29" s="208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8"/>
      <c r="BB29" s="208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8"/>
      <c r="BO29" s="208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8"/>
      <c r="CB29" s="208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8"/>
      <c r="CO29" s="208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8"/>
      <c r="DB29" s="208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8"/>
      <c r="DO29" s="208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8"/>
      <c r="EB29" s="208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8"/>
      <c r="EO29" s="208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8"/>
      <c r="FB29" s="208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8"/>
      <c r="FO29" s="208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8"/>
      <c r="GB29" s="208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8"/>
      <c r="GO29" s="208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8"/>
      <c r="HB29" s="208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8"/>
      <c r="HO29" s="208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8"/>
      <c r="IB29" s="208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8"/>
      <c r="IO29" s="208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9"/>
      <c r="B30" s="220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80"/>
      <c r="N30" s="212"/>
      <c r="O30" s="21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8"/>
      <c r="AB30" s="208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8"/>
      <c r="AO30" s="208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8"/>
      <c r="BB30" s="208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8"/>
      <c r="BO30" s="208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8"/>
      <c r="CB30" s="208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8"/>
      <c r="CO30" s="208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8"/>
      <c r="DB30" s="208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8"/>
      <c r="DO30" s="208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8"/>
      <c r="EB30" s="208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8"/>
      <c r="EO30" s="208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8"/>
      <c r="FB30" s="208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8"/>
      <c r="FO30" s="208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8"/>
      <c r="GB30" s="208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8"/>
      <c r="GO30" s="208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8"/>
      <c r="HB30" s="208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8"/>
      <c r="HO30" s="208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8"/>
      <c r="IB30" s="208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8"/>
      <c r="IO30" s="208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9"/>
      <c r="B31" s="220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80"/>
      <c r="N31" s="212"/>
      <c r="O31" s="21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8"/>
      <c r="AB31" s="208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8"/>
      <c r="AO31" s="208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8"/>
      <c r="BB31" s="208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8"/>
      <c r="BO31" s="208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8"/>
      <c r="CB31" s="208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8"/>
      <c r="CO31" s="208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8"/>
      <c r="DB31" s="208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8"/>
      <c r="DO31" s="208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8"/>
      <c r="EB31" s="208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8"/>
      <c r="EO31" s="208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8"/>
      <c r="FB31" s="208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8"/>
      <c r="FO31" s="208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8"/>
      <c r="GB31" s="208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8"/>
      <c r="GO31" s="208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8"/>
      <c r="HB31" s="208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8"/>
      <c r="HO31" s="208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8"/>
      <c r="IB31" s="208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8"/>
      <c r="IO31" s="208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9"/>
      <c r="B32" s="220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80"/>
      <c r="N32" s="224"/>
      <c r="O32" s="224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4"/>
      <c r="AA32" s="219"/>
      <c r="AB32" s="220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80"/>
      <c r="AN32" s="219"/>
      <c r="AO32" s="220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80"/>
      <c r="BA32" s="219"/>
      <c r="BB32" s="220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80"/>
      <c r="BN32" s="219"/>
      <c r="BO32" s="220"/>
      <c r="BP32" s="279"/>
      <c r="BQ32" s="279"/>
      <c r="BR32" s="279"/>
      <c r="BS32" s="279"/>
      <c r="BT32" s="279"/>
      <c r="BU32" s="279"/>
      <c r="BV32" s="279"/>
      <c r="BW32" s="279"/>
      <c r="BX32" s="279"/>
      <c r="BY32" s="279"/>
      <c r="BZ32" s="280"/>
      <c r="CA32" s="219"/>
      <c r="CB32" s="220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80"/>
      <c r="CN32" s="219"/>
      <c r="CO32" s="220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80"/>
      <c r="DA32" s="219"/>
      <c r="DB32" s="220"/>
      <c r="DC32" s="279"/>
      <c r="DD32" s="279"/>
      <c r="DE32" s="279"/>
      <c r="DF32" s="279"/>
      <c r="DG32" s="279"/>
      <c r="DH32" s="279"/>
      <c r="DI32" s="279"/>
      <c r="DJ32" s="279"/>
      <c r="DK32" s="279"/>
      <c r="DL32" s="279"/>
      <c r="DM32" s="280"/>
      <c r="DN32" s="219"/>
      <c r="DO32" s="220"/>
      <c r="DP32" s="279"/>
      <c r="DQ32" s="279"/>
      <c r="DR32" s="279"/>
      <c r="DS32" s="279"/>
      <c r="DT32" s="279"/>
      <c r="DU32" s="279"/>
      <c r="DV32" s="279"/>
      <c r="DW32" s="279"/>
      <c r="DX32" s="279"/>
      <c r="DY32" s="279"/>
      <c r="DZ32" s="280"/>
      <c r="EA32" s="219"/>
      <c r="EB32" s="220"/>
      <c r="EC32" s="279"/>
      <c r="ED32" s="279"/>
      <c r="EE32" s="279"/>
      <c r="EF32" s="279"/>
      <c r="EG32" s="279"/>
      <c r="EH32" s="279"/>
      <c r="EI32" s="279"/>
      <c r="EJ32" s="279"/>
      <c r="EK32" s="279"/>
      <c r="EL32" s="279"/>
      <c r="EM32" s="280"/>
      <c r="EN32" s="219"/>
      <c r="EO32" s="220"/>
      <c r="EP32" s="279"/>
      <c r="EQ32" s="279"/>
      <c r="ER32" s="279"/>
      <c r="ES32" s="279"/>
      <c r="ET32" s="279"/>
      <c r="EU32" s="279"/>
      <c r="EV32" s="279"/>
      <c r="EW32" s="279"/>
      <c r="EX32" s="279"/>
      <c r="EY32" s="279"/>
      <c r="EZ32" s="280"/>
      <c r="FA32" s="219"/>
      <c r="FB32" s="220"/>
      <c r="FC32" s="279"/>
      <c r="FD32" s="279"/>
      <c r="FE32" s="279"/>
      <c r="FF32" s="279"/>
      <c r="FG32" s="279"/>
      <c r="FH32" s="279"/>
      <c r="FI32" s="279"/>
      <c r="FJ32" s="279"/>
      <c r="FK32" s="279"/>
      <c r="FL32" s="279"/>
      <c r="FM32" s="280"/>
      <c r="FN32" s="219"/>
      <c r="FO32" s="220"/>
      <c r="FP32" s="279"/>
      <c r="FQ32" s="279"/>
      <c r="FR32" s="279"/>
      <c r="FS32" s="279"/>
      <c r="FT32" s="279"/>
      <c r="FU32" s="279"/>
      <c r="FV32" s="279"/>
      <c r="FW32" s="279"/>
      <c r="FX32" s="279"/>
      <c r="FY32" s="279"/>
      <c r="FZ32" s="280"/>
      <c r="GA32" s="219"/>
      <c r="GB32" s="220"/>
      <c r="GC32" s="279"/>
      <c r="GD32" s="279"/>
      <c r="GE32" s="279"/>
      <c r="GF32" s="279"/>
      <c r="GG32" s="279"/>
      <c r="GH32" s="279"/>
      <c r="GI32" s="279"/>
      <c r="GJ32" s="279"/>
      <c r="GK32" s="279"/>
      <c r="GL32" s="279"/>
      <c r="GM32" s="280"/>
      <c r="GN32" s="219"/>
      <c r="GO32" s="220"/>
      <c r="GP32" s="279"/>
      <c r="GQ32" s="279"/>
      <c r="GR32" s="279"/>
      <c r="GS32" s="279"/>
      <c r="GT32" s="279"/>
      <c r="GU32" s="279"/>
      <c r="GV32" s="279"/>
      <c r="GW32" s="279"/>
      <c r="GX32" s="279"/>
      <c r="GY32" s="279"/>
      <c r="GZ32" s="280"/>
      <c r="HA32" s="219"/>
      <c r="HB32" s="220"/>
      <c r="HC32" s="279"/>
      <c r="HD32" s="279"/>
      <c r="HE32" s="279"/>
      <c r="HF32" s="279"/>
      <c r="HG32" s="279"/>
      <c r="HH32" s="279"/>
      <c r="HI32" s="279"/>
      <c r="HJ32" s="279"/>
      <c r="HK32" s="279"/>
      <c r="HL32" s="279"/>
      <c r="HM32" s="280"/>
      <c r="HN32" s="219"/>
      <c r="HO32" s="220"/>
      <c r="HP32" s="279"/>
      <c r="HQ32" s="279"/>
      <c r="HR32" s="279"/>
      <c r="HS32" s="279"/>
      <c r="HT32" s="279"/>
      <c r="HU32" s="279"/>
      <c r="HV32" s="279"/>
      <c r="HW32" s="279"/>
      <c r="HX32" s="279"/>
      <c r="HY32" s="279"/>
      <c r="HZ32" s="280"/>
      <c r="IA32" s="219"/>
      <c r="IB32" s="220"/>
      <c r="IC32" s="279"/>
      <c r="ID32" s="279"/>
      <c r="IE32" s="279"/>
      <c r="IF32" s="279"/>
      <c r="IG32" s="279"/>
      <c r="IH32" s="279"/>
      <c r="II32" s="279"/>
      <c r="IJ32" s="279"/>
      <c r="IK32" s="279"/>
      <c r="IL32" s="279"/>
      <c r="IM32" s="280"/>
      <c r="IN32" s="219"/>
      <c r="IO32" s="220"/>
      <c r="IP32" s="279"/>
      <c r="IQ32" s="279"/>
      <c r="IR32" s="279"/>
      <c r="IS32" s="279"/>
      <c r="IT32" s="279"/>
      <c r="IU32" s="279"/>
      <c r="IV32" s="279"/>
    </row>
    <row r="33" spans="1:256" x14ac:dyDescent="0.2">
      <c r="A33" s="219"/>
      <c r="B33" s="220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80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80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80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80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80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80"/>
      <c r="N38" s="212"/>
      <c r="O38" s="21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8"/>
      <c r="AB38" s="208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8"/>
      <c r="AO38" s="208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8"/>
      <c r="BB38" s="208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8"/>
      <c r="BO38" s="208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8"/>
      <c r="CB38" s="208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8"/>
      <c r="CO38" s="208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8"/>
      <c r="DB38" s="208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8"/>
      <c r="DO38" s="208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8"/>
      <c r="EB38" s="208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8"/>
      <c r="EO38" s="208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8"/>
      <c r="FB38" s="208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8"/>
      <c r="FO38" s="208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8"/>
      <c r="GB38" s="208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8"/>
      <c r="GO38" s="208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8"/>
      <c r="HB38" s="208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8"/>
      <c r="HO38" s="208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8"/>
      <c r="IB38" s="208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8"/>
      <c r="IO38" s="208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9"/>
      <c r="B39" s="220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80"/>
      <c r="N39" s="212"/>
      <c r="O39" s="21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8"/>
      <c r="AB39" s="208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8"/>
      <c r="AO39" s="208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8"/>
      <c r="BB39" s="208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8"/>
      <c r="BO39" s="208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8"/>
      <c r="CB39" s="208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8"/>
      <c r="CO39" s="208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8"/>
      <c r="DB39" s="208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8"/>
      <c r="DO39" s="208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8"/>
      <c r="EB39" s="208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8"/>
      <c r="EO39" s="208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8"/>
      <c r="FB39" s="208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8"/>
      <c r="FO39" s="208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8"/>
      <c r="GB39" s="208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8"/>
      <c r="GO39" s="208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8"/>
      <c r="HB39" s="208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8"/>
      <c r="HO39" s="208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8"/>
      <c r="IB39" s="208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8"/>
      <c r="IO39" s="208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9"/>
      <c r="B40" s="220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80"/>
      <c r="N40" s="212"/>
      <c r="O40" s="21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8"/>
      <c r="AB40" s="208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8"/>
      <c r="AO40" s="208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8"/>
      <c r="BB40" s="208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8"/>
      <c r="BO40" s="208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8"/>
      <c r="CB40" s="208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8"/>
      <c r="CO40" s="208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8"/>
      <c r="DB40" s="208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8"/>
      <c r="DO40" s="208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8"/>
      <c r="EB40" s="208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8"/>
      <c r="EO40" s="208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8"/>
      <c r="FB40" s="208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8"/>
      <c r="FO40" s="208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8"/>
      <c r="GB40" s="208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8"/>
      <c r="GO40" s="208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8"/>
      <c r="HB40" s="208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8"/>
      <c r="HO40" s="208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8"/>
      <c r="IB40" s="208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8"/>
      <c r="IO40" s="208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9"/>
      <c r="B41" s="220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80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80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80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80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80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80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80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80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80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8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8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8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8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8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8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8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8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8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80"/>
    </row>
    <row r="60" spans="1:256" x14ac:dyDescent="0.2">
      <c r="A60" s="219"/>
      <c r="B60" s="220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80"/>
    </row>
    <row r="61" spans="1:256" x14ac:dyDescent="0.2">
      <c r="A61" s="219"/>
      <c r="B61" s="220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80"/>
    </row>
    <row r="62" spans="1:256" x14ac:dyDescent="0.2">
      <c r="A62" s="219"/>
      <c r="B62" s="220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80"/>
    </row>
    <row r="63" spans="1:256" x14ac:dyDescent="0.2">
      <c r="A63" s="219"/>
      <c r="B63" s="220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80"/>
    </row>
    <row r="64" spans="1:256" x14ac:dyDescent="0.2">
      <c r="A64" s="219"/>
      <c r="B64" s="220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80"/>
    </row>
    <row r="65" spans="1:13" x14ac:dyDescent="0.2">
      <c r="A65" s="219"/>
      <c r="B65" s="220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80"/>
    </row>
    <row r="66" spans="1:13" x14ac:dyDescent="0.2">
      <c r="A66" s="219"/>
      <c r="B66" s="220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80"/>
    </row>
    <row r="67" spans="1:13" x14ac:dyDescent="0.2">
      <c r="A67" s="219"/>
      <c r="B67" s="220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80"/>
    </row>
    <row r="68" spans="1:13" x14ac:dyDescent="0.2">
      <c r="A68" s="219"/>
      <c r="B68" s="220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80"/>
    </row>
    <row r="69" spans="1:13" x14ac:dyDescent="0.2">
      <c r="A69" s="219"/>
      <c r="B69" s="220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80"/>
    </row>
    <row r="70" spans="1:13" ht="12" thickBot="1" x14ac:dyDescent="0.25">
      <c r="A70" s="221"/>
      <c r="B70" s="222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5" t="s">
        <v>879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2011-09-28T17:32:11Z</cp:lastPrinted>
  <dcterms:created xsi:type="dcterms:W3CDTF">1997-12-04T19:04:30Z</dcterms:created>
  <dcterms:modified xsi:type="dcterms:W3CDTF">2025-01-09T20:41:25Z</dcterms:modified>
</cp:coreProperties>
</file>