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2832B22-8EE3-491C-BA6B-83E66817EB6E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85C8ADC4-F72F-49CD-93EA-3F42345E042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2" l="1"/>
  <c r="B11" i="12"/>
  <c r="B12" i="12"/>
  <c r="B19" i="12"/>
  <c r="B21" i="12"/>
  <c r="B20" i="12"/>
  <c r="F189" i="1"/>
  <c r="F459" i="1"/>
  <c r="D11" i="13"/>
  <c r="C11" i="13" s="1"/>
  <c r="I594" i="1"/>
  <c r="I595" i="1" s="1"/>
  <c r="J581" i="1"/>
  <c r="H581" i="1"/>
  <c r="H588" i="1" s="1"/>
  <c r="H639" i="1" s="1"/>
  <c r="H572" i="1"/>
  <c r="H568" i="1"/>
  <c r="G568" i="1"/>
  <c r="F568" i="1"/>
  <c r="H569" i="1"/>
  <c r="F569" i="1"/>
  <c r="J516" i="1"/>
  <c r="J519" i="1" s="1"/>
  <c r="I516" i="1"/>
  <c r="I519" i="1" s="1"/>
  <c r="H518" i="1"/>
  <c r="L518" i="1" s="1"/>
  <c r="G541" i="1" s="1"/>
  <c r="H517" i="1"/>
  <c r="H516" i="1"/>
  <c r="G516" i="1"/>
  <c r="G519" i="1" s="1"/>
  <c r="F518" i="1"/>
  <c r="F517" i="1"/>
  <c r="F516" i="1"/>
  <c r="J513" i="1"/>
  <c r="K513" i="1"/>
  <c r="F513" i="1"/>
  <c r="G512" i="1"/>
  <c r="I512" i="1"/>
  <c r="J512" i="1"/>
  <c r="K512" i="1"/>
  <c r="J511" i="1"/>
  <c r="K511" i="1"/>
  <c r="G497" i="1"/>
  <c r="H200" i="1"/>
  <c r="H236" i="1"/>
  <c r="H218" i="1"/>
  <c r="H226" i="1"/>
  <c r="H513" i="1" s="1"/>
  <c r="H208" i="1"/>
  <c r="H512" i="1" s="1"/>
  <c r="H190" i="1"/>
  <c r="H511" i="1" s="1"/>
  <c r="H514" i="1" s="1"/>
  <c r="H359" i="1"/>
  <c r="G359" i="1"/>
  <c r="F360" i="1"/>
  <c r="I360" i="1" s="1"/>
  <c r="F359" i="1"/>
  <c r="F361" i="1" s="1"/>
  <c r="F350" i="1"/>
  <c r="I352" i="1"/>
  <c r="I354" i="1" s="1"/>
  <c r="G624" i="1" s="1"/>
  <c r="G352" i="1"/>
  <c r="F352" i="1"/>
  <c r="I351" i="1"/>
  <c r="G351" i="1"/>
  <c r="F351" i="1"/>
  <c r="I350" i="1"/>
  <c r="G350" i="1"/>
  <c r="H274" i="1"/>
  <c r="I268" i="1"/>
  <c r="I282" i="1" s="1"/>
  <c r="I330" i="1" s="1"/>
  <c r="I344" i="1" s="1"/>
  <c r="H268" i="1"/>
  <c r="H282" i="1" s="1"/>
  <c r="F268" i="1"/>
  <c r="F293" i="1"/>
  <c r="I293" i="1"/>
  <c r="I312" i="1"/>
  <c r="I320" i="1" s="1"/>
  <c r="H312" i="1"/>
  <c r="H293" i="1"/>
  <c r="I274" i="1"/>
  <c r="F312" i="1"/>
  <c r="F274" i="1"/>
  <c r="K336" i="1"/>
  <c r="J293" i="1"/>
  <c r="J301" i="1" s="1"/>
  <c r="J274" i="1"/>
  <c r="F273" i="1"/>
  <c r="L273" i="1" s="1"/>
  <c r="E110" i="2" s="1"/>
  <c r="F269" i="1"/>
  <c r="L269" i="1" s="1"/>
  <c r="E102" i="2" s="1"/>
  <c r="F307" i="1"/>
  <c r="F288" i="1"/>
  <c r="F512" i="1" s="1"/>
  <c r="J269" i="1"/>
  <c r="I269" i="1"/>
  <c r="I511" i="1" s="1"/>
  <c r="I273" i="1"/>
  <c r="F492" i="1"/>
  <c r="F489" i="1"/>
  <c r="F488" i="1"/>
  <c r="H462" i="1"/>
  <c r="H623" i="1" s="1"/>
  <c r="H458" i="1"/>
  <c r="H460" i="1" s="1"/>
  <c r="K197" i="1"/>
  <c r="K194" i="1"/>
  <c r="J212" i="1"/>
  <c r="J231" i="1"/>
  <c r="J239" i="1" s="1"/>
  <c r="J594" i="1" s="1"/>
  <c r="J595" i="1" s="1"/>
  <c r="J230" i="1"/>
  <c r="J213" i="1"/>
  <c r="J195" i="1"/>
  <c r="F7" i="13" s="1"/>
  <c r="J194" i="1"/>
  <c r="J210" i="1"/>
  <c r="J208" i="1"/>
  <c r="J197" i="1"/>
  <c r="J189" i="1"/>
  <c r="J203" i="1" s="1"/>
  <c r="I213" i="1"/>
  <c r="L213" i="1" s="1"/>
  <c r="I194" i="1"/>
  <c r="I203" i="1" s="1"/>
  <c r="I231" i="1"/>
  <c r="I230" i="1"/>
  <c r="I212" i="1"/>
  <c r="I199" i="1"/>
  <c r="I197" i="1"/>
  <c r="I196" i="1"/>
  <c r="I195" i="1"/>
  <c r="I190" i="1"/>
  <c r="I233" i="1"/>
  <c r="I228" i="1"/>
  <c r="I226" i="1"/>
  <c r="I513" i="1" s="1"/>
  <c r="I225" i="1"/>
  <c r="I215" i="1"/>
  <c r="I210" i="1"/>
  <c r="I208" i="1"/>
  <c r="I207" i="1"/>
  <c r="I189" i="1"/>
  <c r="I192" i="1"/>
  <c r="H233" i="1"/>
  <c r="H230" i="1"/>
  <c r="H225" i="1"/>
  <c r="H239" i="1" s="1"/>
  <c r="H215" i="1"/>
  <c r="L215" i="1" s="1"/>
  <c r="H212" i="1"/>
  <c r="L212" i="1" s="1"/>
  <c r="H207" i="1"/>
  <c r="L207" i="1" s="1"/>
  <c r="H197" i="1"/>
  <c r="H189" i="1"/>
  <c r="H203" i="1" s="1"/>
  <c r="H247" i="1"/>
  <c r="H228" i="1"/>
  <c r="H227" i="1"/>
  <c r="H210" i="1"/>
  <c r="H192" i="1"/>
  <c r="G235" i="1"/>
  <c r="G232" i="1"/>
  <c r="L232" i="1" s="1"/>
  <c r="C112" i="2" s="1"/>
  <c r="G231" i="1"/>
  <c r="G230" i="1"/>
  <c r="G228" i="1"/>
  <c r="C36" i="12" s="1"/>
  <c r="G226" i="1"/>
  <c r="G513" i="1" s="1"/>
  <c r="G217" i="1"/>
  <c r="G214" i="1"/>
  <c r="L214" i="1" s="1"/>
  <c r="G213" i="1"/>
  <c r="G212" i="1"/>
  <c r="G207" i="1"/>
  <c r="G199" i="1"/>
  <c r="G196" i="1"/>
  <c r="G195" i="1"/>
  <c r="G194" i="1"/>
  <c r="G190" i="1"/>
  <c r="G189" i="1"/>
  <c r="G233" i="1"/>
  <c r="G225" i="1"/>
  <c r="G215" i="1"/>
  <c r="G208" i="1"/>
  <c r="G197" i="1"/>
  <c r="L197" i="1" s="1"/>
  <c r="G210" i="1"/>
  <c r="G192" i="1"/>
  <c r="F235" i="1"/>
  <c r="F233" i="1"/>
  <c r="L233" i="1" s="1"/>
  <c r="F231" i="1"/>
  <c r="F230" i="1"/>
  <c r="L230" i="1" s="1"/>
  <c r="F228" i="1"/>
  <c r="F239" i="1" s="1"/>
  <c r="F225" i="1"/>
  <c r="F217" i="1"/>
  <c r="L217" i="1" s="1"/>
  <c r="F215" i="1"/>
  <c r="F213" i="1"/>
  <c r="F212" i="1"/>
  <c r="F210" i="1"/>
  <c r="F226" i="1"/>
  <c r="F207" i="1"/>
  <c r="F208" i="1"/>
  <c r="B18" i="12" s="1"/>
  <c r="F199" i="1"/>
  <c r="L199" i="1" s="1"/>
  <c r="F195" i="1"/>
  <c r="L195" i="1" s="1"/>
  <c r="F194" i="1"/>
  <c r="F190" i="1"/>
  <c r="H151" i="1"/>
  <c r="H147" i="1"/>
  <c r="H146" i="1"/>
  <c r="G150" i="1"/>
  <c r="G89" i="1"/>
  <c r="F55" i="1"/>
  <c r="H41" i="1"/>
  <c r="H43" i="1" s="1"/>
  <c r="H25" i="1"/>
  <c r="H33" i="1" s="1"/>
  <c r="G41" i="1"/>
  <c r="G43" i="1" s="1"/>
  <c r="G613" i="1" s="1"/>
  <c r="C37" i="10"/>
  <c r="C60" i="2"/>
  <c r="B2" i="13"/>
  <c r="F8" i="13"/>
  <c r="G8" i="13"/>
  <c r="L196" i="1"/>
  <c r="D39" i="13"/>
  <c r="F13" i="13"/>
  <c r="G13" i="13"/>
  <c r="L198" i="1"/>
  <c r="E13" i="13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90" i="1"/>
  <c r="L191" i="1"/>
  <c r="L192" i="1"/>
  <c r="L209" i="1"/>
  <c r="L227" i="1"/>
  <c r="L228" i="1"/>
  <c r="F6" i="13"/>
  <c r="G7" i="13"/>
  <c r="L231" i="1"/>
  <c r="F12" i="13"/>
  <c r="G12" i="13"/>
  <c r="F14" i="13"/>
  <c r="G14" i="13"/>
  <c r="L235" i="1"/>
  <c r="F15" i="13"/>
  <c r="G15" i="13"/>
  <c r="L200" i="1"/>
  <c r="F652" i="1" s="1"/>
  <c r="I652" i="1" s="1"/>
  <c r="L218" i="1"/>
  <c r="L236" i="1"/>
  <c r="H652" i="1" s="1"/>
  <c r="F17" i="13"/>
  <c r="D17" i="13" s="1"/>
  <c r="C17" i="13" s="1"/>
  <c r="G17" i="13"/>
  <c r="L243" i="1"/>
  <c r="F18" i="13"/>
  <c r="G18" i="13"/>
  <c r="L244" i="1"/>
  <c r="F19" i="13"/>
  <c r="G19" i="13"/>
  <c r="L245" i="1"/>
  <c r="D19" i="13" s="1"/>
  <c r="C19" i="13" s="1"/>
  <c r="F29" i="13"/>
  <c r="G29" i="13"/>
  <c r="L351" i="1"/>
  <c r="L352" i="1"/>
  <c r="I359" i="1"/>
  <c r="I361" i="1" s="1"/>
  <c r="H624" i="1" s="1"/>
  <c r="J320" i="1"/>
  <c r="K282" i="1"/>
  <c r="G31" i="13" s="1"/>
  <c r="K301" i="1"/>
  <c r="K320" i="1"/>
  <c r="L270" i="1"/>
  <c r="L271" i="1"/>
  <c r="L275" i="1"/>
  <c r="L276" i="1"/>
  <c r="L277" i="1"/>
  <c r="L278" i="1"/>
  <c r="L279" i="1"/>
  <c r="L280" i="1"/>
  <c r="L287" i="1"/>
  <c r="L288" i="1"/>
  <c r="L289" i="1"/>
  <c r="L290" i="1"/>
  <c r="L292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L334" i="1"/>
  <c r="L247" i="1"/>
  <c r="F22" i="13" s="1"/>
  <c r="C22" i="13" s="1"/>
  <c r="L328" i="1"/>
  <c r="C10" i="13"/>
  <c r="C9" i="13"/>
  <c r="L353" i="1"/>
  <c r="B4" i="12"/>
  <c r="B36" i="12"/>
  <c r="A40" i="12" s="1"/>
  <c r="B40" i="12"/>
  <c r="C40" i="12"/>
  <c r="B27" i="12"/>
  <c r="A31" i="12" s="1"/>
  <c r="C27" i="12"/>
  <c r="B31" i="12"/>
  <c r="C31" i="12"/>
  <c r="B13" i="12"/>
  <c r="C9" i="12"/>
  <c r="C13" i="12"/>
  <c r="B22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 s="1"/>
  <c r="L601" i="1"/>
  <c r="C40" i="10"/>
  <c r="F52" i="1"/>
  <c r="G52" i="1"/>
  <c r="H52" i="1"/>
  <c r="E48" i="2" s="1"/>
  <c r="E55" i="2" s="1"/>
  <c r="I52" i="1"/>
  <c r="F71" i="1"/>
  <c r="F86" i="1"/>
  <c r="C50" i="2"/>
  <c r="F103" i="1"/>
  <c r="G103" i="1"/>
  <c r="G104" i="1"/>
  <c r="H71" i="1"/>
  <c r="H86" i="1"/>
  <c r="H103" i="1"/>
  <c r="I103" i="1"/>
  <c r="J103" i="1"/>
  <c r="J104" i="1" s="1"/>
  <c r="J185" i="1" s="1"/>
  <c r="F113" i="1"/>
  <c r="F132" i="1"/>
  <c r="F128" i="1"/>
  <c r="G113" i="1"/>
  <c r="G128" i="1"/>
  <c r="H113" i="1"/>
  <c r="H132" i="1" s="1"/>
  <c r="H128" i="1"/>
  <c r="I113" i="1"/>
  <c r="I128" i="1"/>
  <c r="I132" i="1" s="1"/>
  <c r="J113" i="1"/>
  <c r="J132" i="1" s="1"/>
  <c r="J128" i="1"/>
  <c r="F139" i="1"/>
  <c r="F154" i="1"/>
  <c r="F161" i="1" s="1"/>
  <c r="G139" i="1"/>
  <c r="G161" i="1" s="1"/>
  <c r="G154" i="1"/>
  <c r="H139" i="1"/>
  <c r="E77" i="2" s="1"/>
  <c r="H154" i="1"/>
  <c r="H161" i="1"/>
  <c r="I139" i="1"/>
  <c r="I154" i="1"/>
  <c r="L242" i="1"/>
  <c r="C23" i="10" s="1"/>
  <c r="L324" i="1"/>
  <c r="L246" i="1"/>
  <c r="C25" i="10"/>
  <c r="L260" i="1"/>
  <c r="L261" i="1"/>
  <c r="C135" i="2" s="1"/>
  <c r="L341" i="1"/>
  <c r="L342" i="1"/>
  <c r="I655" i="1"/>
  <c r="I660" i="1"/>
  <c r="G652" i="1"/>
  <c r="I659" i="1"/>
  <c r="C42" i="10"/>
  <c r="L366" i="1"/>
  <c r="L367" i="1"/>
  <c r="L368" i="1"/>
  <c r="L369" i="1"/>
  <c r="L370" i="1"/>
  <c r="L371" i="1"/>
  <c r="L372" i="1"/>
  <c r="B2" i="10"/>
  <c r="L336" i="1"/>
  <c r="E126" i="2" s="1"/>
  <c r="L337" i="1"/>
  <c r="L338" i="1"/>
  <c r="E129" i="2" s="1"/>
  <c r="L339" i="1"/>
  <c r="K343" i="1"/>
  <c r="L521" i="1"/>
  <c r="H539" i="1"/>
  <c r="L522" i="1"/>
  <c r="H540" i="1" s="1"/>
  <c r="H542" i="1" s="1"/>
  <c r="L523" i="1"/>
  <c r="H541" i="1"/>
  <c r="L526" i="1"/>
  <c r="L529" i="1" s="1"/>
  <c r="I539" i="1"/>
  <c r="L527" i="1"/>
  <c r="I540" i="1" s="1"/>
  <c r="L528" i="1"/>
  <c r="I541" i="1"/>
  <c r="L531" i="1"/>
  <c r="J539" i="1"/>
  <c r="L532" i="1"/>
  <c r="J540" i="1" s="1"/>
  <c r="J542" i="1" s="1"/>
  <c r="L533" i="1"/>
  <c r="J541" i="1"/>
  <c r="E124" i="2"/>
  <c r="E123" i="2"/>
  <c r="K262" i="1"/>
  <c r="J262" i="1"/>
  <c r="I262" i="1"/>
  <c r="H262" i="1"/>
  <c r="G262" i="1"/>
  <c r="F262" i="1"/>
  <c r="C124" i="2"/>
  <c r="A1" i="2"/>
  <c r="A2" i="2"/>
  <c r="C9" i="2"/>
  <c r="D9" i="2"/>
  <c r="D19" i="2" s="1"/>
  <c r="D10" i="2"/>
  <c r="D12" i="2"/>
  <c r="D13" i="2"/>
  <c r="D14" i="2"/>
  <c r="D16" i="2"/>
  <c r="D17" i="2"/>
  <c r="D18" i="2"/>
  <c r="E9" i="2"/>
  <c r="F9" i="2"/>
  <c r="I431" i="1"/>
  <c r="J9" i="1"/>
  <c r="G9" i="2" s="1"/>
  <c r="G19" i="2" s="1"/>
  <c r="C10" i="2"/>
  <c r="E10" i="2"/>
  <c r="F10" i="2"/>
  <c r="F12" i="2"/>
  <c r="F13" i="2"/>
  <c r="F14" i="2"/>
  <c r="F15" i="2"/>
  <c r="F16" i="2"/>
  <c r="F17" i="2"/>
  <c r="F18" i="2"/>
  <c r="F19" i="2"/>
  <c r="I432" i="1"/>
  <c r="J10" i="1"/>
  <c r="G10" i="2" s="1"/>
  <c r="C11" i="2"/>
  <c r="C12" i="2"/>
  <c r="E12" i="2"/>
  <c r="I433" i="1"/>
  <c r="J12" i="1"/>
  <c r="G12" i="2" s="1"/>
  <c r="C13" i="2"/>
  <c r="E13" i="2"/>
  <c r="I434" i="1"/>
  <c r="J13" i="1"/>
  <c r="G13" i="2"/>
  <c r="C14" i="2"/>
  <c r="E14" i="2"/>
  <c r="I435" i="1"/>
  <c r="J14" i="1"/>
  <c r="G14" i="2"/>
  <c r="C16" i="2"/>
  <c r="E16" i="2"/>
  <c r="C17" i="2"/>
  <c r="E17" i="2"/>
  <c r="I436" i="1"/>
  <c r="J17" i="1"/>
  <c r="G17" i="2"/>
  <c r="C18" i="2"/>
  <c r="E18" i="2"/>
  <c r="I437" i="1"/>
  <c r="J18" i="1"/>
  <c r="G18" i="2"/>
  <c r="C22" i="2"/>
  <c r="C23" i="2"/>
  <c r="C24" i="2"/>
  <c r="C25" i="2"/>
  <c r="C26" i="2"/>
  <c r="C27" i="2"/>
  <c r="C28" i="2"/>
  <c r="C29" i="2"/>
  <c r="C30" i="2"/>
  <c r="C31" i="2"/>
  <c r="D22" i="2"/>
  <c r="E22" i="2"/>
  <c r="F22" i="2"/>
  <c r="I440" i="1"/>
  <c r="J23" i="1"/>
  <c r="J33" i="1" s="1"/>
  <c r="D23" i="2"/>
  <c r="D32" i="2" s="1"/>
  <c r="E23" i="2"/>
  <c r="E32" i="2" s="1"/>
  <c r="E24" i="2"/>
  <c r="E25" i="2"/>
  <c r="E28" i="2"/>
  <c r="E29" i="2"/>
  <c r="E30" i="2"/>
  <c r="E31" i="2"/>
  <c r="F23" i="2"/>
  <c r="F24" i="2"/>
  <c r="F25" i="2"/>
  <c r="F26" i="2"/>
  <c r="F27" i="2"/>
  <c r="F28" i="2"/>
  <c r="F29" i="2"/>
  <c r="F30" i="2"/>
  <c r="F31" i="2"/>
  <c r="I441" i="1"/>
  <c r="J24" i="1"/>
  <c r="G23" i="2" s="1"/>
  <c r="D24" i="2"/>
  <c r="I442" i="1"/>
  <c r="I444" i="1" s="1"/>
  <c r="J25" i="1"/>
  <c r="G24" i="2"/>
  <c r="D25" i="2"/>
  <c r="D28" i="2"/>
  <c r="D29" i="2"/>
  <c r="D30" i="2"/>
  <c r="D31" i="2"/>
  <c r="I443" i="1"/>
  <c r="J32" i="1"/>
  <c r="G31" i="2" s="1"/>
  <c r="G32" i="2" s="1"/>
  <c r="C34" i="2"/>
  <c r="D34" i="2"/>
  <c r="E34" i="2"/>
  <c r="F34" i="2"/>
  <c r="F42" i="2" s="1"/>
  <c r="F35" i="2"/>
  <c r="F36" i="2"/>
  <c r="F37" i="2"/>
  <c r="F38" i="2"/>
  <c r="F40" i="2"/>
  <c r="F41" i="2"/>
  <c r="C35" i="2"/>
  <c r="D35" i="2"/>
  <c r="E35" i="2"/>
  <c r="C36" i="2"/>
  <c r="D36" i="2"/>
  <c r="E36" i="2"/>
  <c r="I446" i="1"/>
  <c r="J37" i="1" s="1"/>
  <c r="C37" i="2"/>
  <c r="D37" i="2"/>
  <c r="E37" i="2"/>
  <c r="I447" i="1"/>
  <c r="J38" i="1"/>
  <c r="G37" i="2" s="1"/>
  <c r="C38" i="2"/>
  <c r="D38" i="2"/>
  <c r="D40" i="2"/>
  <c r="D41" i="2"/>
  <c r="E38" i="2"/>
  <c r="I448" i="1"/>
  <c r="J40" i="1"/>
  <c r="G39" i="2" s="1"/>
  <c r="C40" i="2"/>
  <c r="I449" i="1"/>
  <c r="J41" i="1"/>
  <c r="G40" i="2"/>
  <c r="C41" i="2"/>
  <c r="E41" i="2"/>
  <c r="C48" i="2"/>
  <c r="D48" i="2"/>
  <c r="E49" i="2"/>
  <c r="E50" i="2"/>
  <c r="E51" i="2"/>
  <c r="E53" i="2"/>
  <c r="E54" i="2"/>
  <c r="C51" i="2"/>
  <c r="D51" i="2"/>
  <c r="D52" i="2"/>
  <c r="D54" i="2" s="1"/>
  <c r="D55" i="2" s="1"/>
  <c r="D53" i="2"/>
  <c r="F51" i="2"/>
  <c r="F54" i="2" s="1"/>
  <c r="F53" i="2"/>
  <c r="C53" i="2"/>
  <c r="C58" i="2"/>
  <c r="C59" i="2"/>
  <c r="C61" i="2"/>
  <c r="D61" i="2"/>
  <c r="D62" i="2" s="1"/>
  <c r="E61" i="2"/>
  <c r="E62" i="2"/>
  <c r="F61" i="2"/>
  <c r="F62" i="2"/>
  <c r="G61" i="2"/>
  <c r="G62" i="2" s="1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E69" i="2"/>
  <c r="E70" i="2"/>
  <c r="F68" i="2"/>
  <c r="F69" i="2"/>
  <c r="C69" i="2"/>
  <c r="D69" i="2"/>
  <c r="D70" i="2" s="1"/>
  <c r="D73" i="2" s="1"/>
  <c r="G69" i="2"/>
  <c r="G70" i="2"/>
  <c r="G88" i="2"/>
  <c r="G95" i="2" s="1"/>
  <c r="G89" i="2"/>
  <c r="G90" i="2"/>
  <c r="C71" i="2"/>
  <c r="D71" i="2"/>
  <c r="E71" i="2"/>
  <c r="C72" i="2"/>
  <c r="E72" i="2"/>
  <c r="C77" i="2"/>
  <c r="C83" i="2" s="1"/>
  <c r="D77" i="2"/>
  <c r="C79" i="2"/>
  <c r="E79" i="2"/>
  <c r="F79" i="2"/>
  <c r="C80" i="2"/>
  <c r="D80" i="2"/>
  <c r="D83" i="2" s="1"/>
  <c r="E80" i="2"/>
  <c r="F80" i="2"/>
  <c r="C81" i="2"/>
  <c r="C82" i="2"/>
  <c r="D81" i="2"/>
  <c r="E81" i="2"/>
  <c r="F81" i="2"/>
  <c r="C85" i="2"/>
  <c r="C95" i="2" s="1"/>
  <c r="F85" i="2"/>
  <c r="F95" i="2" s="1"/>
  <c r="F86" i="2"/>
  <c r="F88" i="2"/>
  <c r="F89" i="2"/>
  <c r="F91" i="2"/>
  <c r="F92" i="2"/>
  <c r="F93" i="2"/>
  <c r="F94" i="2"/>
  <c r="C86" i="2"/>
  <c r="D88" i="2"/>
  <c r="D89" i="2"/>
  <c r="D95" i="2" s="1"/>
  <c r="D90" i="2"/>
  <c r="D91" i="2"/>
  <c r="D92" i="2"/>
  <c r="D93" i="2"/>
  <c r="D94" i="2"/>
  <c r="E88" i="2"/>
  <c r="E89" i="2"/>
  <c r="E90" i="2"/>
  <c r="E91" i="2"/>
  <c r="E92" i="2"/>
  <c r="E93" i="2"/>
  <c r="E94" i="2"/>
  <c r="E95" i="2"/>
  <c r="C89" i="2"/>
  <c r="C90" i="2"/>
  <c r="C91" i="2"/>
  <c r="C92" i="2"/>
  <c r="C93" i="2"/>
  <c r="C94" i="2"/>
  <c r="C103" i="2"/>
  <c r="E103" i="2"/>
  <c r="C105" i="2"/>
  <c r="E105" i="2"/>
  <c r="D107" i="2"/>
  <c r="F107" i="2"/>
  <c r="G107" i="2"/>
  <c r="E112" i="2"/>
  <c r="E113" i="2"/>
  <c r="E114" i="2"/>
  <c r="E115" i="2"/>
  <c r="E116" i="2"/>
  <c r="C117" i="2"/>
  <c r="E117" i="2"/>
  <c r="D126" i="2"/>
  <c r="D136" i="2" s="1"/>
  <c r="F120" i="2"/>
  <c r="G120" i="2"/>
  <c r="C122" i="2"/>
  <c r="E122" i="2"/>
  <c r="F126" i="2"/>
  <c r="K411" i="1"/>
  <c r="K419" i="1"/>
  <c r="K425" i="1"/>
  <c r="L255" i="1"/>
  <c r="C127" i="2" s="1"/>
  <c r="L256" i="1"/>
  <c r="C128" i="2"/>
  <c r="L257" i="1"/>
  <c r="C129" i="2"/>
  <c r="E134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/>
  <c r="G153" i="2" s="1"/>
  <c r="C153" i="2"/>
  <c r="E153" i="2"/>
  <c r="G490" i="1"/>
  <c r="H490" i="1"/>
  <c r="D153" i="2" s="1"/>
  <c r="I490" i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F493" i="1"/>
  <c r="B156" i="2"/>
  <c r="C156" i="2"/>
  <c r="D156" i="2"/>
  <c r="E156" i="2"/>
  <c r="G493" i="1"/>
  <c r="H493" i="1"/>
  <c r="I493" i="1"/>
  <c r="J493" i="1"/>
  <c r="F156" i="2" s="1"/>
  <c r="F19" i="1"/>
  <c r="G607" i="1"/>
  <c r="G19" i="1"/>
  <c r="G608" i="1" s="1"/>
  <c r="H19" i="1"/>
  <c r="G609" i="1"/>
  <c r="I19" i="1"/>
  <c r="G610" i="1" s="1"/>
  <c r="F33" i="1"/>
  <c r="G33" i="1"/>
  <c r="I33" i="1"/>
  <c r="F43" i="1"/>
  <c r="I43" i="1"/>
  <c r="G615" i="1" s="1"/>
  <c r="I44" i="1"/>
  <c r="H610" i="1" s="1"/>
  <c r="F169" i="1"/>
  <c r="I169" i="1"/>
  <c r="I184" i="1" s="1"/>
  <c r="F175" i="1"/>
  <c r="G175" i="1"/>
  <c r="H175" i="1"/>
  <c r="H184" i="1" s="1"/>
  <c r="I175" i="1"/>
  <c r="J175" i="1"/>
  <c r="J184" i="1"/>
  <c r="F180" i="1"/>
  <c r="F184" i="1" s="1"/>
  <c r="G180" i="1"/>
  <c r="G184" i="1" s="1"/>
  <c r="H180" i="1"/>
  <c r="I180" i="1"/>
  <c r="F221" i="1"/>
  <c r="G221" i="1"/>
  <c r="H221" i="1"/>
  <c r="J221" i="1"/>
  <c r="K221" i="1"/>
  <c r="K239" i="1"/>
  <c r="F248" i="1"/>
  <c r="L248" i="1" s="1"/>
  <c r="G248" i="1"/>
  <c r="H248" i="1"/>
  <c r="I248" i="1"/>
  <c r="J248" i="1"/>
  <c r="K248" i="1"/>
  <c r="G282" i="1"/>
  <c r="G301" i="1"/>
  <c r="G330" i="1" s="1"/>
  <c r="G344" i="1" s="1"/>
  <c r="H301" i="1"/>
  <c r="I301" i="1"/>
  <c r="F320" i="1"/>
  <c r="G320" i="1"/>
  <c r="H320" i="1"/>
  <c r="F329" i="1"/>
  <c r="G329" i="1"/>
  <c r="H329" i="1"/>
  <c r="I329" i="1"/>
  <c r="J329" i="1"/>
  <c r="K329" i="1"/>
  <c r="K330" i="1"/>
  <c r="G354" i="1"/>
  <c r="H354" i="1"/>
  <c r="J354" i="1"/>
  <c r="K354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H393" i="1"/>
  <c r="I393" i="1"/>
  <c r="F399" i="1"/>
  <c r="G399" i="1"/>
  <c r="G400" i="1" s="1"/>
  <c r="H635" i="1" s="1"/>
  <c r="H399" i="1"/>
  <c r="H400" i="1" s="1"/>
  <c r="I399" i="1"/>
  <c r="L405" i="1"/>
  <c r="L406" i="1"/>
  <c r="L407" i="1"/>
  <c r="L408" i="1"/>
  <c r="L411" i="1" s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I426" i="1" s="1"/>
  <c r="J425" i="1"/>
  <c r="J426" i="1"/>
  <c r="F438" i="1"/>
  <c r="G629" i="1" s="1"/>
  <c r="G438" i="1"/>
  <c r="G630" i="1" s="1"/>
  <c r="J630" i="1" s="1"/>
  <c r="H438" i="1"/>
  <c r="G631" i="1"/>
  <c r="J631" i="1" s="1"/>
  <c r="I438" i="1"/>
  <c r="G632" i="1" s="1"/>
  <c r="F444" i="1"/>
  <c r="G444" i="1"/>
  <c r="H444" i="1"/>
  <c r="F450" i="1"/>
  <c r="G450" i="1"/>
  <c r="H450" i="1"/>
  <c r="F451" i="1"/>
  <c r="G451" i="1"/>
  <c r="H630" i="1" s="1"/>
  <c r="H451" i="1"/>
  <c r="H631" i="1" s="1"/>
  <c r="F460" i="1"/>
  <c r="G460" i="1"/>
  <c r="G466" i="1" s="1"/>
  <c r="H613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0" i="1"/>
  <c r="K491" i="1"/>
  <c r="K492" i="1"/>
  <c r="K493" i="1"/>
  <c r="F507" i="1"/>
  <c r="G507" i="1"/>
  <c r="H507" i="1"/>
  <c r="I507" i="1"/>
  <c r="J514" i="1"/>
  <c r="K514" i="1"/>
  <c r="F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F550" i="1"/>
  <c r="G550" i="1"/>
  <c r="G561" i="1" s="1"/>
  <c r="H550" i="1"/>
  <c r="I550" i="1"/>
  <c r="I561" i="1" s="1"/>
  <c r="J550" i="1"/>
  <c r="J561" i="1" s="1"/>
  <c r="K550" i="1"/>
  <c r="L552" i="1"/>
  <c r="L553" i="1"/>
  <c r="L554" i="1"/>
  <c r="F555" i="1"/>
  <c r="F561" i="1" s="1"/>
  <c r="G555" i="1"/>
  <c r="H555" i="1"/>
  <c r="H561" i="1" s="1"/>
  <c r="I555" i="1"/>
  <c r="J555" i="1"/>
  <c r="K555" i="1"/>
  <c r="K561" i="1" s="1"/>
  <c r="L557" i="1"/>
  <c r="L558" i="1"/>
  <c r="L560" i="1" s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I588" i="1"/>
  <c r="H640" i="1" s="1"/>
  <c r="J588" i="1"/>
  <c r="K592" i="1"/>
  <c r="K593" i="1"/>
  <c r="F604" i="1"/>
  <c r="G604" i="1"/>
  <c r="H604" i="1"/>
  <c r="I604" i="1"/>
  <c r="J604" i="1"/>
  <c r="K604" i="1"/>
  <c r="G612" i="1"/>
  <c r="H617" i="1"/>
  <c r="H618" i="1"/>
  <c r="H619" i="1"/>
  <c r="H620" i="1"/>
  <c r="H621" i="1"/>
  <c r="H622" i="1"/>
  <c r="H625" i="1"/>
  <c r="H626" i="1"/>
  <c r="H627" i="1"/>
  <c r="H628" i="1"/>
  <c r="H629" i="1"/>
  <c r="G633" i="1"/>
  <c r="G634" i="1"/>
  <c r="H634" i="1"/>
  <c r="G640" i="1"/>
  <c r="J640" i="1" s="1"/>
  <c r="H641" i="1"/>
  <c r="G642" i="1"/>
  <c r="H642" i="1"/>
  <c r="G643" i="1"/>
  <c r="J643" i="1" s="1"/>
  <c r="H643" i="1"/>
  <c r="G644" i="1"/>
  <c r="J644" i="1" s="1"/>
  <c r="H644" i="1"/>
  <c r="G645" i="1"/>
  <c r="H645" i="1"/>
  <c r="J645" i="1" s="1"/>
  <c r="E73" i="2"/>
  <c r="E83" i="2"/>
  <c r="G132" i="1"/>
  <c r="E19" i="2"/>
  <c r="G44" i="1"/>
  <c r="H608" i="1" s="1"/>
  <c r="G22" i="2"/>
  <c r="G635" i="1"/>
  <c r="J635" i="1" s="1"/>
  <c r="F44" i="1"/>
  <c r="H607" i="1" s="1"/>
  <c r="J607" i="1" s="1"/>
  <c r="L329" i="1"/>
  <c r="G155" i="2"/>
  <c r="K426" i="1"/>
  <c r="G126" i="2"/>
  <c r="G136" i="2" s="1"/>
  <c r="G137" i="2" s="1"/>
  <c r="C62" i="2"/>
  <c r="H104" i="1"/>
  <c r="H185" i="1" s="1"/>
  <c r="G619" i="1" s="1"/>
  <c r="J619" i="1" s="1"/>
  <c r="K344" i="1"/>
  <c r="J249" i="1"/>
  <c r="F466" i="1"/>
  <c r="H612" i="1"/>
  <c r="J612" i="1"/>
  <c r="K588" i="1"/>
  <c r="G637" i="1" s="1"/>
  <c r="G621" i="1" l="1"/>
  <c r="J621" i="1" s="1"/>
  <c r="G636" i="1"/>
  <c r="I451" i="1"/>
  <c r="H632" i="1" s="1"/>
  <c r="L426" i="1"/>
  <c r="G628" i="1" s="1"/>
  <c r="J628" i="1" s="1"/>
  <c r="C42" i="2"/>
  <c r="D42" i="2"/>
  <c r="D43" i="2" s="1"/>
  <c r="I542" i="1"/>
  <c r="E127" i="2"/>
  <c r="E136" i="2" s="1"/>
  <c r="L343" i="1"/>
  <c r="H25" i="13"/>
  <c r="C123" i="2"/>
  <c r="C106" i="2"/>
  <c r="C24" i="10"/>
  <c r="A22" i="12"/>
  <c r="J642" i="1"/>
  <c r="I161" i="1"/>
  <c r="F77" i="2"/>
  <c r="F83" i="2" s="1"/>
  <c r="L399" i="1"/>
  <c r="C132" i="2" s="1"/>
  <c r="L400" i="1"/>
  <c r="C130" i="2"/>
  <c r="C133" i="2" s="1"/>
  <c r="C19" i="10"/>
  <c r="C114" i="2"/>
  <c r="G614" i="1"/>
  <c r="H44" i="1"/>
  <c r="H609" i="1" s="1"/>
  <c r="J609" i="1" s="1"/>
  <c r="H519" i="1"/>
  <c r="C113" i="2"/>
  <c r="C18" i="10"/>
  <c r="D12" i="13"/>
  <c r="C12" i="13" s="1"/>
  <c r="J634" i="1"/>
  <c r="L550" i="1"/>
  <c r="L561" i="1" s="1"/>
  <c r="K535" i="1"/>
  <c r="G156" i="2"/>
  <c r="D96" i="2"/>
  <c r="G651" i="1"/>
  <c r="I514" i="1"/>
  <c r="I535" i="1" s="1"/>
  <c r="L513" i="1"/>
  <c r="F541" i="1" s="1"/>
  <c r="K541" i="1" s="1"/>
  <c r="E8" i="13"/>
  <c r="J535" i="1"/>
  <c r="G185" i="1"/>
  <c r="G618" i="1" s="1"/>
  <c r="J618" i="1" s="1"/>
  <c r="C38" i="10"/>
  <c r="C17" i="10"/>
  <c r="G154" i="2"/>
  <c r="L604" i="1"/>
  <c r="J629" i="1"/>
  <c r="H426" i="1"/>
  <c r="J608" i="1"/>
  <c r="C26" i="10"/>
  <c r="C134" i="2"/>
  <c r="C39" i="10"/>
  <c r="C49" i="2"/>
  <c r="C54" i="2" s="1"/>
  <c r="C55" i="2" s="1"/>
  <c r="C96" i="2" s="1"/>
  <c r="F104" i="1"/>
  <c r="F185" i="1" s="1"/>
  <c r="G617" i="1" s="1"/>
  <c r="J617" i="1" s="1"/>
  <c r="G239" i="1"/>
  <c r="H249" i="1"/>
  <c r="H263" i="1" s="1"/>
  <c r="I221" i="1"/>
  <c r="L512" i="1"/>
  <c r="F540" i="1" s="1"/>
  <c r="K540" i="1" s="1"/>
  <c r="J632" i="1"/>
  <c r="C19" i="2"/>
  <c r="J610" i="1"/>
  <c r="J19" i="1"/>
  <c r="G611" i="1" s="1"/>
  <c r="I400" i="1"/>
  <c r="L517" i="1"/>
  <c r="G540" i="1" s="1"/>
  <c r="F48" i="2"/>
  <c r="F55" i="2" s="1"/>
  <c r="F96" i="2" s="1"/>
  <c r="C35" i="10"/>
  <c r="I104" i="1"/>
  <c r="I185" i="1" s="1"/>
  <c r="G620" i="1" s="1"/>
  <c r="J620" i="1" s="1"/>
  <c r="G96" i="2"/>
  <c r="L555" i="1"/>
  <c r="G426" i="1"/>
  <c r="G36" i="2"/>
  <c r="G42" i="2" s="1"/>
  <c r="G43" i="2" s="1"/>
  <c r="J43" i="1"/>
  <c r="F32" i="2"/>
  <c r="C29" i="10"/>
  <c r="L374" i="1"/>
  <c r="G626" i="1" s="1"/>
  <c r="J626" i="1" s="1"/>
  <c r="F122" i="2"/>
  <c r="F136" i="2" s="1"/>
  <c r="F137" i="2" s="1"/>
  <c r="E96" i="2"/>
  <c r="E104" i="2"/>
  <c r="D15" i="13"/>
  <c r="C15" i="13" s="1"/>
  <c r="H637" i="1"/>
  <c r="J637" i="1" s="1"/>
  <c r="G639" i="1"/>
  <c r="J639" i="1" s="1"/>
  <c r="C21" i="10"/>
  <c r="C116" i="2"/>
  <c r="L194" i="1"/>
  <c r="F203" i="1"/>
  <c r="F249" i="1" s="1"/>
  <c r="F263" i="1" s="1"/>
  <c r="L189" i="1"/>
  <c r="D5" i="13" s="1"/>
  <c r="G203" i="1"/>
  <c r="G249" i="1" s="1"/>
  <c r="G263" i="1" s="1"/>
  <c r="I239" i="1"/>
  <c r="I249" i="1" s="1"/>
  <c r="I263" i="1" s="1"/>
  <c r="G6" i="13"/>
  <c r="G33" i="13" s="1"/>
  <c r="K203" i="1"/>
  <c r="K249" i="1" s="1"/>
  <c r="K263" i="1" s="1"/>
  <c r="L293" i="1"/>
  <c r="L301" i="1" s="1"/>
  <c r="F301" i="1"/>
  <c r="J624" i="1"/>
  <c r="J263" i="1"/>
  <c r="F43" i="2"/>
  <c r="C32" i="2"/>
  <c r="L262" i="1"/>
  <c r="C32" i="10"/>
  <c r="C12" i="10"/>
  <c r="D7" i="13"/>
  <c r="C7" i="13" s="1"/>
  <c r="C111" i="2"/>
  <c r="C18" i="12"/>
  <c r="G511" i="1"/>
  <c r="G514" i="1" s="1"/>
  <c r="G535" i="1" s="1"/>
  <c r="F282" i="1"/>
  <c r="F330" i="1" s="1"/>
  <c r="F344" i="1" s="1"/>
  <c r="B9" i="12"/>
  <c r="A13" i="12" s="1"/>
  <c r="L268" i="1"/>
  <c r="F354" i="1"/>
  <c r="L350" i="1"/>
  <c r="H651" i="1" s="1"/>
  <c r="F511" i="1"/>
  <c r="H535" i="1"/>
  <c r="J615" i="1"/>
  <c r="G73" i="2"/>
  <c r="D18" i="13"/>
  <c r="C18" i="13" s="1"/>
  <c r="J613" i="1"/>
  <c r="C20" i="10"/>
  <c r="C115" i="2"/>
  <c r="D14" i="13"/>
  <c r="C14" i="13" s="1"/>
  <c r="H466" i="1"/>
  <c r="H614" i="1" s="1"/>
  <c r="J282" i="1"/>
  <c r="L274" i="1"/>
  <c r="E111" i="2" s="1"/>
  <c r="E120" i="2" s="1"/>
  <c r="H330" i="1"/>
  <c r="H344" i="1" s="1"/>
  <c r="L516" i="1"/>
  <c r="G641" i="1"/>
  <c r="J641" i="1" s="1"/>
  <c r="I450" i="1"/>
  <c r="E40" i="2"/>
  <c r="E42" i="2" s="1"/>
  <c r="E43" i="2" s="1"/>
  <c r="L226" i="1"/>
  <c r="L225" i="1"/>
  <c r="L239" i="1" s="1"/>
  <c r="H650" i="1" s="1"/>
  <c r="L210" i="1"/>
  <c r="L208" i="1"/>
  <c r="L221" i="1" s="1"/>
  <c r="C5" i="13" l="1"/>
  <c r="G650" i="1"/>
  <c r="G654" i="1" s="1"/>
  <c r="C25" i="13"/>
  <c r="H33" i="13"/>
  <c r="C13" i="10"/>
  <c r="C104" i="2"/>
  <c r="E101" i="2"/>
  <c r="E107" i="2" s="1"/>
  <c r="E137" i="2" s="1"/>
  <c r="L282" i="1"/>
  <c r="E33" i="13"/>
  <c r="D35" i="13" s="1"/>
  <c r="C8" i="13"/>
  <c r="C43" i="2"/>
  <c r="G616" i="1"/>
  <c r="J616" i="1" s="1"/>
  <c r="J44" i="1"/>
  <c r="H611" i="1" s="1"/>
  <c r="L203" i="1"/>
  <c r="C101" i="2"/>
  <c r="C10" i="10"/>
  <c r="J611" i="1"/>
  <c r="H636" i="1"/>
  <c r="J636" i="1" s="1"/>
  <c r="G627" i="1"/>
  <c r="J627" i="1" s="1"/>
  <c r="D6" i="13"/>
  <c r="C6" i="13" s="1"/>
  <c r="C110" i="2"/>
  <c r="C120" i="2" s="1"/>
  <c r="C15" i="10"/>
  <c r="L519" i="1"/>
  <c r="G539" i="1"/>
  <c r="G542" i="1" s="1"/>
  <c r="C16" i="10"/>
  <c r="C102" i="2"/>
  <c r="C11" i="10"/>
  <c r="H654" i="1"/>
  <c r="F31" i="13"/>
  <c r="F33" i="13" s="1"/>
  <c r="J330" i="1"/>
  <c r="H594" i="1"/>
  <c r="L511" i="1"/>
  <c r="F514" i="1"/>
  <c r="F535" i="1" s="1"/>
  <c r="C41" i="10"/>
  <c r="D39" i="10" s="1"/>
  <c r="C36" i="10"/>
  <c r="D29" i="13"/>
  <c r="C29" i="13" s="1"/>
  <c r="F651" i="1"/>
  <c r="I651" i="1" s="1"/>
  <c r="L354" i="1"/>
  <c r="D119" i="2"/>
  <c r="D120" i="2" s="1"/>
  <c r="D137" i="2" s="1"/>
  <c r="J614" i="1"/>
  <c r="C136" i="2"/>
  <c r="G662" i="1" l="1"/>
  <c r="C5" i="10" s="1"/>
  <c r="G657" i="1"/>
  <c r="D35" i="10"/>
  <c r="C28" i="10"/>
  <c r="D36" i="10"/>
  <c r="C107" i="2"/>
  <c r="C137" i="2" s="1"/>
  <c r="L514" i="1"/>
  <c r="L535" i="1" s="1"/>
  <c r="F539" i="1"/>
  <c r="G625" i="1"/>
  <c r="J625" i="1" s="1"/>
  <c r="C27" i="10"/>
  <c r="D40" i="10"/>
  <c r="D37" i="10"/>
  <c r="L249" i="1"/>
  <c r="L263" i="1" s="1"/>
  <c r="G622" i="1" s="1"/>
  <c r="J622" i="1" s="1"/>
  <c r="F650" i="1"/>
  <c r="D31" i="13"/>
  <c r="C31" i="13" s="1"/>
  <c r="L330" i="1"/>
  <c r="L344" i="1" s="1"/>
  <c r="G623" i="1" s="1"/>
  <c r="J623" i="1" s="1"/>
  <c r="H595" i="1"/>
  <c r="F653" i="1"/>
  <c r="I653" i="1" s="1"/>
  <c r="K594" i="1"/>
  <c r="K595" i="1" s="1"/>
  <c r="G638" i="1" s="1"/>
  <c r="J344" i="1"/>
  <c r="H638" i="1"/>
  <c r="H657" i="1"/>
  <c r="H662" i="1"/>
  <c r="C6" i="10" s="1"/>
  <c r="D33" i="13"/>
  <c r="D36" i="13" s="1"/>
  <c r="D38" i="10"/>
  <c r="C30" i="10" l="1"/>
  <c r="D22" i="10"/>
  <c r="D23" i="10"/>
  <c r="D25" i="10"/>
  <c r="D24" i="10"/>
  <c r="D20" i="10"/>
  <c r="D21" i="10"/>
  <c r="D26" i="10"/>
  <c r="D12" i="10"/>
  <c r="D17" i="10"/>
  <c r="D19" i="10"/>
  <c r="D18" i="10"/>
  <c r="J638" i="1"/>
  <c r="K539" i="1"/>
  <c r="K542" i="1" s="1"/>
  <c r="F542" i="1"/>
  <c r="D41" i="10"/>
  <c r="D15" i="10"/>
  <c r="H646" i="1"/>
  <c r="F654" i="1"/>
  <c r="I650" i="1"/>
  <c r="I654" i="1" s="1"/>
  <c r="D16" i="10"/>
  <c r="D10" i="10"/>
  <c r="D11" i="10"/>
  <c r="D13" i="10"/>
  <c r="D27" i="10"/>
  <c r="F662" i="1" l="1"/>
  <c r="C4" i="10" s="1"/>
  <c r="F657" i="1"/>
  <c r="D28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00C8E44-1FD0-40FE-A28C-B78F5932B4A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3BB2793-68C6-4B1B-968F-8A6362E074F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C99091E-655C-4044-9A96-61B710199D5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C6EBE36-8222-4994-B61F-98A7F807B97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FFEDA595-E379-4263-BA61-66E151D72C2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2EA02FE-2DA1-4AF3-984C-25B82B763BE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378A531-091B-4D39-9F99-6A4711017FF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8DEBFB7-FC7B-4EAE-97A3-873536D14D9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9908D51-3A5F-4470-B6C5-2819BDC8BF9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488B3F6-92B2-41FC-A936-133021E6AB2B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A7A08B9-982B-44E8-9269-32A4E7F5EEE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5EA3CC5-22CA-4FCD-8CB5-222837F35D5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<sst xmlns="http://schemas.openxmlformats.org/spreadsheetml/2006/main" count="3862" uniqueCount="899">
  <si>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</si>
  <si>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</si>
  <si>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</si>
  <si>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</si>
  <si>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</si>
  <si>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</si>
  <si>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</si>
  <si>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</si>
  <si>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</si>
  <si>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</si>
  <si>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</si>
  <si>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</si>
  <si>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</si>
  <si>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</si>
  <si>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</si>
  <si>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</si>
  <si>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</si>
  <si>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</si>
  <si>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</si>
  <si>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</si>
  <si>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</si>
  <si>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</si>
  <si>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</si>
  <si>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</si>
  <si>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</si>
  <si>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</si>
  <si>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</si>
  <si>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</si>
  <si>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</si>
  <si>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</si>
  <si>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</si>
  <si>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</si>
  <si>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</si>
  <si>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</si>
  <si>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</si>
  <si>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</si>
  <si>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</si>
  <si>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</si>
  <si>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</si>
  <si>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</si>
  <si>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</si>
  <si>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</si>
  <si>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</si>
  <si>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</si>
  <si>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</si>
  <si>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</si>
  <si>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</si>
  <si>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</si>
  <si>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</si>
  <si>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</si>
  <si>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</si>
  <si>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</si>
  <si>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</si>
  <si>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</si>
  <si>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</si>
  <si>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</si>
  <si>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</si>
  <si>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</si>
  <si>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</si>
  <si>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</si>
  <si>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</si>
  <si>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</si>
  <si>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</si>
  <si>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</si>
  <si>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</si>
  <si>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</si>
  <si>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</si>
  <si>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</si>
  <si>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</si>
  <si>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</si>
  <si>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</si>
  <si>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</si>
  <si>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</si>
  <si>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</si>
  <si>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</si>
  <si>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</si>
  <si>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</si>
  <si>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</si>
  <si>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</si>
  <si>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</si>
  <si>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</si>
  <si>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</si>
  <si>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</si>
  <si>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</si>
  <si>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</si>
  <si>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</si>
  <si>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</si>
  <si>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</si>
  <si>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</si>
  <si>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</si>
  <si>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</si>
  <si>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</si>
  <si>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</si>
  <si>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</si>
  <si>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</si>
  <si>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</si>
  <si>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</si>
  <si>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</si>
  <si>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</si>
  <si>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</si>
  <si>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</si>
  <si>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</si>
  <si>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</si>
  <si>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</si>
  <si>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</si>
  <si>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</si>
  <si>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</si>
  <si>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</si>
  <si>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</si>
  <si>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</si>
  <si>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</si>
  <si>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</si>
  <si>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</si>
  <si>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</si>
  <si>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</si>
  <si>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</si>
  <si>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</si>
  <si>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</si>
  <si>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</si>
  <si>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</si>
  <si>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</si>
  <si>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</si>
  <si>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</si>
  <si>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</si>
  <si>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</si>
  <si>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</si>
  <si>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</si>
  <si>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</si>
  <si>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</si>
  <si>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</si>
  <si>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</si>
  <si>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</si>
  <si>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</si>
  <si>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</si>
  <si>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</si>
  <si>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</si>
  <si>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</si>
  <si>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</si>
  <si>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</si>
  <si>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</si>
  <si>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</si>
  <si>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</si>
  <si>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</si>
  <si>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</si>
  <si>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</si>
  <si>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</si>
  <si>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</si>
  <si>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</si>
  <si>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</si>
  <si>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</si>
  <si>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</si>
  <si>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</si>
  <si>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</si>
  <si>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</si>
  <si>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</si>
  <si>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</si>
  <si>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</si>
  <si>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</si>
  <si>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</si>
  <si>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</si>
  <si>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</si>
  <si>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</si>
  <si>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</si>
  <si>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</si>
  <si>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</si>
  <si>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</si>
  <si>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</si>
  <si>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</si>
  <si>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</si>
  <si>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</si>
  <si>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</si>
  <si>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</si>
  <si>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</si>
  <si>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</si>
  <si>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</si>
  <si>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</si>
  <si>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</si>
  <si>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</si>
  <si>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</si>
  <si>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</si>
  <si>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</si>
  <si>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</si>
  <si>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</si>
  <si>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</si>
  <si>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</si>
  <si>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</si>
  <si>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</si>
  <si>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</si>
  <si>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</si>
  <si>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</si>
  <si>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</si>
  <si>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</si>
  <si>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</si>
  <si>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</si>
  <si>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</si>
  <si>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</si>
  <si>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</si>
  <si>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</si>
  <si>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</si>
  <si>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</si>
  <si>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</si>
  <si>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</si>
  <si>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</si>
  <si>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</si>
  <si>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</si>
  <si>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</si>
  <si>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</si>
  <si>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</si>
  <si>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</si>
  <si>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</si>
  <si>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</si>
  <si>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</si>
  <si>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</si>
  <si>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</si>
  <si>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</si>
  <si>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</si>
  <si>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</si>
  <si>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</si>
  <si>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</si>
  <si>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</si>
  <si>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</si>
  <si>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</si>
  <si>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</si>
  <si>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</si>
  <si>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</si>
  <si>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</si>
  <si>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</si>
  <si>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</si>
  <si>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</si>
  <si>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</si>
  <si>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</si>
  <si>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</si>
  <si>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</si>
  <si>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</si>
  <si>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</si>
  <si>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</si>
  <si>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</si>
  <si>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</si>
  <si>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</si>
  <si>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</si>
  <si>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</si>
  <si>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</si>
  <si>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</si>
  <si>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</si>
  <si>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</si>
  <si>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</si>
  <si>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</si>
  <si>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</si>
  <si>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</si>
  <si>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</si>
  <si>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</si>
  <si>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</si>
  <si>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</si>
  <si>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</si>
  <si>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</si>
  <si>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</si>
  <si>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</si>
  <si>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</si>
  <si>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</si>
  <si>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</si>
  <si>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</si>
  <si>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</si>
  <si>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</si>
  <si>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</si>
  <si>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</si>
  <si>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</si>
  <si>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</si>
  <si>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</si>
  <si>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</si>
  <si>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</si>
  <si>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</si>
  <si>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</si>
  <si>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</si>
  <si>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</si>
  <si>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</si>
  <si>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</si>
  <si>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</si>
  <si>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</si>
  <si>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</si>
  <si>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</si>
  <si>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</si>
  <si>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</si>
  <si>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</si>
  <si>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</si>
  <si>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</si>
  <si>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</si>
  <si>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</si>
  <si>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</si>
  <si>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</si>
  <si>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</si>
  <si>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</si>
  <si>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</si>
  <si>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</si>
  <si>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</si>
  <si>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</si>
  <si>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</si>
  <si>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</si>
  <si>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</si>
  <si>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</si>
  <si>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</si>
  <si>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</si>
  <si>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</si>
  <si>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</si>
  <si>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</si>
  <si>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</si>
  <si>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</si>
  <si>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</si>
  <si>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</si>
  <si>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</si>
  <si>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</si>
  <si>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</si>
  <si>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</si>
  <si>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</si>
  <si>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</si>
  <si>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</si>
  <si>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</si>
  <si>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</si>
  <si>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</si>
  <si>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</si>
  <si>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</si>
  <si>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</si>
  <si>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</si>
  <si>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</si>
  <si>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</si>
  <si>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</si>
  <si>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</si>
  <si>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</si>
  <si>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</si>
  <si>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</si>
  <si>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</si>
  <si>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</si>
  <si>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</si>
  <si>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</si>
  <si>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</si>
  <si>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</si>
  <si>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</si>
  <si>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</si>
  <si>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</si>
  <si>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</si>
  <si>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</si>
  <si>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</si>
  <si>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</si>
  <si>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</si>
  <si>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</si>
  <si>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</si>
  <si>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</si>
  <si>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</si>
  <si>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</si>
  <si>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</si>
  <si>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</si>
  <si>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</si>
  <si>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</si>
  <si>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</si>
  <si>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</si>
  <si>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</si>
  <si>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</si>
  <si>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</si>
  <si>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</si>
  <si>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</si>
  <si>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</si>
  <si>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</si>
  <si>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</si>
  <si>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</si>
  <si>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</si>
  <si>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</si>
  <si>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</si>
  <si>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</si>
  <si>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</si>
  <si>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</si>
  <si>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</si>
  <si>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</si>
  <si>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</si>
  <si>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</si>
  <si>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</si>
  <si>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</si>
  <si>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</si>
  <si>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</si>
  <si>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</si>
  <si>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</si>
  <si>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</si>
  <si>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</si>
  <si>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</si>
  <si>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</si>
  <si>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</si>
  <si>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</si>
  <si>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</si>
  <si>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</si>
  <si>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</si>
  <si>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</si>
  <si>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</si>
  <si>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</si>
  <si>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</si>
  <si>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</si>
  <si>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</si>
  <si>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</si>
  <si>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</si>
  <si>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</si>
  <si>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</si>
  <si>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</si>
  <si>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</si>
  <si>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</si>
  <si>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</si>
  <si>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</si>
  <si>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</si>
  <si>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</si>
  <si>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</si>
  <si>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</si>
  <si>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</si>
  <si>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</si>
  <si>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</si>
  <si>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</si>
  <si>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</si>
  <si>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</si>
  <si>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</si>
  <si>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</si>
  <si>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</si>
  <si>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</si>
  <si>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</si>
  <si>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</si>
  <si>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</si>
  <si>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</si>
  <si>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</si>
  <si>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</si>
  <si>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</si>
  <si>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</si>
  <si>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</si>
  <si>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</si>
  <si>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</si>
  <si>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</si>
  <si>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</si>
  <si>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</si>
  <si>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</si>
  <si>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</si>
  <si>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</si>
  <si>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</si>
  <si>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</si>
  <si>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</si>
  <si>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</si>
  <si>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</si>
  <si>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</si>
  <si>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</si>
  <si>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</si>
  <si>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</si>
  <si>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</si>
  <si>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</si>
  <si>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</si>
  <si>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</si>
  <si>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</si>
  <si>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</si>
  <si>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</si>
  <si>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</si>
  <si>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</si>
  <si>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</si>
  <si>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</si>
  <si>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</si>
  <si>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</si>
  <si>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</si>
  <si>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</si>
  <si>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</si>
  <si>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</si>
  <si>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</si>
  <si>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</si>
  <si>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</si>
  <si>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</si>
  <si>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</si>
  <si>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</si>
  <si>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</si>
  <si>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</si>
  <si>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</si>
  <si>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</si>
  <si>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</si>
  <si>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</si>
  <si>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</si>
  <si>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</si>
  <si>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</si>
  <si>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</si>
  <si>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</si>
  <si>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</si>
  <si>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</si>
  <si>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</si>
  <si>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</si>
  <si>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</si>
  <si>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</si>
  <si>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</si>
  <si>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</si>
  <si>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</si>
  <si>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</si>
  <si>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</si>
  <si>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</si>
  <si>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</si>
  <si>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</si>
  <si>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</si>
  <si>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</si>
  <si>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</si>
  <si>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</si>
  <si>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</si>
  <si>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</si>
  <si>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</si>
  <si>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</si>
  <si>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</si>
  <si>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</si>
  <si>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</si>
  <si>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</si>
  <si>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</si>
  <si>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</si>
  <si>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</si>
  <si>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</si>
  <si>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</si>
  <si>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</si>
  <si>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</si>
  <si>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</si>
  <si>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</si>
  <si>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</si>
  <si>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</si>
  <si>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</si>
  <si>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</si>
  <si>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</si>
  <si>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</si>
  <si>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</si>
  <si>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</si>
  <si>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</si>
  <si>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</si>
  <si>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</si>
  <si>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</si>
  <si>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</si>
  <si>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</si>
  <si>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</si>
  <si>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</si>
  <si>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</si>
  <si>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</si>
  <si>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</si>
  <si>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</si>
  <si>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</si>
  <si>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</si>
  <si>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</si>
  <si>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</si>
  <si>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</si>
  <si>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</si>
  <si>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</si>
  <si>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</si>
  <si>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</si>
  <si>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</si>
  <si>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</si>
  <si>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</si>
  <si>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</si>
  <si>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</si>
  <si>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</si>
  <si>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</si>
  <si>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</si>
  <si>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</si>
  <si>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</si>
  <si>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</si>
  <si>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</si>
  <si>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</si>
  <si>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</si>
  <si>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</si>
  <si>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</si>
  <si>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</si>
  <si>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</si>
  <si>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</si>
  <si>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</si>
  <si>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</si>
  <si>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</si>
  <si>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</si>
  <si>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</si>
  <si>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</si>
  <si>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</si>
  <si>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</si>
  <si>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</si>
  <si>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</si>
  <si>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</si>
  <si>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</si>
  <si>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</si>
  <si>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</si>
  <si>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</si>
  <si>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</si>
  <si>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</si>
  <si>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</si>
  <si>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</si>
  <si>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</si>
  <si>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</si>
  <si>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</si>
  <si>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</si>
  <si>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</si>
  <si>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</si>
  <si>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</si>
  <si>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</si>
  <si>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</si>
  <si>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</si>
  <si>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</si>
  <si>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</si>
  <si>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</si>
  <si>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</si>
  <si>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</si>
  <si>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</si>
  <si>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</si>
  <si>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</si>
  <si>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</si>
  <si>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</si>
  <si>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</si>
  <si>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</si>
  <si>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</si>
  <si>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</si>
  <si>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</si>
  <si>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</si>
  <si>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</si>
  <si>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</si>
  <si>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</si>
  <si>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</si>
  <si>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</si>
  <si>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</si>
  <si>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</si>
  <si>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</si>
  <si>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</si>
  <si>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</si>
  <si>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</si>
  <si>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</si>
  <si>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</si>
  <si>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</si>
  <si>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</si>
  <si>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</si>
  <si>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</si>
  <si>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</si>
  <si>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</si>
  <si>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</si>
  <si>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</si>
  <si>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</si>
  <si>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</si>
  <si>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</si>
  <si>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</si>
  <si>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</si>
  <si>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</si>
  <si>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</si>
  <si>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</si>
  <si>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</si>
  <si>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</si>
  <si>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</si>
  <si>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</si>
  <si>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</si>
  <si>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</si>
  <si>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</si>
  <si>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</si>
  <si>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</si>
  <si>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</si>
  <si>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</si>
  <si>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</si>
  <si>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</si>
  <si>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</si>
  <si>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</si>
  <si>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</si>
  <si>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</si>
  <si>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</si>
  <si>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</si>
  <si>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</si>
  <si>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</si>
  <si>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</si>
  <si>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</si>
  <si>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</si>
  <si>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</si>
  <si>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</si>
  <si>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</si>
  <si>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</si>
  <si>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</si>
  <si>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</si>
  <si>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</si>
  <si>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</si>
  <si>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</si>
  <si>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</si>
  <si>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</si>
  <si>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</si>
  <si>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</si>
  <si>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</si>
  <si>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</si>
  <si>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</si>
  <si>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</si>
  <si>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</si>
  <si>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</si>
  <si>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</si>
  <si>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</si>
  <si>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</si>
  <si>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</si>
  <si>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</si>
  <si>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</si>
  <si>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</si>
  <si>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</si>
  <si>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</si>
  <si>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</si>
  <si>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</si>
  <si>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</si>
  <si>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</si>
  <si>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</si>
  <si>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</si>
  <si>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</si>
  <si>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</si>
  <si>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</si>
  <si>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</si>
  <si>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</si>
  <si>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</si>
  <si>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</si>
  <si>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</si>
  <si>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</si>
  <si>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</si>
  <si>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</si>
  <si>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</si>
  <si>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</si>
  <si>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</si>
  <si>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</si>
  <si>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</si>
  <si>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</si>
  <si>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</si>
  <si>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</si>
  <si>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</si>
  <si>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</si>
  <si>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</si>
  <si>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</si>
  <si>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</si>
  <si>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</si>
  <si>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</si>
  <si>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</si>
  <si>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</si>
  <si>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</si>
  <si>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</si>
  <si>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</si>
  <si>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</si>
  <si>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</si>
  <si>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</si>
  <si>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</si>
  <si>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</si>
  <si>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</si>
  <si>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</si>
  <si>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</si>
  <si>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</si>
  <si>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</si>
  <si>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</si>
  <si>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</si>
  <si>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</si>
  <si>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</si>
  <si>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</si>
  <si>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</si>
  <si>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</si>
  <si>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</si>
  <si>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</si>
  <si>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</si>
  <si>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</si>
  <si>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</si>
  <si>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</si>
  <si>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</si>
  <si>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</si>
  <si>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</si>
  <si>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</si>
  <si>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</si>
  <si>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</si>
  <si>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</si>
  <si>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</si>
  <si>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</si>
  <si>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</si>
  <si>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</si>
  <si>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</si>
  <si>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</si>
  <si>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</si>
  <si>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</si>
  <si>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</si>
  <si>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</si>
  <si>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</si>
  <si>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</si>
  <si>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</si>
  <si>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</si>
  <si>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</si>
  <si>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</si>
  <si>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</si>
  <si>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</si>
  <si>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</si>
  <si>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</si>
  <si>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</si>
  <si>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</si>
  <si>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</si>
  <si>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</si>
  <si>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</si>
  <si>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</si>
  <si>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</si>
  <si>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</si>
  <si>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</si>
  <si>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</si>
  <si>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</si>
  <si>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</si>
  <si>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</si>
  <si>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</si>
  <si>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</si>
  <si>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</si>
  <si>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</si>
  <si>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</si>
  <si>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</si>
  <si>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</si>
  <si>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</si>
  <si>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</si>
  <si>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</si>
  <si>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</si>
  <si>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</si>
  <si>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</si>
  <si>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</si>
  <si>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</si>
  <si>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</si>
  <si>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</si>
  <si>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</si>
  <si>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</si>
  <si>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</si>
  <si>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</si>
  <si>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</si>
  <si>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</si>
  <si>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</si>
  <si>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</si>
  <si>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</si>
  <si>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</si>
  <si>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</si>
  <si>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</si>
  <si>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</si>
  <si>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</si>
  <si>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</si>
  <si>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</si>
  <si>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</si>
  <si>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</si>
  <si>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</si>
  <si>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</si>
  <si>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</si>
  <si>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</si>
  <si>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</si>
  <si>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</si>
  <si>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</si>
  <si>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</si>
  <si>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</si>
  <si>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</si>
  <si>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</si>
  <si>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</si>
  <si>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</si>
  <si>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</si>
  <si>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</si>
  <si>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</si>
  <si>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</si>
  <si>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</si>
  <si>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</si>
  <si>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</si>
  <si>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</si>
  <si>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</si>
  <si>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</si>
  <si>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</si>
  <si>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</si>
  <si>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</si>
  <si>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</si>
  <si>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</si>
  <si>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</si>
  <si>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</si>
  <si>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</si>
  <si>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</si>
  <si>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</si>
  <si>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</si>
  <si>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</si>
  <si>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</si>
  <si>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</si>
  <si>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</si>
  <si>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</si>
  <si>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</si>
  <si>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</si>
  <si>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</si>
  <si>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</si>
  <si>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</si>
  <si>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</si>
  <si>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</si>
  <si>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</si>
  <si>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</si>
  <si>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</si>
  <si>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</si>
  <si>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</si>
  <si>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</si>
  <si>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</si>
  <si>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</si>
  <si>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</si>
  <si>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</si>
  <si>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</si>
  <si>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</si>
  <si>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</si>
  <si>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</si>
  <si>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</si>
  <si>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</si>
  <si>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</si>
  <si>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</si>
  <si>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</si>
  <si>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</si>
  <si>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</si>
  <si>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</si>
  <si>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</si>
  <si>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</si>
  <si>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</si>
  <si>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</si>
  <si>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</si>
  <si>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08/15/2005</t>
  </si>
  <si>
    <t>08/15/2025</t>
  </si>
  <si>
    <t>Prior year encumbrances $202,551, a/p not paid $598.86</t>
  </si>
  <si>
    <t xml:space="preserve">Prior year audit adj $3,432 </t>
  </si>
  <si>
    <t>Epping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</si>
</sst>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02D8-1FF0-4720-ADE1-0BC251FBCEF6}">
  <sheetPr transitionEvaluation="1" transitionEntry="1" codeName="Sheet1">
    <tabColor indexed="56"/>
  </sheetPr>
  <dimension ref="A1:AQ666"/>
  <sheetViews>
    <sheetView tabSelected="1" zoomScale="75" zoomScaleNormal="15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165</v>
      </c>
      <c r="C2" s="21">
        <v>165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1137485.56</v>
      </c>
      <c r="G9" s="18">
        <v>69291.16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229569.13</v>
      </c>
      <c r="G12" s="18"/>
      <c r="H12" s="18">
        <v>7370.64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12073.7</v>
      </c>
      <c r="G13" s="18">
        <v>29010.95</v>
      </c>
      <c r="H13" s="18">
        <v>173266.5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300</v>
      </c>
      <c r="G14" s="18">
        <v>2001.22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>
        <v>870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1379428.39</v>
      </c>
      <c r="G19" s="41">
        <f>SUM(G9:G18)</f>
        <v>100303.33</v>
      </c>
      <c r="H19" s="41">
        <f>SUM(H9:H18)</f>
        <v>181507.14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7252.79</v>
      </c>
      <c r="G23" s="18">
        <v>63848</v>
      </c>
      <c r="H23" s="18">
        <v>165838.98000000001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309283.27</v>
      </c>
      <c r="G25" s="18"/>
      <c r="H25" s="18">
        <f>3430.74+4500</f>
        <v>7930.74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433562.57</v>
      </c>
      <c r="G29" s="18">
        <v>1823.4</v>
      </c>
      <c r="H29" s="18">
        <v>4866.78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2875.02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750137.63</v>
      </c>
      <c r="G33" s="41">
        <f>SUM(G23:G32)</f>
        <v>68546.42</v>
      </c>
      <c r="H33" s="41">
        <f>SUM(H23:H32)</f>
        <v>178636.5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134920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f>23551.53+8205.38</f>
        <v>31756.909999999996</v>
      </c>
      <c r="H41" s="18">
        <f>4575.14-1704.5</f>
        <v>2870.6400000000003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494370.76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629290.76</v>
      </c>
      <c r="G43" s="41">
        <f>SUM(G35:G42)</f>
        <v>31756.909999999996</v>
      </c>
      <c r="H43" s="41">
        <f>SUM(H35:H42)</f>
        <v>2870.6400000000003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1379428.3900000001</v>
      </c>
      <c r="G44" s="41">
        <f>G43+G33</f>
        <v>100303.32999999999</v>
      </c>
      <c r="H44" s="41">
        <f>H43+H33</f>
        <v>181507.14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9755383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9755383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19125+17150+69625</f>
        <v>105900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1400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23089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2042.5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13314.5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145746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2178.13</v>
      </c>
      <c r="G88" s="18">
        <v>157.75</v>
      </c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128910.61+76167.23</f>
        <v>205077.84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8400.0400000000009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104271.57</v>
      </c>
      <c r="G102" s="18"/>
      <c r="H102" s="18">
        <v>4500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114849.74</v>
      </c>
      <c r="G103" s="41">
        <f>SUM(G88:G102)</f>
        <v>205235.59</v>
      </c>
      <c r="H103" s="41">
        <f>SUM(H88:H102)</f>
        <v>4500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10015978.74</v>
      </c>
      <c r="G104" s="41">
        <f>G52+G103</f>
        <v>205235.59</v>
      </c>
      <c r="H104" s="41">
        <f>H52+H71+H86+H103</f>
        <v>4500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3028945.99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1430311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109859.01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4569116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192256.34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66340.05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8981.94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3639.51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5850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v>3600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273428.33</v>
      </c>
      <c r="G128" s="41">
        <f>SUM(G115:G127)</f>
        <v>3639.51</v>
      </c>
      <c r="H128" s="41">
        <f>SUM(H115:H127)</f>
        <v>3600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4842544.33</v>
      </c>
      <c r="G132" s="41">
        <f>G113+SUM(G128:G129)</f>
        <v>3639.51</v>
      </c>
      <c r="H132" s="41">
        <f>H113+SUM(H128:H131)</f>
        <v>3600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11994.86+23080.16+153692.1+4000+10579.6</f>
        <v>203346.72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-0.01+62226.74</f>
        <v>62226.729999999996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108606.7+25802.55</f>
        <v>134409.25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81283.44+8480.07+205960.95+7868.39</f>
        <v>303592.85000000003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166267.68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14673.38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166267.68</v>
      </c>
      <c r="G154" s="41">
        <f>SUM(G142:G153)</f>
        <v>149082.63</v>
      </c>
      <c r="H154" s="41">
        <f>SUM(H142:H153)</f>
        <v>569166.30000000005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166267.68</v>
      </c>
      <c r="G161" s="41">
        <f>G139+G154+SUM(G155:G160)</f>
        <v>149082.63</v>
      </c>
      <c r="H161" s="41">
        <f>H139+H154+SUM(H155:H160)</f>
        <v>569166.30000000005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1541.75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14064.19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14064.19</v>
      </c>
      <c r="G175" s="41">
        <f>SUM(G171:G174)</f>
        <v>1541.75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14064.19</v>
      </c>
      <c r="G184" s="41">
        <f>G175+SUM(G180:G183)</f>
        <v>1541.75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15038854.939999999</v>
      </c>
      <c r="G185" s="47">
        <f>G104+G132+G161+G184</f>
        <v>359499.48</v>
      </c>
      <c r="H185" s="47">
        <f>H104+H132+H161+H184</f>
        <v>577266.30000000005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201771.9+1381383.89+22862.03</f>
        <v>1606017.8199999998</v>
      </c>
      <c r="G189" s="18">
        <f>577988.95+81584.8+25558.8+20.09</f>
        <v>685152.64</v>
      </c>
      <c r="H189" s="18">
        <f>500+1052.66</f>
        <v>1552.66</v>
      </c>
      <c r="I189" s="18">
        <f>170433.59+2490.84+4196.87</f>
        <v>177121.3</v>
      </c>
      <c r="J189" s="18">
        <f>8615.92</f>
        <v>8615.92</v>
      </c>
      <c r="K189" s="18"/>
      <c r="L189" s="19">
        <f>SUM(F189:K189)</f>
        <v>2478460.34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615689.4+108667.34+119633.01</f>
        <v>843989.75</v>
      </c>
      <c r="G190" s="18">
        <f>273823.1+58416.14+13979.65+19630.11</f>
        <v>365849</v>
      </c>
      <c r="H190" s="18">
        <f>3677.4+11480+10203.95</f>
        <v>25361.35</v>
      </c>
      <c r="I190" s="18">
        <f>5135.52+740.14</f>
        <v>5875.6600000000008</v>
      </c>
      <c r="J190" s="18"/>
      <c r="K190" s="18"/>
      <c r="L190" s="19">
        <f>SUM(F190:K190)</f>
        <v>1241075.76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20972.78</v>
      </c>
      <c r="G192" s="18">
        <f>2935.74</f>
        <v>2935.74</v>
      </c>
      <c r="H192" s="18">
        <f>266</f>
        <v>266</v>
      </c>
      <c r="I192" s="18">
        <f>829.04</f>
        <v>829.04</v>
      </c>
      <c r="J192" s="18"/>
      <c r="K192" s="18"/>
      <c r="L192" s="19">
        <f>SUM(F192:K192)</f>
        <v>25003.559999999998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37061+71218.67+56793.64+56440+23656.85+90457.5</f>
        <v>335627.66000000003</v>
      </c>
      <c r="G194" s="18">
        <f>21774.26+26493.28+41661.31+17117.9+3326.59+39796.65</f>
        <v>150169.99</v>
      </c>
      <c r="H194" s="18">
        <v>52212.7</v>
      </c>
      <c r="I194" s="18">
        <f>1433.84+2343+2548.16+1786.56+2790.8</f>
        <v>10902.36</v>
      </c>
      <c r="J194" s="18">
        <f>171.85+962.96+538.61+2292.89</f>
        <v>3966.31</v>
      </c>
      <c r="K194" s="18">
        <f>144.64</f>
        <v>144.63999999999999</v>
      </c>
      <c r="L194" s="19">
        <f t="shared" ref="L194:L200" si="0">SUM(F194:K194)</f>
        <v>553023.66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15315.3+75715.62+72068.15</f>
        <v>163099.07</v>
      </c>
      <c r="G195" s="18">
        <f>19857.67+27174.16+1344.17+74364.14</f>
        <v>122740.14</v>
      </c>
      <c r="H195" s="18">
        <v>18860.7</v>
      </c>
      <c r="I195" s="18">
        <f>10647.05+27745.66</f>
        <v>38392.71</v>
      </c>
      <c r="J195" s="18">
        <f>1221.12+106211.66</f>
        <v>107432.78</v>
      </c>
      <c r="K195" s="18">
        <v>212.68</v>
      </c>
      <c r="L195" s="19">
        <f t="shared" si="0"/>
        <v>450738.08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206622.43</v>
      </c>
      <c r="G196" s="18">
        <f>2487.93+87307.14</f>
        <v>89795.069999999992</v>
      </c>
      <c r="H196" s="18">
        <v>33389.589999999997</v>
      </c>
      <c r="I196" s="18">
        <f>8480.94</f>
        <v>8480.94</v>
      </c>
      <c r="J196" s="18"/>
      <c r="K196" s="18">
        <v>9008.8799999999992</v>
      </c>
      <c r="L196" s="19">
        <f t="shared" si="0"/>
        <v>347296.91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243298.42</v>
      </c>
      <c r="G197" s="18">
        <f>124731.23+1430.77</f>
        <v>126162</v>
      </c>
      <c r="H197" s="18">
        <f>42369.03+40</f>
        <v>42409.03</v>
      </c>
      <c r="I197" s="18">
        <f>5035.71</f>
        <v>5035.71</v>
      </c>
      <c r="J197" s="18">
        <f>600</f>
        <v>600</v>
      </c>
      <c r="K197" s="18">
        <f>1761</f>
        <v>1761</v>
      </c>
      <c r="L197" s="19">
        <f t="shared" si="0"/>
        <v>419266.16000000009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103605.41+75026.78</f>
        <v>178632.19</v>
      </c>
      <c r="G199" s="18">
        <f>56198.75+6598.54+28867.32</f>
        <v>91664.61</v>
      </c>
      <c r="H199" s="18">
        <v>111450.49</v>
      </c>
      <c r="I199" s="18">
        <f>223189.56</f>
        <v>223189.56</v>
      </c>
      <c r="J199" s="18">
        <v>6302.93</v>
      </c>
      <c r="K199" s="18"/>
      <c r="L199" s="19">
        <f t="shared" si="0"/>
        <v>611239.78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31855+127072+61971.21+14486.49</f>
        <v>235384.69999999998</v>
      </c>
      <c r="I200" s="18"/>
      <c r="J200" s="18"/>
      <c r="K200" s="18"/>
      <c r="L200" s="19">
        <f t="shared" si="0"/>
        <v>235384.69999999998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3598260.1199999996</v>
      </c>
      <c r="G203" s="41">
        <f t="shared" si="1"/>
        <v>1634469.1900000002</v>
      </c>
      <c r="H203" s="41">
        <f t="shared" si="1"/>
        <v>520887.22</v>
      </c>
      <c r="I203" s="41">
        <f t="shared" si="1"/>
        <v>469827.27999999997</v>
      </c>
      <c r="J203" s="41">
        <f t="shared" si="1"/>
        <v>126917.94</v>
      </c>
      <c r="K203" s="41">
        <f t="shared" si="1"/>
        <v>11127.199999999999</v>
      </c>
      <c r="L203" s="41">
        <f t="shared" si="1"/>
        <v>6361488.9500000002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834123.81+1386.2</f>
        <v>835510.01</v>
      </c>
      <c r="G207" s="18">
        <f>350139.04+8932.59</f>
        <v>359071.63</v>
      </c>
      <c r="H207" s="18">
        <f>1994.67+509.85</f>
        <v>2504.52</v>
      </c>
      <c r="I207" s="18">
        <f>37275.89</f>
        <v>37275.89</v>
      </c>
      <c r="J207" s="18">
        <v>4069.36</v>
      </c>
      <c r="K207" s="18"/>
      <c r="L207" s="19">
        <f>SUM(F207:K207)</f>
        <v>1238431.4100000001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326653.41+29347.61</f>
        <v>356001.01999999996</v>
      </c>
      <c r="G208" s="18">
        <f>108195.09+8015.04</f>
        <v>116210.12999999999</v>
      </c>
      <c r="H208" s="18">
        <f>712.5+36572</f>
        <v>37284.5</v>
      </c>
      <c r="I208" s="18">
        <f>3108.31</f>
        <v>3108.31</v>
      </c>
      <c r="J208" s="18">
        <f>3433.01</f>
        <v>3433.01</v>
      </c>
      <c r="K208" s="18"/>
      <c r="L208" s="19">
        <f>SUM(F208:K208)</f>
        <v>516036.97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18812.92+18728.02</f>
        <v>37540.94</v>
      </c>
      <c r="G210" s="18">
        <f>3323.35+1408.2</f>
        <v>4731.55</v>
      </c>
      <c r="H210" s="18">
        <f>10890.1</f>
        <v>10890.1</v>
      </c>
      <c r="I210" s="18">
        <f>2714.35</f>
        <v>2714.35</v>
      </c>
      <c r="J210" s="18">
        <f>3997</f>
        <v>3997</v>
      </c>
      <c r="K210" s="18"/>
      <c r="L210" s="19">
        <f>SUM(F210:K210)</f>
        <v>59873.94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235.81+11458.02+25845+58880.88</f>
        <v>96419.709999999992</v>
      </c>
      <c r="G212" s="18">
        <f>4717.79+23010.83+1736.11+19275.2</f>
        <v>48739.930000000008</v>
      </c>
      <c r="H212" s="18">
        <f>74+25288.82</f>
        <v>25362.82</v>
      </c>
      <c r="I212" s="18">
        <f>1700.25+1540.04+1710.19</f>
        <v>4950.4799999999996</v>
      </c>
      <c r="J212" s="18">
        <f>245.3+535.02+1110.54</f>
        <v>1890.86</v>
      </c>
      <c r="K212" s="18"/>
      <c r="L212" s="19">
        <f t="shared" ref="L212:L218" si="2">SUM(F212:K212)</f>
        <v>177363.80000000002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520.83+34905.66+24517.65</f>
        <v>59944.140000000007</v>
      </c>
      <c r="G213" s="18">
        <f>2293.71+3906.23+700.18+36017.71</f>
        <v>42917.83</v>
      </c>
      <c r="H213" s="18">
        <v>9135.0300000000007</v>
      </c>
      <c r="I213" s="18">
        <f>10757.05+147.8+13438.4</f>
        <v>24343.25</v>
      </c>
      <c r="J213" s="18">
        <f>473.52+51442.81</f>
        <v>51916.329999999994</v>
      </c>
      <c r="K213" s="18">
        <v>103</v>
      </c>
      <c r="L213" s="19">
        <f t="shared" si="2"/>
        <v>188359.58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100076</v>
      </c>
      <c r="G214" s="18">
        <f>1205.01+42286.55</f>
        <v>43491.560000000005</v>
      </c>
      <c r="H214" s="18">
        <v>16171.99</v>
      </c>
      <c r="I214" s="18">
        <v>4107.68</v>
      </c>
      <c r="J214" s="18"/>
      <c r="K214" s="18">
        <v>4363.38</v>
      </c>
      <c r="L214" s="19">
        <f t="shared" si="2"/>
        <v>168210.61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148522.33-4.01</f>
        <v>148518.31999999998</v>
      </c>
      <c r="G215" s="18">
        <f>35389.63+2232.85+9173.98</f>
        <v>46796.459999999992</v>
      </c>
      <c r="H215" s="18">
        <f>42926.61+20</f>
        <v>42946.61</v>
      </c>
      <c r="I215" s="18">
        <f>4937.51</f>
        <v>4937.51</v>
      </c>
      <c r="J215" s="18"/>
      <c r="K215" s="18">
        <v>3037.49</v>
      </c>
      <c r="L215" s="19">
        <f t="shared" si="2"/>
        <v>246236.38999999996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36338.64+73032.34</f>
        <v>109370.98</v>
      </c>
      <c r="G217" s="18">
        <f>274.32+28995.06+3482.14+13981.67</f>
        <v>46733.19</v>
      </c>
      <c r="H217" s="18">
        <v>53980.2</v>
      </c>
      <c r="I217" s="18">
        <v>108100.16</v>
      </c>
      <c r="J217" s="18">
        <v>3052.78</v>
      </c>
      <c r="K217" s="18"/>
      <c r="L217" s="19">
        <f t="shared" si="2"/>
        <v>321237.31000000006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8680.56+61546.35+6431.94+3710</f>
        <v>80368.850000000006</v>
      </c>
      <c r="I218" s="18"/>
      <c r="J218" s="18"/>
      <c r="K218" s="18"/>
      <c r="L218" s="19">
        <f t="shared" si="2"/>
        <v>80368.850000000006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1743381.1199999999</v>
      </c>
      <c r="G221" s="41">
        <f>SUM(G207:G220)</f>
        <v>708692.28</v>
      </c>
      <c r="H221" s="41">
        <f>SUM(H207:H220)</f>
        <v>278644.62</v>
      </c>
      <c r="I221" s="41">
        <f>SUM(I207:I220)</f>
        <v>189537.63</v>
      </c>
      <c r="J221" s="41">
        <f>SUM(J207:J220)</f>
        <v>68359.34</v>
      </c>
      <c r="K221" s="41">
        <f t="shared" si="3"/>
        <v>7503.87</v>
      </c>
      <c r="L221" s="41">
        <f t="shared" si="3"/>
        <v>2996118.8600000003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1103363.23+1726.77</f>
        <v>1105090</v>
      </c>
      <c r="G225" s="18">
        <f>472101.49+10614.53</f>
        <v>482716.02</v>
      </c>
      <c r="H225" s="18">
        <f>46482.37+635.11</f>
        <v>47117.48</v>
      </c>
      <c r="I225" s="18">
        <f>119388.2</f>
        <v>119388.2</v>
      </c>
      <c r="J225" s="18">
        <v>20175.46</v>
      </c>
      <c r="K225" s="18">
        <v>324.66000000000003</v>
      </c>
      <c r="L225" s="19">
        <f>SUM(F225:K225)</f>
        <v>1774811.8199999998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307481.17+31698.96</f>
        <v>339180.13</v>
      </c>
      <c r="G226" s="18">
        <f>171557.37+5423.02+2309.42</f>
        <v>179289.81</v>
      </c>
      <c r="H226" s="18">
        <f>33143.5+95417.79+121136.45+85742.46</f>
        <v>335440.2</v>
      </c>
      <c r="I226" s="18">
        <f>3342.52</f>
        <v>3342.52</v>
      </c>
      <c r="J226" s="18"/>
      <c r="K226" s="18"/>
      <c r="L226" s="19">
        <f>SUM(F226:K226)</f>
        <v>857252.66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110683.5</f>
        <v>110683.5</v>
      </c>
      <c r="I227" s="18"/>
      <c r="J227" s="18"/>
      <c r="K227" s="18"/>
      <c r="L227" s="19">
        <f>SUM(F227:K227)</f>
        <v>110683.5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89353.55+32683.01</f>
        <v>122036.56</v>
      </c>
      <c r="G228" s="18">
        <f>8588.77+1749.21+552.88</f>
        <v>10890.859999999999</v>
      </c>
      <c r="H228" s="18">
        <f>25842.51</f>
        <v>25842.51</v>
      </c>
      <c r="I228" s="18">
        <f>7163.85</f>
        <v>7163.85</v>
      </c>
      <c r="J228" s="18">
        <v>19161.59</v>
      </c>
      <c r="K228" s="18">
        <v>9834</v>
      </c>
      <c r="L228" s="19">
        <f>SUM(F228:K228)</f>
        <v>194929.37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105222.55+14273.13+12922.5+73139.04</f>
        <v>205557.21999999997</v>
      </c>
      <c r="G230" s="18">
        <f>75789.04+2479.65+28582.97+2971.3+24010.93</f>
        <v>133833.88999999998</v>
      </c>
      <c r="H230" s="18">
        <f>100+5125+31502.02</f>
        <v>36727.020000000004</v>
      </c>
      <c r="I230" s="18">
        <f>2445.14+1912.97+2130.36</f>
        <v>6488.4699999999993</v>
      </c>
      <c r="J230" s="18">
        <f>178.49+399.4+304.7+664.57+1383.39</f>
        <v>2930.55</v>
      </c>
      <c r="K230" s="18">
        <v>226</v>
      </c>
      <c r="L230" s="19">
        <f t="shared" ref="L230:L236" si="4">SUM(F230:K230)</f>
        <v>385763.14999999997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3239.23+17429.35+43481.62+30454.65</f>
        <v>94604.85</v>
      </c>
      <c r="G231" s="18">
        <f>11431.55+4852.14+847.64+44866.88</f>
        <v>61998.209999999992</v>
      </c>
      <c r="H231" s="18">
        <v>11379.42</v>
      </c>
      <c r="I231" s="18">
        <f>11038.89+183.58+16740.08</f>
        <v>27962.550000000003</v>
      </c>
      <c r="J231" s="18">
        <f>950+64081.77</f>
        <v>65031.77</v>
      </c>
      <c r="K231" s="18">
        <v>128.32</v>
      </c>
      <c r="L231" s="19">
        <f t="shared" si="4"/>
        <v>261105.12000000002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124663.64</v>
      </c>
      <c r="G232" s="18">
        <f>1501.07+52675.92</f>
        <v>54176.99</v>
      </c>
      <c r="H232" s="18">
        <v>20145.29</v>
      </c>
      <c r="I232" s="18">
        <v>5116.8999999999996</v>
      </c>
      <c r="J232" s="18"/>
      <c r="K232" s="18">
        <v>5435.43</v>
      </c>
      <c r="L232" s="19">
        <f t="shared" si="4"/>
        <v>209538.25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158708.82-4.99</f>
        <v>158703.83000000002</v>
      </c>
      <c r="G233" s="18">
        <f>36358.8+2773.55+4420.24</f>
        <v>43552.590000000004</v>
      </c>
      <c r="H233" s="18">
        <f>40174.91+30</f>
        <v>40204.910000000003</v>
      </c>
      <c r="I233" s="18">
        <f>4077.02</f>
        <v>4077.02</v>
      </c>
      <c r="J233" s="18"/>
      <c r="K233" s="18">
        <v>10199.84</v>
      </c>
      <c r="L233" s="19">
        <f t="shared" si="4"/>
        <v>256738.19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45266.67+90717.3</f>
        <v>135983.97</v>
      </c>
      <c r="G235" s="18">
        <f>331.17+36016.28+4201.31+17416.83</f>
        <v>57965.59</v>
      </c>
      <c r="H235" s="18">
        <v>67242.570000000007</v>
      </c>
      <c r="I235" s="18">
        <v>134659.26</v>
      </c>
      <c r="J235" s="18">
        <v>3802.81</v>
      </c>
      <c r="K235" s="18"/>
      <c r="L235" s="19">
        <f t="shared" si="4"/>
        <v>399654.2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22606.64+76667.65+914.05+76743.49</f>
        <v>176931.83000000002</v>
      </c>
      <c r="I236" s="18"/>
      <c r="J236" s="18"/>
      <c r="K236" s="18"/>
      <c r="L236" s="19">
        <f t="shared" si="4"/>
        <v>176931.83000000002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2285820.2000000002</v>
      </c>
      <c r="G239" s="41">
        <f t="shared" si="5"/>
        <v>1024423.96</v>
      </c>
      <c r="H239" s="41">
        <f t="shared" si="5"/>
        <v>871714.73000000021</v>
      </c>
      <c r="I239" s="41">
        <f t="shared" si="5"/>
        <v>308198.77</v>
      </c>
      <c r="J239" s="41">
        <f t="shared" si="5"/>
        <v>111102.18</v>
      </c>
      <c r="K239" s="41">
        <f t="shared" si="5"/>
        <v>26148.25</v>
      </c>
      <c r="L239" s="41">
        <f t="shared" si="5"/>
        <v>4627408.09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3600+125904.27</f>
        <v>129504.27</v>
      </c>
      <c r="I247" s="18"/>
      <c r="J247" s="18">
        <v>6330</v>
      </c>
      <c r="K247" s="18"/>
      <c r="L247" s="19">
        <f t="shared" si="6"/>
        <v>135834.27000000002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129504.27</v>
      </c>
      <c r="I248" s="41">
        <f t="shared" si="7"/>
        <v>0</v>
      </c>
      <c r="J248" s="41">
        <f t="shared" si="7"/>
        <v>6330</v>
      </c>
      <c r="K248" s="41">
        <f t="shared" si="7"/>
        <v>0</v>
      </c>
      <c r="L248" s="41">
        <f>SUM(F248:K248)</f>
        <v>135834.27000000002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7627461.4399999995</v>
      </c>
      <c r="G249" s="41">
        <f t="shared" si="8"/>
        <v>3367585.43</v>
      </c>
      <c r="H249" s="41">
        <f t="shared" si="8"/>
        <v>1800750.8400000003</v>
      </c>
      <c r="I249" s="41">
        <f t="shared" si="8"/>
        <v>967563.67999999993</v>
      </c>
      <c r="J249" s="41">
        <f t="shared" si="8"/>
        <v>312709.45999999996</v>
      </c>
      <c r="K249" s="41">
        <f t="shared" si="8"/>
        <v>44779.32</v>
      </c>
      <c r="L249" s="41">
        <f t="shared" si="8"/>
        <v>14120850.17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450000</v>
      </c>
      <c r="L252" s="19">
        <f>SUM(F252:K252)</f>
        <v>450000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469291.26</v>
      </c>
      <c r="L253" s="19">
        <f>SUM(F253:K253)</f>
        <v>469291.26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1541.75</v>
      </c>
      <c r="L255" s="19">
        <f>SUM(F255:K255)</f>
        <v>1541.75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920833.01</v>
      </c>
      <c r="L262" s="41">
        <f t="shared" si="9"/>
        <v>920833.01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7627461.4399999995</v>
      </c>
      <c r="G263" s="42">
        <f t="shared" si="11"/>
        <v>3367585.43</v>
      </c>
      <c r="H263" s="42">
        <f t="shared" si="11"/>
        <v>1800750.8400000003</v>
      </c>
      <c r="I263" s="42">
        <f t="shared" si="11"/>
        <v>967563.67999999993</v>
      </c>
      <c r="J263" s="42">
        <f t="shared" si="11"/>
        <v>312709.45999999996</v>
      </c>
      <c r="K263" s="42">
        <f t="shared" si="11"/>
        <v>965612.33</v>
      </c>
      <c r="L263" s="42">
        <f t="shared" si="11"/>
        <v>15041683.18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720+3172.5+2250+127386.49+20711.16+8520+1745</f>
        <v>164505.15</v>
      </c>
      <c r="G268" s="18"/>
      <c r="H268" s="18">
        <f>3600+360</f>
        <v>3960</v>
      </c>
      <c r="I268" s="18">
        <f>765.57+119+179.18+1000+328.5</f>
        <v>2392.25</v>
      </c>
      <c r="J268" s="18">
        <v>4500</v>
      </c>
      <c r="K268" s="18"/>
      <c r="L268" s="19">
        <f>SUM(F268:K268)</f>
        <v>175357.4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7352.31+37015.54+37332.91</f>
        <v>81700.760000000009</v>
      </c>
      <c r="G269" s="18"/>
      <c r="H269" s="18"/>
      <c r="I269" s="18">
        <f>2793.79</f>
        <v>2793.79</v>
      </c>
      <c r="J269" s="18">
        <f>8480.07+3569.39</f>
        <v>12049.46</v>
      </c>
      <c r="K269" s="18"/>
      <c r="L269" s="19">
        <f>SUM(F269:K269)</f>
        <v>96544.010000000009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625+18494</f>
        <v>19119</v>
      </c>
      <c r="G273" s="18"/>
      <c r="H273" s="18"/>
      <c r="I273" s="18">
        <f>500+472.96</f>
        <v>972.96</v>
      </c>
      <c r="J273" s="18"/>
      <c r="K273" s="18"/>
      <c r="L273" s="19">
        <f t="shared" ref="L273:L279" si="12">SUM(F273:K273)</f>
        <v>20091.96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26006.82+2275.25+1825+2500+5189.08</f>
        <v>37796.15</v>
      </c>
      <c r="G274" s="18">
        <v>200</v>
      </c>
      <c r="H274" s="18">
        <f>16240+5966.28+6778.52+1500+250+3247.7-834</f>
        <v>33148.5</v>
      </c>
      <c r="I274" s="18">
        <f>675+1023+557.59+1393.82+548.13+2965.26+5175.64</f>
        <v>12338.44</v>
      </c>
      <c r="J274" s="18">
        <f>940.09</f>
        <v>940.09</v>
      </c>
      <c r="K274" s="18"/>
      <c r="L274" s="19">
        <f t="shared" si="12"/>
        <v>84423.18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303121.06000000006</v>
      </c>
      <c r="G282" s="42">
        <f t="shared" si="13"/>
        <v>200</v>
      </c>
      <c r="H282" s="42">
        <f t="shared" si="13"/>
        <v>37108.5</v>
      </c>
      <c r="I282" s="42">
        <f t="shared" si="13"/>
        <v>18497.440000000002</v>
      </c>
      <c r="J282" s="42">
        <f t="shared" si="13"/>
        <v>17489.55</v>
      </c>
      <c r="K282" s="42">
        <f t="shared" si="13"/>
        <v>0</v>
      </c>
      <c r="L282" s="41">
        <f t="shared" si="13"/>
        <v>376416.55000000005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64418.3</f>
        <v>64418.3</v>
      </c>
      <c r="G288" s="18"/>
      <c r="H288" s="18"/>
      <c r="I288" s="18">
        <v>1353.15</v>
      </c>
      <c r="J288" s="18">
        <v>1728.81</v>
      </c>
      <c r="K288" s="18"/>
      <c r="L288" s="19">
        <f>SUM(F288:K288)</f>
        <v>67500.259999999995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>
        <v>105</v>
      </c>
      <c r="L292" s="19">
        <f t="shared" ref="L292:L298" si="14">SUM(F292:K292)</f>
        <v>105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12596.21+1102+2513.29</f>
        <v>16211.5</v>
      </c>
      <c r="G293" s="18"/>
      <c r="H293" s="18">
        <f>3283.13+1571.51</f>
        <v>4854.6400000000003</v>
      </c>
      <c r="I293" s="18">
        <f>1436.2+2506.78</f>
        <v>3942.9800000000005</v>
      </c>
      <c r="J293" s="18">
        <f>455.33</f>
        <v>455.33</v>
      </c>
      <c r="K293" s="18"/>
      <c r="L293" s="19">
        <f t="shared" si="14"/>
        <v>25464.45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80629.8</v>
      </c>
      <c r="G301" s="42">
        <f t="shared" si="15"/>
        <v>0</v>
      </c>
      <c r="H301" s="42">
        <f t="shared" si="15"/>
        <v>4854.6400000000003</v>
      </c>
      <c r="I301" s="42">
        <f t="shared" si="15"/>
        <v>5296.130000000001</v>
      </c>
      <c r="J301" s="42">
        <f t="shared" si="15"/>
        <v>2184.14</v>
      </c>
      <c r="K301" s="42">
        <f t="shared" si="15"/>
        <v>105</v>
      </c>
      <c r="L301" s="41">
        <f t="shared" si="15"/>
        <v>93069.709999999992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30983.6+28875.55</f>
        <v>59859.149999999994</v>
      </c>
      <c r="G307" s="18"/>
      <c r="H307" s="18"/>
      <c r="I307" s="18">
        <v>1685.61</v>
      </c>
      <c r="J307" s="18">
        <v>2153.5500000000002</v>
      </c>
      <c r="K307" s="18"/>
      <c r="L307" s="19">
        <f>SUM(F307:K307)</f>
        <v>63698.31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15690.97+1372.75+3130.78</f>
        <v>20194.5</v>
      </c>
      <c r="G312" s="18"/>
      <c r="H312" s="18">
        <f>4089.75+1958.86</f>
        <v>6048.61</v>
      </c>
      <c r="I312" s="18">
        <f>1789.06+3122.68</f>
        <v>4911.74</v>
      </c>
      <c r="J312" s="18">
        <v>567.19000000000005</v>
      </c>
      <c r="K312" s="18"/>
      <c r="L312" s="19">
        <f t="shared" si="16"/>
        <v>31722.039999999997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80053.649999999994</v>
      </c>
      <c r="G320" s="42">
        <f t="shared" si="17"/>
        <v>0</v>
      </c>
      <c r="H320" s="42">
        <f t="shared" si="17"/>
        <v>6048.61</v>
      </c>
      <c r="I320" s="42">
        <f t="shared" si="17"/>
        <v>6597.3499999999995</v>
      </c>
      <c r="J320" s="42">
        <f t="shared" si="17"/>
        <v>2720.7400000000002</v>
      </c>
      <c r="K320" s="42">
        <f t="shared" si="17"/>
        <v>0</v>
      </c>
      <c r="L320" s="41">
        <f t="shared" si="17"/>
        <v>95420.349999999991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463804.51</v>
      </c>
      <c r="G330" s="41">
        <f t="shared" si="20"/>
        <v>200</v>
      </c>
      <c r="H330" s="41">
        <f t="shared" si="20"/>
        <v>48011.75</v>
      </c>
      <c r="I330" s="41">
        <f t="shared" si="20"/>
        <v>30390.920000000002</v>
      </c>
      <c r="J330" s="41">
        <f t="shared" si="20"/>
        <v>22394.43</v>
      </c>
      <c r="K330" s="41">
        <f t="shared" si="20"/>
        <v>105</v>
      </c>
      <c r="L330" s="41">
        <f t="shared" si="20"/>
        <v>564906.61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5821.04-0.01+8243.16</f>
        <v>14064.189999999999</v>
      </c>
      <c r="L336" s="19">
        <f t="shared" ref="L336:L342" si="21">SUM(F336:K336)</f>
        <v>14064.189999999999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14064.189999999999</v>
      </c>
      <c r="L343" s="41">
        <f>SUM(L333:L342)</f>
        <v>14064.189999999999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463804.51</v>
      </c>
      <c r="G344" s="41">
        <f>G330</f>
        <v>200</v>
      </c>
      <c r="H344" s="41">
        <f>H330</f>
        <v>48011.75</v>
      </c>
      <c r="I344" s="41">
        <f>I330</f>
        <v>30390.920000000002</v>
      </c>
      <c r="J344" s="41">
        <f>J330</f>
        <v>22394.43</v>
      </c>
      <c r="K344" s="47">
        <f>K330+K343</f>
        <v>14169.189999999999</v>
      </c>
      <c r="L344" s="41">
        <f>L330+L343</f>
        <v>578970.79999999993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2367.11+47354.94</f>
        <v>49722.05</v>
      </c>
      <c r="G350" s="18">
        <f>8397.54+3566.94+2475.39+2364.82</f>
        <v>16804.690000000002</v>
      </c>
      <c r="H350" s="18">
        <v>806.75</v>
      </c>
      <c r="I350" s="18">
        <f>2891.43+803.38+37388.21+6790.42</f>
        <v>47873.439999999995</v>
      </c>
      <c r="J350" s="18">
        <v>1994.39</v>
      </c>
      <c r="K350" s="18">
        <v>618.15</v>
      </c>
      <c r="L350" s="13">
        <f>SUM(F350:K350)</f>
        <v>117819.46999999999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1146.49+36484.38</f>
        <v>37630.869999999995</v>
      </c>
      <c r="G351" s="18">
        <f>3539.13+5209.02+1145.39</f>
        <v>9893.5400000000009</v>
      </c>
      <c r="H351" s="18">
        <v>390.74</v>
      </c>
      <c r="I351" s="18">
        <f>2072.07+49333.51+3515.79</f>
        <v>54921.37</v>
      </c>
      <c r="J351" s="18">
        <v>965.97</v>
      </c>
      <c r="K351" s="18">
        <v>292.39999999999998</v>
      </c>
      <c r="L351" s="19">
        <f>SUM(F351:K351)</f>
        <v>104094.88999999998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1428.17+45319.16</f>
        <v>46747.33</v>
      </c>
      <c r="G352" s="18">
        <f>4396.13+6470.39+1426.79</f>
        <v>12293.310000000001</v>
      </c>
      <c r="H352" s="18">
        <v>486.74</v>
      </c>
      <c r="I352" s="18">
        <f>2573.83+61279.75+4367.17+48.37</f>
        <v>68269.119999999995</v>
      </c>
      <c r="J352" s="18">
        <v>1203.29</v>
      </c>
      <c r="K352" s="18">
        <v>379.95</v>
      </c>
      <c r="L352" s="19">
        <f>SUM(F352:K352)</f>
        <v>129379.73999999999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134100.25</v>
      </c>
      <c r="G354" s="47">
        <f t="shared" si="22"/>
        <v>38991.540000000008</v>
      </c>
      <c r="H354" s="47">
        <f t="shared" si="22"/>
        <v>1684.23</v>
      </c>
      <c r="I354" s="47">
        <f t="shared" si="22"/>
        <v>171063.93</v>
      </c>
      <c r="J354" s="47">
        <f t="shared" si="22"/>
        <v>4163.6499999999996</v>
      </c>
      <c r="K354" s="47">
        <f t="shared" si="22"/>
        <v>1290.5</v>
      </c>
      <c r="L354" s="47">
        <f t="shared" si="22"/>
        <v>351294.1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37388.21+6790.42</f>
        <v>44178.63</v>
      </c>
      <c r="G359" s="18">
        <f>49333.51+3515.79</f>
        <v>52849.3</v>
      </c>
      <c r="H359" s="18">
        <f>61279.75+4367.17+48.37</f>
        <v>65695.289999999994</v>
      </c>
      <c r="I359" s="56">
        <f>SUM(F359:H359)</f>
        <v>162723.21999999997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2891.43+803.38</f>
        <v>3694.81</v>
      </c>
      <c r="G360" s="63">
        <v>2072.0700000000002</v>
      </c>
      <c r="H360" s="63">
        <v>2573.83</v>
      </c>
      <c r="I360" s="56">
        <f>SUM(F360:H360)</f>
        <v>8340.7099999999991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47873.439999999995</v>
      </c>
      <c r="G361" s="47">
        <f>SUM(G359:G360)</f>
        <v>54921.37</v>
      </c>
      <c r="H361" s="47">
        <f>SUM(H359:H360)</f>
        <v>68269.119999999995</v>
      </c>
      <c r="I361" s="47">
        <f>SUM(I359:I360)</f>
        <v>171063.92999999996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432401.14</v>
      </c>
      <c r="G455" s="18">
        <v>23551.53</v>
      </c>
      <c r="H455" s="18">
        <v>4575.1400000000003</v>
      </c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15038854.939999999</v>
      </c>
      <c r="G458" s="18">
        <v>359499.48</v>
      </c>
      <c r="H458" s="18">
        <f>569166.3+8100</f>
        <v>577266.30000000005</v>
      </c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202551+598.86</f>
        <v>203149.86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15242004.799999999</v>
      </c>
      <c r="G460" s="53">
        <f>SUM(G458:G459)</f>
        <v>359499.48</v>
      </c>
      <c r="H460" s="53">
        <f>SUM(H458:H459)</f>
        <v>577266.30000000005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15041683.18</v>
      </c>
      <c r="G462" s="18">
        <v>351294.1</v>
      </c>
      <c r="H462" s="18">
        <f>569166.3+9804.5</f>
        <v>578970.80000000005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3432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15045115.18</v>
      </c>
      <c r="G464" s="53">
        <f>SUM(G462:G463)</f>
        <v>351294.1</v>
      </c>
      <c r="H464" s="53">
        <f>SUM(H462:H463)</f>
        <v>578970.80000000005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629290.75999999978</v>
      </c>
      <c r="G466" s="53">
        <f>(G455+G460)- G464</f>
        <v>31756.910000000033</v>
      </c>
      <c r="H466" s="53">
        <f>(H455+H460)- H464</f>
        <v>2870.640000000014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896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12072350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4.13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10490000</v>
      </c>
      <c r="G485" s="18"/>
      <c r="H485" s="18"/>
      <c r="I485" s="18"/>
      <c r="J485" s="18"/>
      <c r="K485" s="53">
        <f>SUM(F485:J485)</f>
        <v>10490000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450000</v>
      </c>
      <c r="G487" s="18"/>
      <c r="H487" s="18"/>
      <c r="I487" s="18"/>
      <c r="J487" s="18"/>
      <c r="K487" s="53">
        <f t="shared" si="34"/>
        <v>450000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10040000</v>
      </c>
      <c r="G488" s="205"/>
      <c r="H488" s="205"/>
      <c r="I488" s="205"/>
      <c r="J488" s="205"/>
      <c r="K488" s="206">
        <f t="shared" si="34"/>
        <v>10040000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4181581.97-240270.63-229020.63</f>
        <v>3712290.7100000004</v>
      </c>
      <c r="G489" s="18"/>
      <c r="H489" s="18"/>
      <c r="I489" s="18"/>
      <c r="J489" s="18"/>
      <c r="K489" s="53">
        <f t="shared" si="34"/>
        <v>3712290.7100000004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13752290.710000001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13752290.710000001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470000</v>
      </c>
      <c r="G491" s="205"/>
      <c r="H491" s="205"/>
      <c r="I491" s="205"/>
      <c r="J491" s="205"/>
      <c r="K491" s="206">
        <f t="shared" si="34"/>
        <v>470000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229020.63+217270.63</f>
        <v>446291.26</v>
      </c>
      <c r="G492" s="18"/>
      <c r="H492" s="18"/>
      <c r="I492" s="18"/>
      <c r="J492" s="18"/>
      <c r="K492" s="53">
        <f t="shared" si="34"/>
        <v>446291.26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916291.26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916291.26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83015.94</v>
      </c>
      <c r="G497" s="144">
        <f>I497-F497</f>
        <v>21675.11</v>
      </c>
      <c r="H497" s="144"/>
      <c r="I497" s="144">
        <v>104691.05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F269+F190</f>
        <v>925690.51</v>
      </c>
      <c r="G511" s="18">
        <f t="shared" si="35"/>
        <v>365849</v>
      </c>
      <c r="H511" s="18">
        <f t="shared" si="35"/>
        <v>25361.35</v>
      </c>
      <c r="I511" s="18">
        <f t="shared" si="35"/>
        <v>8669.4500000000007</v>
      </c>
      <c r="J511" s="18">
        <f t="shared" si="35"/>
        <v>12049.46</v>
      </c>
      <c r="K511" s="18">
        <f t="shared" si="35"/>
        <v>0</v>
      </c>
      <c r="L511" s="88">
        <f>SUM(F511:K511)</f>
        <v>1337619.77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 t="shared" ref="F512:K512" si="36">F288+F208</f>
        <v>420419.31999999995</v>
      </c>
      <c r="G512" s="18">
        <f t="shared" si="36"/>
        <v>116210.12999999999</v>
      </c>
      <c r="H512" s="18">
        <f t="shared" si="36"/>
        <v>37284.5</v>
      </c>
      <c r="I512" s="18">
        <f t="shared" si="36"/>
        <v>4461.46</v>
      </c>
      <c r="J512" s="18">
        <f t="shared" si="36"/>
        <v>5161.82</v>
      </c>
      <c r="K512" s="18">
        <f t="shared" si="36"/>
        <v>0</v>
      </c>
      <c r="L512" s="88">
        <f>SUM(F512:K512)</f>
        <v>583537.22999999986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 t="shared" ref="F513:K513" si="37">F307+F226</f>
        <v>399039.28</v>
      </c>
      <c r="G513" s="18">
        <f t="shared" si="37"/>
        <v>179289.81</v>
      </c>
      <c r="H513" s="18">
        <f t="shared" si="37"/>
        <v>335440.2</v>
      </c>
      <c r="I513" s="18">
        <f t="shared" si="37"/>
        <v>5028.13</v>
      </c>
      <c r="J513" s="18">
        <f t="shared" si="37"/>
        <v>2153.5500000000002</v>
      </c>
      <c r="K513" s="18">
        <f t="shared" si="37"/>
        <v>0</v>
      </c>
      <c r="L513" s="88">
        <f>SUM(F513:K513)</f>
        <v>920950.97000000009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1745149.11</v>
      </c>
      <c r="G514" s="108">
        <f t="shared" ref="G514:L514" si="38">SUM(G511:G513)</f>
        <v>661348.93999999994</v>
      </c>
      <c r="H514" s="108">
        <f t="shared" si="38"/>
        <v>398086.05</v>
      </c>
      <c r="I514" s="108">
        <f t="shared" si="38"/>
        <v>18159.04</v>
      </c>
      <c r="J514" s="108">
        <f t="shared" si="38"/>
        <v>19364.829999999998</v>
      </c>
      <c r="K514" s="108">
        <f t="shared" si="38"/>
        <v>0</v>
      </c>
      <c r="L514" s="89">
        <f t="shared" si="38"/>
        <v>2842107.97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23656.85+90457.5+56793.64+56440</f>
        <v>227347.99</v>
      </c>
      <c r="G516" s="18">
        <f>39796.65+41661.31+7892.35</f>
        <v>89350.31</v>
      </c>
      <c r="H516" s="18">
        <f>52212.7-1314.09</f>
        <v>50898.61</v>
      </c>
      <c r="I516" s="18">
        <f>2790.8+2548.16+1786.56</f>
        <v>7125.52</v>
      </c>
      <c r="J516" s="18">
        <f>2292.89+538.61</f>
        <v>2831.5</v>
      </c>
      <c r="K516" s="18"/>
      <c r="L516" s="88">
        <f>SUM(F516:K516)</f>
        <v>377553.93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11458.02+25845</f>
        <v>37303.020000000004</v>
      </c>
      <c r="G517" s="18">
        <v>33401.85</v>
      </c>
      <c r="H517" s="18">
        <f>25288.82-636.47</f>
        <v>24652.35</v>
      </c>
      <c r="I517" s="18">
        <v>2469.35</v>
      </c>
      <c r="J517" s="18">
        <v>1645.56</v>
      </c>
      <c r="K517" s="18"/>
      <c r="L517" s="88">
        <f>SUM(F517:K517)</f>
        <v>99472.13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14273.13+12922.5</f>
        <v>27195.629999999997</v>
      </c>
      <c r="G518" s="18">
        <v>41558.379999999997</v>
      </c>
      <c r="H518" s="18">
        <f>31502.02-792.84</f>
        <v>30709.18</v>
      </c>
      <c r="I518" s="18">
        <v>3073.36</v>
      </c>
      <c r="J518" s="18">
        <v>2047.96</v>
      </c>
      <c r="K518" s="18"/>
      <c r="L518" s="88">
        <f>SUM(F518:K518)</f>
        <v>104584.51000000001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291846.64</v>
      </c>
      <c r="G519" s="89">
        <f t="shared" ref="G519:L519" si="39">SUM(G516:G518)</f>
        <v>164310.54</v>
      </c>
      <c r="H519" s="89">
        <f t="shared" si="39"/>
        <v>106260.13999999998</v>
      </c>
      <c r="I519" s="89">
        <f t="shared" si="39"/>
        <v>12668.230000000001</v>
      </c>
      <c r="J519" s="89">
        <f t="shared" si="39"/>
        <v>6525.0199999999995</v>
      </c>
      <c r="K519" s="89">
        <f t="shared" si="39"/>
        <v>0</v>
      </c>
      <c r="L519" s="89">
        <f t="shared" si="39"/>
        <v>581610.57000000007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67972.38</v>
      </c>
      <c r="G521" s="18">
        <v>25890.32</v>
      </c>
      <c r="H521" s="18">
        <v>5199.68</v>
      </c>
      <c r="I521" s="18">
        <v>1935.77</v>
      </c>
      <c r="J521" s="18"/>
      <c r="K521" s="18">
        <v>410.02</v>
      </c>
      <c r="L521" s="88">
        <f>SUM(F521:K521)</f>
        <v>101408.17000000001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32921.9</v>
      </c>
      <c r="G522" s="18">
        <v>12539.78</v>
      </c>
      <c r="H522" s="18">
        <v>2518.42</v>
      </c>
      <c r="I522" s="18">
        <v>937.58</v>
      </c>
      <c r="J522" s="18"/>
      <c r="K522" s="18">
        <v>198.59</v>
      </c>
      <c r="L522" s="88">
        <f>SUM(F522:K522)</f>
        <v>49116.27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41010.480000000003</v>
      </c>
      <c r="G523" s="18">
        <v>15620.68</v>
      </c>
      <c r="H523" s="18">
        <v>3137.18</v>
      </c>
      <c r="I523" s="18">
        <v>1167.93</v>
      </c>
      <c r="J523" s="18"/>
      <c r="K523" s="18">
        <v>247.39</v>
      </c>
      <c r="L523" s="88">
        <f>SUM(F523:K523)</f>
        <v>61183.66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141904.76</v>
      </c>
      <c r="G524" s="89">
        <f t="shared" ref="G524:L524" si="40">SUM(G521:G523)</f>
        <v>54050.78</v>
      </c>
      <c r="H524" s="89">
        <f t="shared" si="40"/>
        <v>10855.28</v>
      </c>
      <c r="I524" s="89">
        <f t="shared" si="40"/>
        <v>4041.2799999999997</v>
      </c>
      <c r="J524" s="89">
        <f t="shared" si="40"/>
        <v>0</v>
      </c>
      <c r="K524" s="89">
        <f t="shared" si="40"/>
        <v>856</v>
      </c>
      <c r="L524" s="89">
        <f t="shared" si="40"/>
        <v>211708.1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1076.23</v>
      </c>
      <c r="I528" s="18"/>
      <c r="J528" s="18"/>
      <c r="K528" s="18"/>
      <c r="L528" s="88">
        <f>SUM(F528:K528)</f>
        <v>1076.23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41">SUM(G526:G528)</f>
        <v>0</v>
      </c>
      <c r="H529" s="89">
        <f t="shared" si="41"/>
        <v>1076.23</v>
      </c>
      <c r="I529" s="89">
        <f t="shared" si="41"/>
        <v>0</v>
      </c>
      <c r="J529" s="89">
        <f t="shared" si="41"/>
        <v>0</v>
      </c>
      <c r="K529" s="89">
        <f t="shared" si="41"/>
        <v>0</v>
      </c>
      <c r="L529" s="89">
        <f t="shared" si="41"/>
        <v>1076.23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61971.21</v>
      </c>
      <c r="I531" s="18"/>
      <c r="J531" s="18"/>
      <c r="K531" s="18"/>
      <c r="L531" s="88">
        <f>SUM(F531:K531)</f>
        <v>61971.21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6431.94</v>
      </c>
      <c r="I532" s="18"/>
      <c r="J532" s="18"/>
      <c r="K532" s="18"/>
      <c r="L532" s="88">
        <f>SUM(F532:K532)</f>
        <v>6431.94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76743.490000000005</v>
      </c>
      <c r="I533" s="18"/>
      <c r="J533" s="18"/>
      <c r="K533" s="18"/>
      <c r="L533" s="88">
        <f>SUM(F533:K533)</f>
        <v>76743.490000000005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2">SUM(G531:G533)</f>
        <v>0</v>
      </c>
      <c r="H534" s="194">
        <f t="shared" si="42"/>
        <v>145146.64000000001</v>
      </c>
      <c r="I534" s="194">
        <f t="shared" si="42"/>
        <v>0</v>
      </c>
      <c r="J534" s="194">
        <f t="shared" si="42"/>
        <v>0</v>
      </c>
      <c r="K534" s="194">
        <f t="shared" si="42"/>
        <v>0</v>
      </c>
      <c r="L534" s="194">
        <f t="shared" si="42"/>
        <v>145146.64000000001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2178900.5099999998</v>
      </c>
      <c r="G535" s="89">
        <f t="shared" ref="G535:L535" si="43">G514+G519+G524+G529+G534</f>
        <v>879710.26</v>
      </c>
      <c r="H535" s="89">
        <f t="shared" si="43"/>
        <v>661424.34</v>
      </c>
      <c r="I535" s="89">
        <f t="shared" si="43"/>
        <v>34868.550000000003</v>
      </c>
      <c r="J535" s="89">
        <f t="shared" si="43"/>
        <v>25889.85</v>
      </c>
      <c r="K535" s="89">
        <f t="shared" si="43"/>
        <v>856</v>
      </c>
      <c r="L535" s="89">
        <f t="shared" si="43"/>
        <v>3781649.5100000002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1337619.77</v>
      </c>
      <c r="G539" s="87">
        <f>L516</f>
        <v>377553.93</v>
      </c>
      <c r="H539" s="87">
        <f>L521</f>
        <v>101408.17000000001</v>
      </c>
      <c r="I539" s="87">
        <f>L526</f>
        <v>0</v>
      </c>
      <c r="J539" s="87">
        <f>L531</f>
        <v>61971.21</v>
      </c>
      <c r="K539" s="87">
        <f>SUM(F539:J539)</f>
        <v>1878553.0799999998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583537.22999999986</v>
      </c>
      <c r="G540" s="87">
        <f>L517</f>
        <v>99472.13</v>
      </c>
      <c r="H540" s="87">
        <f>L522</f>
        <v>49116.27</v>
      </c>
      <c r="I540" s="87">
        <f>L527</f>
        <v>0</v>
      </c>
      <c r="J540" s="87">
        <f>L532</f>
        <v>6431.94</v>
      </c>
      <c r="K540" s="87">
        <f>SUM(F540:J540)</f>
        <v>738557.56999999983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920950.97000000009</v>
      </c>
      <c r="G541" s="87">
        <f>L518</f>
        <v>104584.51000000001</v>
      </c>
      <c r="H541" s="87">
        <f>L523</f>
        <v>61183.66</v>
      </c>
      <c r="I541" s="87">
        <f>L528</f>
        <v>1076.23</v>
      </c>
      <c r="J541" s="87">
        <f>L533</f>
        <v>76743.490000000005</v>
      </c>
      <c r="K541" s="87">
        <f>SUM(F541:J541)</f>
        <v>1164538.8600000001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4">SUM(F539:F541)</f>
        <v>2842107.97</v>
      </c>
      <c r="G542" s="89">
        <f t="shared" si="44"/>
        <v>581610.57000000007</v>
      </c>
      <c r="H542" s="89">
        <f t="shared" si="44"/>
        <v>211708.1</v>
      </c>
      <c r="I542" s="89">
        <f t="shared" si="44"/>
        <v>1076.23</v>
      </c>
      <c r="J542" s="89">
        <f t="shared" si="44"/>
        <v>145146.64000000001</v>
      </c>
      <c r="K542" s="89">
        <f t="shared" si="44"/>
        <v>3781649.51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5">SUM(F547:F549)</f>
        <v>0</v>
      </c>
      <c r="G550" s="108">
        <f t="shared" si="45"/>
        <v>0</v>
      </c>
      <c r="H550" s="108">
        <f t="shared" si="45"/>
        <v>0</v>
      </c>
      <c r="I550" s="108">
        <f t="shared" si="45"/>
        <v>0</v>
      </c>
      <c r="J550" s="108">
        <f t="shared" si="45"/>
        <v>0</v>
      </c>
      <c r="K550" s="108">
        <f t="shared" si="45"/>
        <v>0</v>
      </c>
      <c r="L550" s="89">
        <f t="shared" si="45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26214.3</v>
      </c>
      <c r="G552" s="18">
        <v>6602.89</v>
      </c>
      <c r="H552" s="18"/>
      <c r="I552" s="18">
        <v>428.5</v>
      </c>
      <c r="J552" s="18"/>
      <c r="K552" s="18"/>
      <c r="L552" s="88">
        <f>SUM(F552:K552)</f>
        <v>33245.69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11915.59</v>
      </c>
      <c r="G553" s="18">
        <v>3001.32</v>
      </c>
      <c r="H553" s="18"/>
      <c r="I553" s="18">
        <v>194.77</v>
      </c>
      <c r="J553" s="18"/>
      <c r="K553" s="18"/>
      <c r="L553" s="88">
        <f>SUM(F553:K553)</f>
        <v>15111.68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7149.35</v>
      </c>
      <c r="G554" s="18">
        <v>1800.79</v>
      </c>
      <c r="H554" s="18"/>
      <c r="I554" s="18">
        <v>116.87</v>
      </c>
      <c r="J554" s="18"/>
      <c r="K554" s="18"/>
      <c r="L554" s="88">
        <f>SUM(F554:K554)</f>
        <v>9067.01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6">SUM(F552:F554)</f>
        <v>45279.24</v>
      </c>
      <c r="G555" s="89">
        <f t="shared" si="46"/>
        <v>11405</v>
      </c>
      <c r="H555" s="89">
        <f t="shared" si="46"/>
        <v>0</v>
      </c>
      <c r="I555" s="89">
        <f t="shared" si="46"/>
        <v>740.14</v>
      </c>
      <c r="J555" s="89">
        <f t="shared" si="46"/>
        <v>0</v>
      </c>
      <c r="K555" s="89">
        <f t="shared" si="46"/>
        <v>0</v>
      </c>
      <c r="L555" s="89">
        <f t="shared" si="46"/>
        <v>57424.380000000005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7">SUM(G557:G559)</f>
        <v>0</v>
      </c>
      <c r="H560" s="194">
        <f t="shared" si="47"/>
        <v>0</v>
      </c>
      <c r="I560" s="194">
        <f t="shared" si="47"/>
        <v>0</v>
      </c>
      <c r="J560" s="194">
        <f t="shared" si="47"/>
        <v>0</v>
      </c>
      <c r="K560" s="194">
        <f t="shared" si="47"/>
        <v>0</v>
      </c>
      <c r="L560" s="194">
        <f t="shared" si="47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45279.24</v>
      </c>
      <c r="G561" s="89">
        <f t="shared" ref="G561:L561" si="48">G550+G555+G560</f>
        <v>11405</v>
      </c>
      <c r="H561" s="89">
        <f t="shared" si="48"/>
        <v>0</v>
      </c>
      <c r="I561" s="89">
        <f t="shared" si="48"/>
        <v>740.14</v>
      </c>
      <c r="J561" s="89">
        <f t="shared" si="48"/>
        <v>0</v>
      </c>
      <c r="K561" s="89">
        <f t="shared" si="48"/>
        <v>0</v>
      </c>
      <c r="L561" s="89">
        <f t="shared" si="48"/>
        <v>57424.380000000005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9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9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f>10203.95</f>
        <v>10203.950000000001</v>
      </c>
      <c r="G568" s="18">
        <f>36572</f>
        <v>36572</v>
      </c>
      <c r="H568" s="18">
        <f>121136.45</f>
        <v>121136.45</v>
      </c>
      <c r="I568" s="87">
        <f t="shared" si="49"/>
        <v>167912.4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3607.5</f>
        <v>3607.5</v>
      </c>
      <c r="G569" s="18"/>
      <c r="H569" s="18">
        <f>33143.5</f>
        <v>33143.5</v>
      </c>
      <c r="I569" s="87">
        <f t="shared" si="49"/>
        <v>36751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9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9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f>85742.46</f>
        <v>85742.46</v>
      </c>
      <c r="I572" s="87">
        <f t="shared" si="49"/>
        <v>85742.46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9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110683.5</v>
      </c>
      <c r="I574" s="87">
        <f t="shared" si="49"/>
        <v>110683.5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9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9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9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127072+31855</f>
        <v>158927</v>
      </c>
      <c r="I581" s="18">
        <v>61546.35</v>
      </c>
      <c r="J581" s="18">
        <f>76667.65-38436.12</f>
        <v>38231.529999999992</v>
      </c>
      <c r="K581" s="104">
        <f t="shared" ref="K581:K587" si="50">SUM(H581:J581)</f>
        <v>258704.88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61971.21</v>
      </c>
      <c r="I582" s="18">
        <v>6431.94</v>
      </c>
      <c r="J582" s="18">
        <v>76743.490000000005</v>
      </c>
      <c r="K582" s="104">
        <f t="shared" si="50"/>
        <v>145146.64000000001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39472</v>
      </c>
      <c r="K583" s="104">
        <f t="shared" si="50"/>
        <v>39472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6704.01</v>
      </c>
      <c r="J584" s="18">
        <v>21113.41</v>
      </c>
      <c r="K584" s="104">
        <f t="shared" si="50"/>
        <v>27817.42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1976.55</v>
      </c>
      <c r="J585" s="18">
        <v>457.35</v>
      </c>
      <c r="K585" s="104">
        <f t="shared" si="50"/>
        <v>2433.9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50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14486.49</v>
      </c>
      <c r="I587" s="18">
        <v>3710</v>
      </c>
      <c r="J587" s="18">
        <v>914.05</v>
      </c>
      <c r="K587" s="104">
        <f t="shared" si="50"/>
        <v>19110.539999999997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235384.69999999998</v>
      </c>
      <c r="I588" s="108">
        <f>SUM(I581:I587)</f>
        <v>80368.849999999991</v>
      </c>
      <c r="J588" s="108">
        <f>SUM(J581:J587)</f>
        <v>176931.83</v>
      </c>
      <c r="K588" s="108">
        <f>SUM(K581:K587)</f>
        <v>492685.38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J282+J203</f>
        <v>144407.49</v>
      </c>
      <c r="I594" s="18">
        <f>J221+J301</f>
        <v>70543.48</v>
      </c>
      <c r="J594" s="18">
        <f>J239+J320</f>
        <v>113822.92</v>
      </c>
      <c r="K594" s="104">
        <f>SUM(H594:J594)</f>
        <v>328773.88999999996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144407.49</v>
      </c>
      <c r="I595" s="108">
        <f>SUM(I592:I594)</f>
        <v>70543.48</v>
      </c>
      <c r="J595" s="108">
        <f>SUM(J592:J594)</f>
        <v>113822.92</v>
      </c>
      <c r="K595" s="108">
        <f>SUM(K592:K594)</f>
        <v>328773.88999999996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51">SUM(F601:F603)</f>
        <v>0</v>
      </c>
      <c r="G604" s="108">
        <f t="shared" si="51"/>
        <v>0</v>
      </c>
      <c r="H604" s="108">
        <f t="shared" si="51"/>
        <v>0</v>
      </c>
      <c r="I604" s="108">
        <f t="shared" si="51"/>
        <v>0</v>
      </c>
      <c r="J604" s="108">
        <f t="shared" si="51"/>
        <v>0</v>
      </c>
      <c r="K604" s="108">
        <f t="shared" si="51"/>
        <v>0</v>
      </c>
      <c r="L604" s="89">
        <f t="shared" si="51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1379428.39</v>
      </c>
      <c r="H607" s="109">
        <f>SUM(F44)</f>
        <v>1379428.3900000001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100303.33</v>
      </c>
      <c r="H608" s="109">
        <f>SUM(G44)</f>
        <v>100303.32999999999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181507.14</v>
      </c>
      <c r="H609" s="109">
        <f>SUM(H44)</f>
        <v>181507.14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629290.76</v>
      </c>
      <c r="H612" s="109">
        <f>F466</f>
        <v>629290.75999999978</v>
      </c>
      <c r="I612" s="121" t="s">
        <v>106</v>
      </c>
      <c r="J612" s="109">
        <f t="shared" ref="J612:J645" si="52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31756.909999999996</v>
      </c>
      <c r="H613" s="109">
        <f>G466</f>
        <v>31756.910000000033</v>
      </c>
      <c r="I613" s="121" t="s">
        <v>108</v>
      </c>
      <c r="J613" s="109">
        <f t="shared" si="52"/>
        <v>-3.637978807091713E-11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2870.6400000000003</v>
      </c>
      <c r="H614" s="109">
        <f>H466</f>
        <v>2870.640000000014</v>
      </c>
      <c r="I614" s="121" t="s">
        <v>110</v>
      </c>
      <c r="J614" s="109">
        <f t="shared" si="52"/>
        <v>-1.3642420526593924E-11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2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52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15038854.939999999</v>
      </c>
      <c r="H617" s="104">
        <f>SUM(F458)</f>
        <v>15038854.939999999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359499.48</v>
      </c>
      <c r="H618" s="104">
        <f>SUM(G458)</f>
        <v>359499.48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577266.30000000005</v>
      </c>
      <c r="H619" s="104">
        <f>SUM(H458)</f>
        <v>577266.30000000005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15041683.18</v>
      </c>
      <c r="H622" s="104">
        <f>SUM(F462)</f>
        <v>15041683.18</v>
      </c>
      <c r="I622" s="140" t="s">
        <v>120</v>
      </c>
      <c r="J622" s="109">
        <f t="shared" si="52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578970.79999999993</v>
      </c>
      <c r="H623" s="104">
        <f>SUM(H462)</f>
        <v>578970.80000000005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171063.93</v>
      </c>
      <c r="H624" s="104">
        <f>I361</f>
        <v>171063.92999999996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351294.1</v>
      </c>
      <c r="H625" s="104">
        <f>SUM(G462)</f>
        <v>351294.1</v>
      </c>
      <c r="I625" s="140" t="s">
        <v>123</v>
      </c>
      <c r="J625" s="109">
        <f t="shared" si="52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2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52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52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52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2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2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2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52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2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52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492685.38</v>
      </c>
      <c r="H637" s="104">
        <f>L200+L218+L236</f>
        <v>492685.38</v>
      </c>
      <c r="I637" s="140" t="s">
        <v>420</v>
      </c>
      <c r="J637" s="109">
        <f t="shared" si="52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328773.88999999996</v>
      </c>
      <c r="H638" s="104">
        <f>(J249+J330)-(J247+J328)</f>
        <v>328773.88999999996</v>
      </c>
      <c r="I638" s="140" t="s">
        <v>734</v>
      </c>
      <c r="J638" s="109">
        <f t="shared" si="52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235384.69999999998</v>
      </c>
      <c r="H639" s="104">
        <f>H588</f>
        <v>235384.69999999998</v>
      </c>
      <c r="I639" s="140" t="s">
        <v>412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80368.850000000006</v>
      </c>
      <c r="H640" s="104">
        <f>I588</f>
        <v>80368.849999999991</v>
      </c>
      <c r="I640" s="140" t="s">
        <v>413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176931.83000000002</v>
      </c>
      <c r="H641" s="104">
        <f>J588</f>
        <v>176931.83</v>
      </c>
      <c r="I641" s="140" t="s">
        <v>414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1541.75</v>
      </c>
      <c r="H642" s="104">
        <f>K255+K337</f>
        <v>1541.75</v>
      </c>
      <c r="I642" s="140" t="s">
        <v>421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6855724.9699999997</v>
      </c>
      <c r="G650" s="19">
        <f>(L221+L301+L351)</f>
        <v>3193283.4600000004</v>
      </c>
      <c r="H650" s="19">
        <f>(L239+L320+L352)</f>
        <v>4852208.18</v>
      </c>
      <c r="I650" s="19">
        <f>SUM(F650:H650)</f>
        <v>14901216.609999999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68780.439004084605</v>
      </c>
      <c r="G651" s="19">
        <f>(L351/IF(SUM(L350:L352)=0,1,SUM(L350:L352))*(SUM(G89:G102)))</f>
        <v>60768.328293124192</v>
      </c>
      <c r="H651" s="19">
        <f>(L352/IF(SUM(L350:L352)=0,1,SUM(L350:L352))*(SUM(G89:G102)))</f>
        <v>75529.072702791193</v>
      </c>
      <c r="I651" s="19">
        <f>SUM(F651:H651)</f>
        <v>205077.84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235384.69999999998</v>
      </c>
      <c r="G652" s="19">
        <f>(L218+L298)-(J218+J298)</f>
        <v>80368.850000000006</v>
      </c>
      <c r="H652" s="19">
        <f>(L236+L317)-(J236+J317)</f>
        <v>176931.83000000002</v>
      </c>
      <c r="I652" s="19">
        <f>SUM(F652:H652)</f>
        <v>492685.38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158218.94</v>
      </c>
      <c r="G653" s="200">
        <f>SUM(G565:G577)+SUM(I592:I594)+L602</f>
        <v>107115.48</v>
      </c>
      <c r="H653" s="200">
        <f>SUM(H565:H577)+SUM(J592:J594)+L603</f>
        <v>464528.83</v>
      </c>
      <c r="I653" s="19">
        <f>SUM(F653:H653)</f>
        <v>729863.25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6393340.890995915</v>
      </c>
      <c r="G654" s="19">
        <f>G650-SUM(G651:G653)</f>
        <v>2945030.8017068761</v>
      </c>
      <c r="H654" s="19">
        <f>H650-SUM(H651:H653)</f>
        <v>4135218.4472972085</v>
      </c>
      <c r="I654" s="19">
        <f>I650-SUM(I651:I653)</f>
        <v>13473590.139999999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448.39</v>
      </c>
      <c r="G655" s="249">
        <v>216.88</v>
      </c>
      <c r="H655" s="249">
        <v>269.91000000000003</v>
      </c>
      <c r="I655" s="19">
        <f>SUM(F655:H655)</f>
        <v>935.18000000000006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14258.44</v>
      </c>
      <c r="G657" s="19">
        <f>ROUND(G654/G655,2)</f>
        <v>13579.08</v>
      </c>
      <c r="H657" s="19">
        <f>ROUND(H654/H655,2)</f>
        <v>15320.73</v>
      </c>
      <c r="I657" s="19">
        <f>ROUND(I654/I655,2)</f>
        <v>14407.48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-22.53</v>
      </c>
      <c r="I660" s="19">
        <f>SUM(F660:H660)</f>
        <v>-22.53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14258.44</v>
      </c>
      <c r="G662" s="19">
        <f>ROUND((G654+G659)/(G655+G660),2)</f>
        <v>13579.08</v>
      </c>
      <c r="H662" s="19">
        <f>ROUND((H654+H659)/(H655+H660),2)</f>
        <v>16716.060000000001</v>
      </c>
      <c r="I662" s="19">
        <f>ROUND((I654+I659)/(I655+I660),2)</f>
        <v>14763.15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201F-DC77-49DC-81D0-DB93E85F931F}">
  <sheetPr>
    <tabColor indexed="20"/>
  </sheetPr>
  <dimension ref="A1:C52"/>
  <sheetViews>
    <sheetView topLeftCell="A2" workbookViewId="0">
      <selection activeCell="C10" sqref="C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Epping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3711122.98</v>
      </c>
      <c r="C9" s="230">
        <f>'DOE25'!G189+'DOE25'!G207+'DOE25'!G225+'DOE25'!G268+'DOE25'!G287+'DOE25'!G306</f>
        <v>1526940.29</v>
      </c>
    </row>
    <row r="10" spans="1:3" x14ac:dyDescent="0.2">
      <c r="A10" t="s">
        <v>810</v>
      </c>
      <c r="B10" s="241">
        <f>1315583.93+141290+810269.07+1054725.04+127386.49+20711.16+25975</f>
        <v>3495940.6900000004</v>
      </c>
      <c r="C10" s="241">
        <v>1471825.87</v>
      </c>
    </row>
    <row r="11" spans="1:3" x14ac:dyDescent="0.2">
      <c r="A11" t="s">
        <v>811</v>
      </c>
      <c r="B11" s="241">
        <f>60481.9+29288.19</f>
        <v>89770.09</v>
      </c>
      <c r="C11" s="241">
        <v>45520.39</v>
      </c>
    </row>
    <row r="12" spans="1:3" x14ac:dyDescent="0.2">
      <c r="A12" t="s">
        <v>812</v>
      </c>
      <c r="B12" s="241">
        <f>65799.96+23854.74+19350+720+3172.5+2250+8520+1745</f>
        <v>125412.20000000001</v>
      </c>
      <c r="C12" s="241">
        <v>9594.0300000000007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3711122.9800000004</v>
      </c>
      <c r="C13" s="232">
        <f>SUM(C10:C12)</f>
        <v>1526940.29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1745149.1099999999</v>
      </c>
      <c r="C18" s="230">
        <f>'DOE25'!G190+'DOE25'!G208+'DOE25'!G226+'DOE25'!G269+'DOE25'!G288+'DOE25'!G307</f>
        <v>661348.93999999994</v>
      </c>
    </row>
    <row r="19" spans="1:3" x14ac:dyDescent="0.2">
      <c r="A19" t="s">
        <v>810</v>
      </c>
      <c r="B19" s="241">
        <f>37636+242389.52+69156.95+121967.24+187316+67999.14+130626.76+7352.31+64539.55</f>
        <v>928983.47000000009</v>
      </c>
      <c r="C19" s="241">
        <v>459149.66</v>
      </c>
    </row>
    <row r="20" spans="1:3" x14ac:dyDescent="0.2">
      <c r="A20" t="s">
        <v>811</v>
      </c>
      <c r="B20" s="241">
        <f>7643.24+373299.88+39510.39+204686.17+120165.17</f>
        <v>745304.85000000009</v>
      </c>
      <c r="C20" s="241">
        <v>196778.43</v>
      </c>
    </row>
    <row r="21" spans="1:3" x14ac:dyDescent="0.2">
      <c r="A21" t="s">
        <v>812</v>
      </c>
      <c r="B21" s="241">
        <f>918.75+69942.04</f>
        <v>70860.789999999994</v>
      </c>
      <c r="C21" s="241">
        <v>5420.85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1745149.1100000003</v>
      </c>
      <c r="C22" s="232">
        <f>SUM(C19:C21)</f>
        <v>661348.93999999994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180550.28</v>
      </c>
      <c r="C36" s="236">
        <f>'DOE25'!G192+'DOE25'!G210+'DOE25'!G228+'DOE25'!G271+'DOE25'!G290+'DOE25'!G309</f>
        <v>18558.149999999998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180550.28</v>
      </c>
      <c r="C39" s="241">
        <v>18558.150000000001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180550.28</v>
      </c>
      <c r="C40" s="232">
        <f>SUM(C37:C39)</f>
        <v>18558.150000000001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21E9A-EAC5-4933-85C0-3BC3E9B069ED}">
  <sheetPr>
    <tabColor indexed="11"/>
  </sheetPr>
  <dimension ref="A1:I51"/>
  <sheetViews>
    <sheetView topLeftCell="B1" zoomScale="150" zoomScaleNormal="150" workbookViewId="0">
      <pane ySplit="4" topLeftCell="A41" activePane="bottomLeft" state="frozen"/>
      <selection pane="bottomLeft" activeCell="E16" sqref="E1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Epping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8496559.3300000001</v>
      </c>
      <c r="D5" s="20">
        <f>SUM('DOE25'!L189:L192)+SUM('DOE25'!L207:L210)+SUM('DOE25'!L225:L228)-F5-G5</f>
        <v>8426948.3300000001</v>
      </c>
      <c r="E5" s="244"/>
      <c r="F5" s="256">
        <f>SUM('DOE25'!J189:J192)+SUM('DOE25'!J207:J210)+SUM('DOE25'!J225:J228)</f>
        <v>59452.340000000004</v>
      </c>
      <c r="G5" s="53">
        <f>SUM('DOE25'!K189:K192)+SUM('DOE25'!K207:K210)+SUM('DOE25'!K225:K228)</f>
        <v>10158.66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1116150.6100000001</v>
      </c>
      <c r="D6" s="20">
        <f>'DOE25'!L194+'DOE25'!L212+'DOE25'!L230-F6-G6</f>
        <v>1106992.2500000002</v>
      </c>
      <c r="E6" s="244"/>
      <c r="F6" s="256">
        <f>'DOE25'!J194+'DOE25'!J212+'DOE25'!J230</f>
        <v>8787.7200000000012</v>
      </c>
      <c r="G6" s="53">
        <f>'DOE25'!K194+'DOE25'!K212+'DOE25'!K230</f>
        <v>370.64</v>
      </c>
      <c r="H6" s="260"/>
    </row>
    <row r="7" spans="1:9" x14ac:dyDescent="0.2">
      <c r="A7" s="32">
        <v>2200</v>
      </c>
      <c r="B7" t="s">
        <v>865</v>
      </c>
      <c r="C7" s="246">
        <f t="shared" si="0"/>
        <v>900202.78</v>
      </c>
      <c r="D7" s="20">
        <f>'DOE25'!L195+'DOE25'!L213+'DOE25'!L231-F7-G7</f>
        <v>675377.9</v>
      </c>
      <c r="E7" s="244"/>
      <c r="F7" s="256">
        <f>'DOE25'!J195+'DOE25'!J213+'DOE25'!J231</f>
        <v>224380.87999999998</v>
      </c>
      <c r="G7" s="53">
        <f>'DOE25'!K195+'DOE25'!K213+'DOE25'!K231</f>
        <v>444</v>
      </c>
      <c r="H7" s="260"/>
    </row>
    <row r="8" spans="1:9" x14ac:dyDescent="0.2">
      <c r="A8" s="32">
        <v>2300</v>
      </c>
      <c r="B8" t="s">
        <v>833</v>
      </c>
      <c r="C8" s="246">
        <f t="shared" si="0"/>
        <v>515401.56000000011</v>
      </c>
      <c r="D8" s="244"/>
      <c r="E8" s="20">
        <f>'DOE25'!L196+'DOE25'!L214+'DOE25'!L232-F8-G8-D9-D11</f>
        <v>496593.87000000011</v>
      </c>
      <c r="F8" s="256">
        <f>'DOE25'!J196+'DOE25'!J214+'DOE25'!J232</f>
        <v>0</v>
      </c>
      <c r="G8" s="53">
        <f>'DOE25'!K196+'DOE25'!K214+'DOE25'!K232</f>
        <v>18807.689999999999</v>
      </c>
      <c r="H8" s="260"/>
    </row>
    <row r="9" spans="1:9" x14ac:dyDescent="0.2">
      <c r="A9" s="32">
        <v>2310</v>
      </c>
      <c r="B9" t="s">
        <v>849</v>
      </c>
      <c r="C9" s="246">
        <f t="shared" si="0"/>
        <v>55833.59</v>
      </c>
      <c r="D9" s="245">
        <v>55833.59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12250</v>
      </c>
      <c r="D10" s="244"/>
      <c r="E10" s="245">
        <v>12250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153810.62</v>
      </c>
      <c r="D11" s="245">
        <f>106268+3600+40560+3382.62</f>
        <v>153810.62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922240.74</v>
      </c>
      <c r="D12" s="20">
        <f>'DOE25'!L197+'DOE25'!L215+'DOE25'!L233-F12-G12</f>
        <v>906642.41</v>
      </c>
      <c r="E12" s="244"/>
      <c r="F12" s="256">
        <f>'DOE25'!J197+'DOE25'!J215+'DOE25'!J233</f>
        <v>600</v>
      </c>
      <c r="G12" s="53">
        <f>'DOE25'!K197+'DOE25'!K215+'DOE25'!K233</f>
        <v>14998.33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1332131.29</v>
      </c>
      <c r="D14" s="20">
        <f>'DOE25'!L199+'DOE25'!L217+'DOE25'!L235-F14-G14</f>
        <v>1318972.77</v>
      </c>
      <c r="E14" s="244"/>
      <c r="F14" s="256">
        <f>'DOE25'!J199+'DOE25'!J217+'DOE25'!J235</f>
        <v>13158.52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492685.38</v>
      </c>
      <c r="D15" s="20">
        <f>'DOE25'!L200+'DOE25'!L218+'DOE25'!L236-F15-G15</f>
        <v>492685.38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135834.27000000002</v>
      </c>
      <c r="D22" s="244"/>
      <c r="E22" s="244"/>
      <c r="F22" s="256">
        <f>'DOE25'!L247+'DOE25'!L328</f>
        <v>135834.27000000002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919291.26</v>
      </c>
      <c r="D25" s="244"/>
      <c r="E25" s="244"/>
      <c r="F25" s="259"/>
      <c r="G25" s="257"/>
      <c r="H25" s="258">
        <f>'DOE25'!L252+'DOE25'!L253+'DOE25'!L333+'DOE25'!L334</f>
        <v>919291.26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188570.88</v>
      </c>
      <c r="D29" s="20">
        <f>'DOE25'!L350+'DOE25'!L351+'DOE25'!L352-'DOE25'!I359-F29-G29</f>
        <v>183116.73</v>
      </c>
      <c r="E29" s="244"/>
      <c r="F29" s="256">
        <f>'DOE25'!J350+'DOE25'!J351+'DOE25'!J352</f>
        <v>4163.6499999999996</v>
      </c>
      <c r="G29" s="53">
        <f>'DOE25'!K350+'DOE25'!K351+'DOE25'!K352</f>
        <v>1290.5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564906.61</v>
      </c>
      <c r="D31" s="20">
        <f>'DOE25'!L282+'DOE25'!L301+'DOE25'!L320+'DOE25'!L325+'DOE25'!L326+'DOE25'!L327-F31-G31</f>
        <v>542407.17999999993</v>
      </c>
      <c r="E31" s="244"/>
      <c r="F31" s="256">
        <f>'DOE25'!J282+'DOE25'!J301+'DOE25'!J320+'DOE25'!J325+'DOE25'!J326+'DOE25'!J327</f>
        <v>22394.43</v>
      </c>
      <c r="G31" s="53">
        <f>'DOE25'!K282+'DOE25'!K301+'DOE25'!K320+'DOE25'!K325+'DOE25'!K326+'DOE25'!K327</f>
        <v>105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13862787.16</v>
      </c>
      <c r="E33" s="247">
        <f>SUM(E5:E31)</f>
        <v>508843.87000000011</v>
      </c>
      <c r="F33" s="247">
        <f>SUM(F5:F31)</f>
        <v>468771.81</v>
      </c>
      <c r="G33" s="247">
        <f>SUM(G5:G31)</f>
        <v>46174.82</v>
      </c>
      <c r="H33" s="247">
        <f>SUM(H5:H31)</f>
        <v>919291.26</v>
      </c>
    </row>
    <row r="35" spans="2:8" ht="12" thickBot="1" x14ac:dyDescent="0.25">
      <c r="B35" s="254" t="s">
        <v>878</v>
      </c>
      <c r="D35" s="255">
        <f>E33</f>
        <v>508843.87000000011</v>
      </c>
      <c r="E35" s="250"/>
    </row>
    <row r="36" spans="2:8" ht="12" thickTop="1" x14ac:dyDescent="0.2">
      <c r="B36" t="s">
        <v>846</v>
      </c>
      <c r="D36" s="20">
        <f>D33</f>
        <v>13862787.16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DD56-0D2D-486B-9179-23F6D13192C4}">
  <sheetPr transitionEvaluation="1" codeName="Sheet2">
    <tabColor indexed="10"/>
  </sheetPr>
  <dimension ref="A1:I156"/>
  <sheetViews>
    <sheetView zoomScale="75" workbookViewId="0">
      <pane ySplit="2" topLeftCell="A12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1137485.56</v>
      </c>
      <c r="D9" s="95">
        <f>'DOE25'!G9</f>
        <v>69291.16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229569.13</v>
      </c>
      <c r="D12" s="95">
        <f>'DOE25'!G12</f>
        <v>0</v>
      </c>
      <c r="E12" s="95">
        <f>'DOE25'!H12</f>
        <v>7370.64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12073.7</v>
      </c>
      <c r="D13" s="95">
        <f>'DOE25'!G13</f>
        <v>29010.95</v>
      </c>
      <c r="E13" s="95">
        <f>'DOE25'!H13</f>
        <v>173266.5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300</v>
      </c>
      <c r="D14" s="95">
        <f>'DOE25'!G14</f>
        <v>2001.22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870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1379428.39</v>
      </c>
      <c r="D19" s="41">
        <f>SUM(D9:D18)</f>
        <v>100303.33</v>
      </c>
      <c r="E19" s="41">
        <f>SUM(E9:E18)</f>
        <v>181507.14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7252.79</v>
      </c>
      <c r="D22" s="95">
        <f>'DOE25'!G23</f>
        <v>63848</v>
      </c>
      <c r="E22" s="95">
        <f>'DOE25'!H23</f>
        <v>165838.98000000001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309283.27</v>
      </c>
      <c r="D24" s="95">
        <f>'DOE25'!G25</f>
        <v>0</v>
      </c>
      <c r="E24" s="95">
        <f>'DOE25'!H25</f>
        <v>7930.74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433562.57</v>
      </c>
      <c r="D28" s="95">
        <f>'DOE25'!G29</f>
        <v>1823.4</v>
      </c>
      <c r="E28" s="95">
        <f>'DOE25'!H29</f>
        <v>4866.78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2875.02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750137.63</v>
      </c>
      <c r="D32" s="41">
        <f>SUM(D22:D31)</f>
        <v>68546.42</v>
      </c>
      <c r="E32" s="41">
        <f>SUM(E22:E31)</f>
        <v>178636.5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134920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31756.909999999996</v>
      </c>
      <c r="E40" s="95">
        <f>'DOE25'!H41</f>
        <v>2870.6400000000003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494370.76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629290.76</v>
      </c>
      <c r="D42" s="41">
        <f>SUM(D34:D41)</f>
        <v>31756.909999999996</v>
      </c>
      <c r="E42" s="41">
        <f>SUM(E34:E41)</f>
        <v>2870.6400000000003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1379428.3900000001</v>
      </c>
      <c r="D43" s="41">
        <f>D42+D32</f>
        <v>100303.32999999999</v>
      </c>
      <c r="E43" s="41">
        <f>E42+E32</f>
        <v>181507.14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9755383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145746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2178.13</v>
      </c>
      <c r="D51" s="95">
        <f>'DOE25'!G88</f>
        <v>157.75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205077.84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112671.61000000002</v>
      </c>
      <c r="D53" s="95">
        <f>SUM('DOE25'!G90:G102)</f>
        <v>0</v>
      </c>
      <c r="E53" s="95">
        <f>SUM('DOE25'!H90:H102)</f>
        <v>4500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260595.74000000002</v>
      </c>
      <c r="D54" s="130">
        <f>SUM(D49:D53)</f>
        <v>205235.59</v>
      </c>
      <c r="E54" s="130">
        <f>SUM(E49:E53)</f>
        <v>4500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10015978.74</v>
      </c>
      <c r="D55" s="22">
        <f>D48+D54</f>
        <v>205235.59</v>
      </c>
      <c r="E55" s="22">
        <f>E48+E54</f>
        <v>4500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3028945.99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1430311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109859.01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4569116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192256.34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66340.05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8981.94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5850</v>
      </c>
      <c r="D69" s="95">
        <f>SUM('DOE25'!G123:G127)</f>
        <v>3639.51</v>
      </c>
      <c r="E69" s="95">
        <f>SUM('DOE25'!H123:H127)</f>
        <v>3600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273428.33</v>
      </c>
      <c r="D70" s="130">
        <f>SUM(D64:D69)</f>
        <v>3639.51</v>
      </c>
      <c r="E70" s="130">
        <f>SUM(E64:E69)</f>
        <v>3600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4842544.33</v>
      </c>
      <c r="D73" s="130">
        <f>SUM(D71:D72)+D70+D62</f>
        <v>3639.51</v>
      </c>
      <c r="E73" s="130">
        <f>SUM(E71:E72)+E70+E62</f>
        <v>3600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166267.68</v>
      </c>
      <c r="D80" s="95">
        <f>SUM('DOE25'!G145:G153)</f>
        <v>149082.63</v>
      </c>
      <c r="E80" s="95">
        <f>SUM('DOE25'!H145:H153)</f>
        <v>569166.30000000005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166267.68</v>
      </c>
      <c r="D83" s="131">
        <f>SUM(D77:D82)</f>
        <v>149082.63</v>
      </c>
      <c r="E83" s="131">
        <f>SUM(E77:E82)</f>
        <v>569166.30000000005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1541.75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14064.19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14064.19</v>
      </c>
      <c r="D95" s="86">
        <f>SUM(D85:D94)</f>
        <v>1541.75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15038854.939999999</v>
      </c>
      <c r="D96" s="86">
        <f>D55+D73+D83+D95</f>
        <v>359499.48</v>
      </c>
      <c r="E96" s="86">
        <f>E55+E73+E83+E95</f>
        <v>577266.30000000005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5491703.5700000003</v>
      </c>
      <c r="D101" s="24" t="s">
        <v>312</v>
      </c>
      <c r="E101" s="95">
        <f>('DOE25'!L268)+('DOE25'!L287)+('DOE25'!L306)</f>
        <v>175357.4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2614365.39</v>
      </c>
      <c r="D102" s="24" t="s">
        <v>312</v>
      </c>
      <c r="E102" s="95">
        <f>('DOE25'!L269)+('DOE25'!L288)+('DOE25'!L307)</f>
        <v>227742.58000000002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110683.5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279806.87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8496559.3300000001</v>
      </c>
      <c r="D107" s="86">
        <f>SUM(D101:D106)</f>
        <v>0</v>
      </c>
      <c r="E107" s="86">
        <f>SUM(E101:E106)</f>
        <v>403099.98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1116150.6100000001</v>
      </c>
      <c r="D110" s="24" t="s">
        <v>312</v>
      </c>
      <c r="E110" s="95">
        <f>+('DOE25'!L273)+('DOE25'!L292)+('DOE25'!L311)</f>
        <v>20196.96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900202.78</v>
      </c>
      <c r="D111" s="24" t="s">
        <v>312</v>
      </c>
      <c r="E111" s="95">
        <f>+('DOE25'!L274)+('DOE25'!L293)+('DOE25'!L312)</f>
        <v>141609.66999999998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725045.77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922240.74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1332131.29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492685.38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351294.1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5488456.5700000003</v>
      </c>
      <c r="D120" s="86">
        <f>SUM(D110:D119)</f>
        <v>351294.1</v>
      </c>
      <c r="E120" s="86">
        <f>SUM(E110:E119)</f>
        <v>161806.62999999998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135834.27000000002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469291.26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14064.189999999999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1541.75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1056667.28</v>
      </c>
      <c r="D136" s="141">
        <f>SUM(D122:D135)</f>
        <v>0</v>
      </c>
      <c r="E136" s="141">
        <f>SUM(E122:E135)</f>
        <v>14064.189999999999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15041683.18</v>
      </c>
      <c r="D137" s="86">
        <f>(D107+D120+D136)</f>
        <v>351294.1</v>
      </c>
      <c r="E137" s="86">
        <f>(E107+E120+E136)</f>
        <v>578970.79999999993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08/15/2005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08/15/2025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12072350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4.13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10490000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10490000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450000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450000</v>
      </c>
    </row>
    <row r="151" spans="1:7" x14ac:dyDescent="0.2">
      <c r="A151" s="22" t="s">
        <v>35</v>
      </c>
      <c r="B151" s="137">
        <f>'DOE25'!F488</f>
        <v>10040000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10040000</v>
      </c>
    </row>
    <row r="152" spans="1:7" x14ac:dyDescent="0.2">
      <c r="A152" s="22" t="s">
        <v>36</v>
      </c>
      <c r="B152" s="137">
        <f>'DOE25'!F489</f>
        <v>3712290.7100000004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3712290.7100000004</v>
      </c>
    </row>
    <row r="153" spans="1:7" x14ac:dyDescent="0.2">
      <c r="A153" s="22" t="s">
        <v>37</v>
      </c>
      <c r="B153" s="137">
        <f>'DOE25'!F490</f>
        <v>13752290.710000001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13752290.710000001</v>
      </c>
    </row>
    <row r="154" spans="1:7" x14ac:dyDescent="0.2">
      <c r="A154" s="22" t="s">
        <v>38</v>
      </c>
      <c r="B154" s="137">
        <f>'DOE25'!F491</f>
        <v>470000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470000</v>
      </c>
    </row>
    <row r="155" spans="1:7" x14ac:dyDescent="0.2">
      <c r="A155" s="22" t="s">
        <v>39</v>
      </c>
      <c r="B155" s="137">
        <f>'DOE25'!F492</f>
        <v>446291.26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446291.26</v>
      </c>
    </row>
    <row r="156" spans="1:7" x14ac:dyDescent="0.2">
      <c r="A156" s="22" t="s">
        <v>269</v>
      </c>
      <c r="B156" s="137">
        <f>'DOE25'!F493</f>
        <v>916291.26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916291.26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B590-D32A-4674-8275-0A3BEDB79234}">
  <sheetPr codeName="Sheet3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Epping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14258</v>
      </c>
    </row>
    <row r="5" spans="1:4" x14ac:dyDescent="0.2">
      <c r="B5" t="s">
        <v>735</v>
      </c>
      <c r="C5" s="179">
        <f>IF('DOE25'!G655+'DOE25'!G660=0,0,ROUND('DOE25'!G662,0))</f>
        <v>13579</v>
      </c>
    </row>
    <row r="6" spans="1:4" x14ac:dyDescent="0.2">
      <c r="B6" t="s">
        <v>62</v>
      </c>
      <c r="C6" s="179">
        <f>IF('DOE25'!H655+'DOE25'!H660=0,0,ROUND('DOE25'!H662,0))</f>
        <v>16716</v>
      </c>
    </row>
    <row r="7" spans="1:4" x14ac:dyDescent="0.2">
      <c r="B7" t="s">
        <v>736</v>
      </c>
      <c r="C7" s="179">
        <f>IF('DOE25'!I655+'DOE25'!I660=0,0,ROUND('DOE25'!I662,0))</f>
        <v>14763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5667061</v>
      </c>
      <c r="D10" s="182">
        <f>ROUND((C10/$C$28)*100,1)</f>
        <v>37.4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2842108</v>
      </c>
      <c r="D11" s="182">
        <f>ROUND((C11/$C$28)*100,1)</f>
        <v>18.7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110684</v>
      </c>
      <c r="D12" s="182">
        <f>ROUND((C12/$C$28)*100,1)</f>
        <v>0.7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279807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1136348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1041812</v>
      </c>
      <c r="D16" s="182">
        <f t="shared" si="0"/>
        <v>6.9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725046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922241</v>
      </c>
      <c r="D18" s="182">
        <f t="shared" si="0"/>
        <v>6.1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1332131</v>
      </c>
      <c r="D20" s="182">
        <f t="shared" si="0"/>
        <v>8.8000000000000007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492685</v>
      </c>
      <c r="D21" s="182">
        <f t="shared" si="0"/>
        <v>3.2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469291</v>
      </c>
      <c r="D25" s="182">
        <f t="shared" si="0"/>
        <v>3.1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146216.16</v>
      </c>
      <c r="D27" s="182">
        <f t="shared" si="0"/>
        <v>1</v>
      </c>
    </row>
    <row r="28" spans="1:4" x14ac:dyDescent="0.2">
      <c r="B28" s="187" t="s">
        <v>754</v>
      </c>
      <c r="C28" s="180">
        <f>SUM(C10:C27)</f>
        <v>15165430.16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135834</v>
      </c>
    </row>
    <row r="30" spans="1:4" x14ac:dyDescent="0.2">
      <c r="B30" s="187" t="s">
        <v>760</v>
      </c>
      <c r="C30" s="180">
        <f>SUM(C28:C29)</f>
        <v>15301264.16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9755383</v>
      </c>
      <c r="D35" s="182">
        <f t="shared" ref="D35:D40" si="1">ROUND((C35/$C$41)*100,1)</f>
        <v>61.9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265253.49000000022</v>
      </c>
      <c r="D36" s="182">
        <f t="shared" si="1"/>
        <v>1.7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4569116</v>
      </c>
      <c r="D37" s="182">
        <f t="shared" si="1"/>
        <v>29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280668</v>
      </c>
      <c r="D38" s="182">
        <f t="shared" si="1"/>
        <v>1.8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884517</v>
      </c>
      <c r="D39" s="182">
        <f t="shared" si="1"/>
        <v>5.6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15754937.49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E556-7395-4F49-9948-17EB19A7CFB9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Epping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2011-10-17T15:39:14Z</cp:lastPrinted>
  <dcterms:created xsi:type="dcterms:W3CDTF">1997-12-04T19:04:30Z</dcterms:created>
  <dcterms:modified xsi:type="dcterms:W3CDTF">2025-01-09T20:40:48Z</dcterms:modified>
</cp:coreProperties>
</file>