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6F74C719-B519-420D-A6A7-D47BB58469BE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924A7BDB-1632-4ADA-86B1-AEC52F3B1BB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1" l="1"/>
  <c r="B2" i="10"/>
  <c r="C5" i="10"/>
  <c r="C6" i="10"/>
  <c r="I655" i="1"/>
  <c r="I659" i="1"/>
  <c r="C23" i="10"/>
  <c r="C29" i="10"/>
  <c r="C37" i="10"/>
  <c r="C40" i="10"/>
  <c r="C42" i="10"/>
  <c r="A1" i="2"/>
  <c r="A2" i="2"/>
  <c r="C9" i="2"/>
  <c r="C19" i="2" s="1"/>
  <c r="D9" i="2"/>
  <c r="E9" i="2"/>
  <c r="F9" i="2"/>
  <c r="F19" i="2" s="1"/>
  <c r="C10" i="2"/>
  <c r="D10" i="2"/>
  <c r="E10" i="2"/>
  <c r="F10" i="2"/>
  <c r="C11" i="2"/>
  <c r="C12" i="2"/>
  <c r="D12" i="2"/>
  <c r="D19" i="2" s="1"/>
  <c r="E12" i="2"/>
  <c r="F12" i="2"/>
  <c r="C13" i="2"/>
  <c r="D13" i="2"/>
  <c r="E13" i="2"/>
  <c r="F13" i="2"/>
  <c r="C14" i="2"/>
  <c r="D14" i="2"/>
  <c r="E14" i="2"/>
  <c r="E19" i="2" s="1"/>
  <c r="F14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G18" i="2"/>
  <c r="C22" i="2"/>
  <c r="C32" i="2" s="1"/>
  <c r="D22" i="2"/>
  <c r="E22" i="2"/>
  <c r="F22" i="2"/>
  <c r="C23" i="2"/>
  <c r="D23" i="2"/>
  <c r="D32" i="2" s="1"/>
  <c r="E23" i="2"/>
  <c r="F23" i="2"/>
  <c r="C24" i="2"/>
  <c r="D24" i="2"/>
  <c r="E24" i="2"/>
  <c r="F24" i="2"/>
  <c r="F32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E32" i="2"/>
  <c r="C34" i="2"/>
  <c r="D34" i="2"/>
  <c r="E34" i="2"/>
  <c r="E42" i="2" s="1"/>
  <c r="E43" i="2" s="1"/>
  <c r="F34" i="2"/>
  <c r="F42" i="2" s="1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40" i="2"/>
  <c r="D40" i="2"/>
  <c r="E40" i="2"/>
  <c r="F40" i="2"/>
  <c r="C41" i="2"/>
  <c r="D41" i="2"/>
  <c r="E41" i="2"/>
  <c r="F41" i="2"/>
  <c r="C42" i="2"/>
  <c r="C43" i="2" s="1"/>
  <c r="D42" i="2"/>
  <c r="D43" i="2" s="1"/>
  <c r="E48" i="2"/>
  <c r="F48" i="2"/>
  <c r="F55" i="2" s="1"/>
  <c r="C51" i="2"/>
  <c r="D51" i="2"/>
  <c r="E51" i="2"/>
  <c r="F51" i="2"/>
  <c r="G51" i="2"/>
  <c r="D52" i="2"/>
  <c r="D54" i="2" s="1"/>
  <c r="C53" i="2"/>
  <c r="D53" i="2"/>
  <c r="E53" i="2"/>
  <c r="F53" i="2"/>
  <c r="G53" i="2"/>
  <c r="F54" i="2"/>
  <c r="G54" i="2"/>
  <c r="C58" i="2"/>
  <c r="C59" i="2"/>
  <c r="C60" i="2"/>
  <c r="C61" i="2"/>
  <c r="D61" i="2"/>
  <c r="E61" i="2"/>
  <c r="E62" i="2" s="1"/>
  <c r="F61" i="2"/>
  <c r="F62" i="2" s="1"/>
  <c r="G61" i="2"/>
  <c r="G62" i="2" s="1"/>
  <c r="G73" i="2" s="1"/>
  <c r="C62" i="2"/>
  <c r="D62" i="2"/>
  <c r="D73" i="2" s="1"/>
  <c r="C64" i="2"/>
  <c r="F64" i="2"/>
  <c r="C65" i="2"/>
  <c r="F65" i="2"/>
  <c r="C66" i="2"/>
  <c r="C70" i="2" s="1"/>
  <c r="C73" i="2" s="1"/>
  <c r="C67" i="2"/>
  <c r="C68" i="2"/>
  <c r="E68" i="2"/>
  <c r="E70" i="2" s="1"/>
  <c r="E73" i="2" s="1"/>
  <c r="F68" i="2"/>
  <c r="F70" i="2" s="1"/>
  <c r="F73" i="2" s="1"/>
  <c r="C69" i="2"/>
  <c r="D69" i="2"/>
  <c r="E69" i="2"/>
  <c r="F69" i="2"/>
  <c r="G69" i="2"/>
  <c r="D70" i="2"/>
  <c r="G70" i="2"/>
  <c r="C71" i="2"/>
  <c r="D71" i="2"/>
  <c r="E71" i="2"/>
  <c r="C72" i="2"/>
  <c r="E72" i="2"/>
  <c r="E77" i="2"/>
  <c r="E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F95" i="2" s="1"/>
  <c r="C86" i="2"/>
  <c r="F86" i="2"/>
  <c r="D88" i="2"/>
  <c r="E88" i="2"/>
  <c r="F88" i="2"/>
  <c r="G88" i="2"/>
  <c r="G95" i="2" s="1"/>
  <c r="C89" i="2"/>
  <c r="D89" i="2"/>
  <c r="E89" i="2"/>
  <c r="F89" i="2"/>
  <c r="G89" i="2"/>
  <c r="C90" i="2"/>
  <c r="C95" i="2" s="1"/>
  <c r="D90" i="2"/>
  <c r="E90" i="2"/>
  <c r="E95" i="2" s="1"/>
  <c r="G90" i="2"/>
  <c r="C91" i="2"/>
  <c r="D91" i="2"/>
  <c r="D95" i="2" s="1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107" i="2"/>
  <c r="F107" i="2"/>
  <c r="G107" i="2"/>
  <c r="C113" i="2"/>
  <c r="E113" i="2"/>
  <c r="F120" i="2"/>
  <c r="G120" i="2"/>
  <c r="D126" i="2"/>
  <c r="E126" i="2"/>
  <c r="F126" i="2"/>
  <c r="C134" i="2"/>
  <c r="E134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G150" i="2" s="1"/>
  <c r="F150" i="2"/>
  <c r="B151" i="2"/>
  <c r="G151" i="2" s="1"/>
  <c r="C151" i="2"/>
  <c r="D151" i="2"/>
  <c r="E151" i="2"/>
  <c r="F151" i="2"/>
  <c r="B152" i="2"/>
  <c r="C152" i="2"/>
  <c r="D152" i="2"/>
  <c r="E152" i="2"/>
  <c r="G152" i="2" s="1"/>
  <c r="F152" i="2"/>
  <c r="E153" i="2"/>
  <c r="F153" i="2"/>
  <c r="B154" i="2"/>
  <c r="C154" i="2"/>
  <c r="D154" i="2"/>
  <c r="E154" i="2"/>
  <c r="G154" i="2" s="1"/>
  <c r="F154" i="2"/>
  <c r="B155" i="2"/>
  <c r="G155" i="2" s="1"/>
  <c r="C155" i="2"/>
  <c r="D155" i="2"/>
  <c r="E155" i="2"/>
  <c r="F155" i="2"/>
  <c r="B2" i="13"/>
  <c r="F5" i="13"/>
  <c r="G5" i="13"/>
  <c r="G33" i="13" s="1"/>
  <c r="F6" i="13"/>
  <c r="G6" i="13"/>
  <c r="F7" i="13"/>
  <c r="G7" i="13"/>
  <c r="F8" i="13"/>
  <c r="C9" i="13"/>
  <c r="C10" i="13"/>
  <c r="C11" i="13"/>
  <c r="F12" i="13"/>
  <c r="G12" i="13"/>
  <c r="F13" i="13"/>
  <c r="G13" i="13"/>
  <c r="F14" i="13"/>
  <c r="G14" i="13"/>
  <c r="F15" i="13"/>
  <c r="G15" i="13"/>
  <c r="F16" i="13"/>
  <c r="G16" i="13"/>
  <c r="F17" i="13"/>
  <c r="G17" i="13"/>
  <c r="F18" i="13"/>
  <c r="G18" i="13"/>
  <c r="F19" i="13"/>
  <c r="G19" i="13"/>
  <c r="F22" i="13"/>
  <c r="C22" i="13" s="1"/>
  <c r="F29" i="13"/>
  <c r="G29" i="13"/>
  <c r="D39" i="13"/>
  <c r="B1" i="12"/>
  <c r="B4" i="12"/>
  <c r="B13" i="12"/>
  <c r="C13" i="12"/>
  <c r="C18" i="12"/>
  <c r="B22" i="12"/>
  <c r="C22" i="12"/>
  <c r="B27" i="12"/>
  <c r="C27" i="12"/>
  <c r="B31" i="12"/>
  <c r="A31" i="12" s="1"/>
  <c r="C31" i="12"/>
  <c r="B36" i="12"/>
  <c r="A40" i="12" s="1"/>
  <c r="C36" i="12"/>
  <c r="B40" i="12"/>
  <c r="C40" i="12"/>
  <c r="J17" i="1"/>
  <c r="G17" i="2" s="1"/>
  <c r="J18" i="1"/>
  <c r="F19" i="1"/>
  <c r="G19" i="1"/>
  <c r="H19" i="1"/>
  <c r="I19" i="1"/>
  <c r="F33" i="1"/>
  <c r="G33" i="1"/>
  <c r="H33" i="1"/>
  <c r="I33" i="1"/>
  <c r="F43" i="1"/>
  <c r="G43" i="1"/>
  <c r="G44" i="1" s="1"/>
  <c r="H608" i="1" s="1"/>
  <c r="J608" i="1" s="1"/>
  <c r="H43" i="1"/>
  <c r="H44" i="1" s="1"/>
  <c r="H609" i="1" s="1"/>
  <c r="I43" i="1"/>
  <c r="I44" i="1" s="1"/>
  <c r="H610" i="1" s="1"/>
  <c r="J610" i="1" s="1"/>
  <c r="F44" i="1"/>
  <c r="H607" i="1" s="1"/>
  <c r="F52" i="1"/>
  <c r="C35" i="10" s="1"/>
  <c r="G52" i="1"/>
  <c r="D48" i="2" s="1"/>
  <c r="D55" i="2" s="1"/>
  <c r="D96" i="2" s="1"/>
  <c r="H52" i="1"/>
  <c r="I52" i="1"/>
  <c r="J52" i="1"/>
  <c r="G48" i="2" s="1"/>
  <c r="G55" i="2" s="1"/>
  <c r="G96" i="2" s="1"/>
  <c r="F71" i="1"/>
  <c r="F104" i="1" s="1"/>
  <c r="H71" i="1"/>
  <c r="E49" i="2" s="1"/>
  <c r="F86" i="1"/>
  <c r="C50" i="2" s="1"/>
  <c r="H86" i="1"/>
  <c r="E50" i="2" s="1"/>
  <c r="F103" i="1"/>
  <c r="G103" i="1"/>
  <c r="H103" i="1"/>
  <c r="I103" i="1"/>
  <c r="J103" i="1"/>
  <c r="G104" i="1"/>
  <c r="I104" i="1"/>
  <c r="J104" i="1"/>
  <c r="F113" i="1"/>
  <c r="F132" i="1" s="1"/>
  <c r="G113" i="1"/>
  <c r="H113" i="1"/>
  <c r="I113" i="1"/>
  <c r="J113" i="1"/>
  <c r="F128" i="1"/>
  <c r="G128" i="1"/>
  <c r="H128" i="1"/>
  <c r="I128" i="1"/>
  <c r="I132" i="1" s="1"/>
  <c r="I185" i="1" s="1"/>
  <c r="G620" i="1" s="1"/>
  <c r="J620" i="1" s="1"/>
  <c r="J128" i="1"/>
  <c r="J132" i="1" s="1"/>
  <c r="J185" i="1" s="1"/>
  <c r="G132" i="1"/>
  <c r="G185" i="1" s="1"/>
  <c r="G618" i="1" s="1"/>
  <c r="J618" i="1" s="1"/>
  <c r="H132" i="1"/>
  <c r="F139" i="1"/>
  <c r="C77" i="2" s="1"/>
  <c r="C83" i="2" s="1"/>
  <c r="G139" i="1"/>
  <c r="D77" i="2" s="1"/>
  <c r="D83" i="2" s="1"/>
  <c r="H139" i="1"/>
  <c r="I139" i="1"/>
  <c r="F154" i="1"/>
  <c r="G154" i="1"/>
  <c r="H154" i="1"/>
  <c r="H161" i="1" s="1"/>
  <c r="I154" i="1"/>
  <c r="I161" i="1" s="1"/>
  <c r="F161" i="1"/>
  <c r="C39" i="10" s="1"/>
  <c r="G161" i="1"/>
  <c r="F169" i="1"/>
  <c r="I169" i="1"/>
  <c r="F175" i="1"/>
  <c r="G175" i="1"/>
  <c r="H175" i="1"/>
  <c r="H184" i="1" s="1"/>
  <c r="I175" i="1"/>
  <c r="I184" i="1" s="1"/>
  <c r="J175" i="1"/>
  <c r="J184" i="1" s="1"/>
  <c r="F180" i="1"/>
  <c r="F184" i="1" s="1"/>
  <c r="G180" i="1"/>
  <c r="G184" i="1" s="1"/>
  <c r="H180" i="1"/>
  <c r="I180" i="1"/>
  <c r="F189" i="1"/>
  <c r="L189" i="1" s="1"/>
  <c r="G189" i="1"/>
  <c r="H189" i="1"/>
  <c r="H203" i="1" s="1"/>
  <c r="H190" i="1"/>
  <c r="L190" i="1"/>
  <c r="C11" i="10" s="1"/>
  <c r="L191" i="1"/>
  <c r="C12" i="10" s="1"/>
  <c r="L192" i="1"/>
  <c r="C13" i="10" s="1"/>
  <c r="F194" i="1"/>
  <c r="G194" i="1"/>
  <c r="G203" i="1" s="1"/>
  <c r="G249" i="1" s="1"/>
  <c r="G263" i="1" s="1"/>
  <c r="H194" i="1"/>
  <c r="I194" i="1"/>
  <c r="I203" i="1" s="1"/>
  <c r="I249" i="1" s="1"/>
  <c r="I263" i="1" s="1"/>
  <c r="L194" i="1"/>
  <c r="D6" i="13" s="1"/>
  <c r="C6" i="13" s="1"/>
  <c r="H195" i="1"/>
  <c r="L195" i="1"/>
  <c r="C16" i="10" s="1"/>
  <c r="F196" i="1"/>
  <c r="G196" i="1"/>
  <c r="H196" i="1"/>
  <c r="I196" i="1"/>
  <c r="K196" i="1"/>
  <c r="G8" i="13" s="1"/>
  <c r="L196" i="1"/>
  <c r="L197" i="1"/>
  <c r="D12" i="13" s="1"/>
  <c r="C12" i="13" s="1"/>
  <c r="L198" i="1"/>
  <c r="C19" i="10" s="1"/>
  <c r="H199" i="1"/>
  <c r="L199" i="1"/>
  <c r="C115" i="2" s="1"/>
  <c r="H200" i="1"/>
  <c r="L200" i="1"/>
  <c r="C116" i="2" s="1"/>
  <c r="L201" i="1"/>
  <c r="C117" i="2" s="1"/>
  <c r="J203" i="1"/>
  <c r="K203" i="1"/>
  <c r="L207" i="1"/>
  <c r="L221" i="1" s="1"/>
  <c r="G650" i="1" s="1"/>
  <c r="L208" i="1"/>
  <c r="L209" i="1"/>
  <c r="L210" i="1"/>
  <c r="L212" i="1"/>
  <c r="L213" i="1"/>
  <c r="L214" i="1"/>
  <c r="L215" i="1"/>
  <c r="L216" i="1"/>
  <c r="L217" i="1"/>
  <c r="L218" i="1"/>
  <c r="L219" i="1"/>
  <c r="E16" i="13" s="1"/>
  <c r="C16" i="13" s="1"/>
  <c r="F221" i="1"/>
  <c r="G221" i="1"/>
  <c r="H221" i="1"/>
  <c r="I221" i="1"/>
  <c r="J221" i="1"/>
  <c r="K221" i="1"/>
  <c r="L225" i="1"/>
  <c r="L226" i="1"/>
  <c r="L239" i="1" s="1"/>
  <c r="H650" i="1" s="1"/>
  <c r="L227" i="1"/>
  <c r="L228" i="1"/>
  <c r="L230" i="1"/>
  <c r="L231" i="1"/>
  <c r="F232" i="1"/>
  <c r="L232" i="1" s="1"/>
  <c r="E8" i="13" s="1"/>
  <c r="G232" i="1"/>
  <c r="H232" i="1"/>
  <c r="H239" i="1" s="1"/>
  <c r="I232" i="1"/>
  <c r="K232" i="1"/>
  <c r="L233" i="1"/>
  <c r="L234" i="1"/>
  <c r="L235" i="1"/>
  <c r="L236" i="1"/>
  <c r="L237" i="1"/>
  <c r="G239" i="1"/>
  <c r="I239" i="1"/>
  <c r="J239" i="1"/>
  <c r="K239" i="1"/>
  <c r="L242" i="1"/>
  <c r="C105" i="2" s="1"/>
  <c r="L243" i="1"/>
  <c r="C106" i="2" s="1"/>
  <c r="L244" i="1"/>
  <c r="D18" i="13" s="1"/>
  <c r="C18" i="13" s="1"/>
  <c r="L245" i="1"/>
  <c r="D19" i="13" s="1"/>
  <c r="C19" i="13" s="1"/>
  <c r="L246" i="1"/>
  <c r="L247" i="1"/>
  <c r="C122" i="2" s="1"/>
  <c r="F248" i="1"/>
  <c r="L248" i="1" s="1"/>
  <c r="G248" i="1"/>
  <c r="H248" i="1"/>
  <c r="I248" i="1"/>
  <c r="J248" i="1"/>
  <c r="K248" i="1"/>
  <c r="J249" i="1"/>
  <c r="J263" i="1" s="1"/>
  <c r="K249" i="1"/>
  <c r="K263" i="1" s="1"/>
  <c r="L252" i="1"/>
  <c r="C123" i="2" s="1"/>
  <c r="L253" i="1"/>
  <c r="C124" i="2" s="1"/>
  <c r="L255" i="1"/>
  <c r="C127" i="2" s="1"/>
  <c r="L256" i="1"/>
  <c r="C128" i="2" s="1"/>
  <c r="L257" i="1"/>
  <c r="C129" i="2" s="1"/>
  <c r="L258" i="1"/>
  <c r="L260" i="1"/>
  <c r="C26" i="10" s="1"/>
  <c r="L261" i="1"/>
  <c r="C135" i="2" s="1"/>
  <c r="F262" i="1"/>
  <c r="L262" i="1" s="1"/>
  <c r="G262" i="1"/>
  <c r="H262" i="1"/>
  <c r="I262" i="1"/>
  <c r="J262" i="1"/>
  <c r="K262" i="1"/>
  <c r="G268" i="1"/>
  <c r="L268" i="1" s="1"/>
  <c r="H268" i="1"/>
  <c r="I268" i="1"/>
  <c r="J268" i="1"/>
  <c r="F269" i="1"/>
  <c r="B18" i="12" s="1"/>
  <c r="A22" i="12" s="1"/>
  <c r="I269" i="1"/>
  <c r="L269" i="1"/>
  <c r="E102" i="2" s="1"/>
  <c r="L270" i="1"/>
  <c r="E103" i="2" s="1"/>
  <c r="L271" i="1"/>
  <c r="E104" i="2" s="1"/>
  <c r="H273" i="1"/>
  <c r="H282" i="1" s="1"/>
  <c r="H330" i="1" s="1"/>
  <c r="H344" i="1" s="1"/>
  <c r="L273" i="1"/>
  <c r="E110" i="2" s="1"/>
  <c r="F274" i="1"/>
  <c r="L274" i="1" s="1"/>
  <c r="E111" i="2" s="1"/>
  <c r="G274" i="1"/>
  <c r="H274" i="1"/>
  <c r="I274" i="1"/>
  <c r="K274" i="1"/>
  <c r="L275" i="1"/>
  <c r="E112" i="2" s="1"/>
  <c r="L276" i="1"/>
  <c r="L277" i="1"/>
  <c r="E114" i="2" s="1"/>
  <c r="L278" i="1"/>
  <c r="E115" i="2" s="1"/>
  <c r="L279" i="1"/>
  <c r="E116" i="2" s="1"/>
  <c r="L280" i="1"/>
  <c r="E117" i="2" s="1"/>
  <c r="F282" i="1"/>
  <c r="F330" i="1" s="1"/>
  <c r="F344" i="1" s="1"/>
  <c r="I282" i="1"/>
  <c r="J282" i="1"/>
  <c r="F31" i="13" s="1"/>
  <c r="K282" i="1"/>
  <c r="G31" i="13" s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L299" i="1"/>
  <c r="F301" i="1"/>
  <c r="G301" i="1"/>
  <c r="H301" i="1"/>
  <c r="I301" i="1"/>
  <c r="J301" i="1"/>
  <c r="J330" i="1" s="1"/>
  <c r="J344" i="1" s="1"/>
  <c r="K301" i="1"/>
  <c r="K330" i="1" s="1"/>
  <c r="K344" i="1" s="1"/>
  <c r="L306" i="1"/>
  <c r="L307" i="1"/>
  <c r="L308" i="1"/>
  <c r="L309" i="1"/>
  <c r="L311" i="1"/>
  <c r="L312" i="1"/>
  <c r="L313" i="1"/>
  <c r="L314" i="1"/>
  <c r="L315" i="1"/>
  <c r="L320" i="1" s="1"/>
  <c r="L316" i="1"/>
  <c r="L317" i="1"/>
  <c r="H652" i="1" s="1"/>
  <c r="L318" i="1"/>
  <c r="F320" i="1"/>
  <c r="G320" i="1"/>
  <c r="H320" i="1"/>
  <c r="I320" i="1"/>
  <c r="J320" i="1"/>
  <c r="K320" i="1"/>
  <c r="L324" i="1"/>
  <c r="E105" i="2" s="1"/>
  <c r="L325" i="1"/>
  <c r="L326" i="1"/>
  <c r="E106" i="2" s="1"/>
  <c r="L327" i="1"/>
  <c r="L328" i="1"/>
  <c r="E122" i="2" s="1"/>
  <c r="F329" i="1"/>
  <c r="G329" i="1"/>
  <c r="H329" i="1"/>
  <c r="I329" i="1"/>
  <c r="J329" i="1"/>
  <c r="K329" i="1"/>
  <c r="L329" i="1"/>
  <c r="I330" i="1"/>
  <c r="I344" i="1" s="1"/>
  <c r="L333" i="1"/>
  <c r="E123" i="2" s="1"/>
  <c r="L334" i="1"/>
  <c r="E124" i="2" s="1"/>
  <c r="L336" i="1"/>
  <c r="L337" i="1"/>
  <c r="E127" i="2" s="1"/>
  <c r="L338" i="1"/>
  <c r="E129" i="2" s="1"/>
  <c r="L339" i="1"/>
  <c r="L341" i="1"/>
  <c r="L342" i="1"/>
  <c r="E135" i="2" s="1"/>
  <c r="K343" i="1"/>
  <c r="H350" i="1"/>
  <c r="H354" i="1" s="1"/>
  <c r="I350" i="1"/>
  <c r="I354" i="1" s="1"/>
  <c r="L350" i="1"/>
  <c r="H651" i="1" s="1"/>
  <c r="L351" i="1"/>
  <c r="G651" i="1" s="1"/>
  <c r="L352" i="1"/>
  <c r="L353" i="1"/>
  <c r="F354" i="1"/>
  <c r="G354" i="1"/>
  <c r="J354" i="1"/>
  <c r="K354" i="1"/>
  <c r="F359" i="1"/>
  <c r="I359" i="1"/>
  <c r="G361" i="1"/>
  <c r="H361" i="1"/>
  <c r="L366" i="1"/>
  <c r="F122" i="2" s="1"/>
  <c r="F136" i="2" s="1"/>
  <c r="F137" i="2" s="1"/>
  <c r="L367" i="1"/>
  <c r="L368" i="1"/>
  <c r="L369" i="1"/>
  <c r="L370" i="1"/>
  <c r="L374" i="1" s="1"/>
  <c r="G626" i="1" s="1"/>
  <c r="J626" i="1" s="1"/>
  <c r="L371" i="1"/>
  <c r="L372" i="1"/>
  <c r="L373" i="1"/>
  <c r="F374" i="1"/>
  <c r="G374" i="1"/>
  <c r="H374" i="1"/>
  <c r="I374" i="1"/>
  <c r="J374" i="1"/>
  <c r="K374" i="1"/>
  <c r="L379" i="1"/>
  <c r="H380" i="1"/>
  <c r="H385" i="1" s="1"/>
  <c r="H400" i="1" s="1"/>
  <c r="H634" i="1" s="1"/>
  <c r="J634" i="1" s="1"/>
  <c r="L380" i="1"/>
  <c r="L385" i="1" s="1"/>
  <c r="L381" i="1"/>
  <c r="L382" i="1"/>
  <c r="L383" i="1"/>
  <c r="L384" i="1"/>
  <c r="F385" i="1"/>
  <c r="G385" i="1"/>
  <c r="I385" i="1"/>
  <c r="L387" i="1"/>
  <c r="L388" i="1"/>
  <c r="L393" i="1" s="1"/>
  <c r="C131" i="2" s="1"/>
  <c r="L389" i="1"/>
  <c r="L390" i="1"/>
  <c r="L391" i="1"/>
  <c r="H392" i="1"/>
  <c r="L392" i="1"/>
  <c r="F393" i="1"/>
  <c r="G393" i="1"/>
  <c r="H393" i="1"/>
  <c r="I393" i="1"/>
  <c r="L395" i="1"/>
  <c r="L399" i="1" s="1"/>
  <c r="C132" i="2" s="1"/>
  <c r="L396" i="1"/>
  <c r="L397" i="1"/>
  <c r="L398" i="1"/>
  <c r="F399" i="1"/>
  <c r="G399" i="1"/>
  <c r="H399" i="1"/>
  <c r="I399" i="1"/>
  <c r="F400" i="1"/>
  <c r="G400" i="1"/>
  <c r="I400" i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G411" i="1"/>
  <c r="H411" i="1"/>
  <c r="I411" i="1"/>
  <c r="I426" i="1" s="1"/>
  <c r="J411" i="1"/>
  <c r="J426" i="1" s="1"/>
  <c r="K411" i="1"/>
  <c r="K426" i="1" s="1"/>
  <c r="G126" i="2" s="1"/>
  <c r="G136" i="2" s="1"/>
  <c r="G137" i="2" s="1"/>
  <c r="L413" i="1"/>
  <c r="L414" i="1"/>
  <c r="L415" i="1"/>
  <c r="L416" i="1"/>
  <c r="L417" i="1"/>
  <c r="L418" i="1"/>
  <c r="F419" i="1"/>
  <c r="G419" i="1"/>
  <c r="H419" i="1"/>
  <c r="H426" i="1" s="1"/>
  <c r="I419" i="1"/>
  <c r="J419" i="1"/>
  <c r="K419" i="1"/>
  <c r="L419" i="1"/>
  <c r="L421" i="1"/>
  <c r="L422" i="1"/>
  <c r="L423" i="1"/>
  <c r="L424" i="1"/>
  <c r="F425" i="1"/>
  <c r="G425" i="1"/>
  <c r="H425" i="1"/>
  <c r="I425" i="1"/>
  <c r="J425" i="1"/>
  <c r="K425" i="1"/>
  <c r="L425" i="1"/>
  <c r="F426" i="1"/>
  <c r="G426" i="1"/>
  <c r="I431" i="1"/>
  <c r="J9" i="1" s="1"/>
  <c r="I432" i="1"/>
  <c r="J10" i="1" s="1"/>
  <c r="G10" i="2" s="1"/>
  <c r="I433" i="1"/>
  <c r="J12" i="1" s="1"/>
  <c r="G12" i="2" s="1"/>
  <c r="F434" i="1"/>
  <c r="F438" i="1" s="1"/>
  <c r="G629" i="1" s="1"/>
  <c r="G434" i="1"/>
  <c r="G438" i="1" s="1"/>
  <c r="I434" i="1"/>
  <c r="J13" i="1" s="1"/>
  <c r="G13" i="2" s="1"/>
  <c r="I435" i="1"/>
  <c r="J14" i="1" s="1"/>
  <c r="G14" i="2" s="1"/>
  <c r="I436" i="1"/>
  <c r="I437" i="1"/>
  <c r="H438" i="1"/>
  <c r="I440" i="1"/>
  <c r="I444" i="1" s="1"/>
  <c r="I441" i="1"/>
  <c r="J24" i="1" s="1"/>
  <c r="G23" i="2" s="1"/>
  <c r="I442" i="1"/>
  <c r="J25" i="1" s="1"/>
  <c r="G24" i="2" s="1"/>
  <c r="I443" i="1"/>
  <c r="J32" i="1" s="1"/>
  <c r="G31" i="2" s="1"/>
  <c r="F444" i="1"/>
  <c r="G444" i="1"/>
  <c r="H444" i="1"/>
  <c r="H451" i="1" s="1"/>
  <c r="H631" i="1" s="1"/>
  <c r="I446" i="1"/>
  <c r="J37" i="1" s="1"/>
  <c r="I447" i="1"/>
  <c r="J38" i="1" s="1"/>
  <c r="G37" i="2" s="1"/>
  <c r="I448" i="1"/>
  <c r="J40" i="1" s="1"/>
  <c r="G39" i="2" s="1"/>
  <c r="H450" i="1"/>
  <c r="F460" i="1"/>
  <c r="G460" i="1"/>
  <c r="G466" i="1" s="1"/>
  <c r="H613" i="1" s="1"/>
  <c r="H460" i="1"/>
  <c r="H466" i="1" s="1"/>
  <c r="H614" i="1" s="1"/>
  <c r="J614" i="1" s="1"/>
  <c r="I460" i="1"/>
  <c r="I466" i="1" s="1"/>
  <c r="H615" i="1" s="1"/>
  <c r="J460" i="1"/>
  <c r="J466" i="1" s="1"/>
  <c r="H616" i="1" s="1"/>
  <c r="F464" i="1"/>
  <c r="F466" i="1" s="1"/>
  <c r="H612" i="1" s="1"/>
  <c r="J612" i="1" s="1"/>
  <c r="G464" i="1"/>
  <c r="H464" i="1"/>
  <c r="I464" i="1"/>
  <c r="J464" i="1"/>
  <c r="K485" i="1"/>
  <c r="K486" i="1"/>
  <c r="K487" i="1"/>
  <c r="K488" i="1"/>
  <c r="K489" i="1"/>
  <c r="F490" i="1"/>
  <c r="B153" i="2" s="1"/>
  <c r="G153" i="2" s="1"/>
  <c r="G490" i="1"/>
  <c r="C153" i="2" s="1"/>
  <c r="H490" i="1"/>
  <c r="D153" i="2" s="1"/>
  <c r="I490" i="1"/>
  <c r="J490" i="1"/>
  <c r="K490" i="1"/>
  <c r="K491" i="1"/>
  <c r="K492" i="1"/>
  <c r="F493" i="1"/>
  <c r="K493" i="1" s="1"/>
  <c r="G493" i="1"/>
  <c r="C156" i="2" s="1"/>
  <c r="H493" i="1"/>
  <c r="D156" i="2" s="1"/>
  <c r="I493" i="1"/>
  <c r="E156" i="2" s="1"/>
  <c r="J493" i="1"/>
  <c r="F156" i="2" s="1"/>
  <c r="I497" i="1"/>
  <c r="F507" i="1"/>
  <c r="G507" i="1"/>
  <c r="H507" i="1"/>
  <c r="I507" i="1"/>
  <c r="F511" i="1"/>
  <c r="G511" i="1"/>
  <c r="G514" i="1" s="1"/>
  <c r="G535" i="1" s="1"/>
  <c r="H511" i="1"/>
  <c r="H514" i="1" s="1"/>
  <c r="I511" i="1"/>
  <c r="I514" i="1" s="1"/>
  <c r="I535" i="1" s="1"/>
  <c r="L512" i="1"/>
  <c r="H513" i="1"/>
  <c r="L513" i="1"/>
  <c r="F514" i="1"/>
  <c r="J514" i="1"/>
  <c r="K514" i="1"/>
  <c r="H516" i="1"/>
  <c r="H519" i="1" s="1"/>
  <c r="L517" i="1"/>
  <c r="H518" i="1"/>
  <c r="L518" i="1"/>
  <c r="F519" i="1"/>
  <c r="G519" i="1"/>
  <c r="I519" i="1"/>
  <c r="J519" i="1"/>
  <c r="K519" i="1"/>
  <c r="H521" i="1"/>
  <c r="H524" i="1" s="1"/>
  <c r="K521" i="1"/>
  <c r="L522" i="1"/>
  <c r="L523" i="1"/>
  <c r="F524" i="1"/>
  <c r="G524" i="1"/>
  <c r="I524" i="1"/>
  <c r="J524" i="1"/>
  <c r="K524" i="1"/>
  <c r="L526" i="1"/>
  <c r="I539" i="1" s="1"/>
  <c r="I542" i="1" s="1"/>
  <c r="L527" i="1"/>
  <c r="L528" i="1"/>
  <c r="F529" i="1"/>
  <c r="G529" i="1"/>
  <c r="H529" i="1"/>
  <c r="I529" i="1"/>
  <c r="J529" i="1"/>
  <c r="K529" i="1"/>
  <c r="K535" i="1" s="1"/>
  <c r="L531" i="1"/>
  <c r="L534" i="1" s="1"/>
  <c r="L532" i="1"/>
  <c r="J540" i="1" s="1"/>
  <c r="L533" i="1"/>
  <c r="J541" i="1" s="1"/>
  <c r="K541" i="1" s="1"/>
  <c r="F534" i="1"/>
  <c r="G534" i="1"/>
  <c r="H534" i="1"/>
  <c r="I534" i="1"/>
  <c r="J534" i="1"/>
  <c r="K534" i="1"/>
  <c r="F535" i="1"/>
  <c r="J535" i="1"/>
  <c r="F540" i="1"/>
  <c r="G540" i="1"/>
  <c r="K540" i="1" s="1"/>
  <c r="H540" i="1"/>
  <c r="I540" i="1"/>
  <c r="F541" i="1"/>
  <c r="G541" i="1"/>
  <c r="H541" i="1"/>
  <c r="I541" i="1"/>
  <c r="L547" i="1"/>
  <c r="L548" i="1"/>
  <c r="L549" i="1"/>
  <c r="F550" i="1"/>
  <c r="G550" i="1"/>
  <c r="H550" i="1"/>
  <c r="I550" i="1"/>
  <c r="J550" i="1"/>
  <c r="K550" i="1"/>
  <c r="K561" i="1" s="1"/>
  <c r="L550" i="1"/>
  <c r="L552" i="1"/>
  <c r="L553" i="1"/>
  <c r="L554" i="1"/>
  <c r="F555" i="1"/>
  <c r="G555" i="1"/>
  <c r="H555" i="1"/>
  <c r="I555" i="1"/>
  <c r="J555" i="1"/>
  <c r="K555" i="1"/>
  <c r="L555" i="1"/>
  <c r="L557" i="1"/>
  <c r="L560" i="1" s="1"/>
  <c r="L558" i="1"/>
  <c r="L559" i="1"/>
  <c r="F560" i="1"/>
  <c r="F561" i="1" s="1"/>
  <c r="G560" i="1"/>
  <c r="H560" i="1"/>
  <c r="I560" i="1"/>
  <c r="J560" i="1"/>
  <c r="J561" i="1" s="1"/>
  <c r="K560" i="1"/>
  <c r="G561" i="1"/>
  <c r="H561" i="1"/>
  <c r="I561" i="1"/>
  <c r="I565" i="1"/>
  <c r="I566" i="1"/>
  <c r="I567" i="1"/>
  <c r="I568" i="1"/>
  <c r="I569" i="1"/>
  <c r="I570" i="1"/>
  <c r="I571" i="1"/>
  <c r="F572" i="1"/>
  <c r="F653" i="1" s="1"/>
  <c r="I653" i="1" s="1"/>
  <c r="I572" i="1"/>
  <c r="H573" i="1"/>
  <c r="I573" i="1" s="1"/>
  <c r="I574" i="1"/>
  <c r="I575" i="1"/>
  <c r="I576" i="1"/>
  <c r="I577" i="1"/>
  <c r="H581" i="1"/>
  <c r="H588" i="1" s="1"/>
  <c r="H639" i="1" s="1"/>
  <c r="K582" i="1"/>
  <c r="K583" i="1"/>
  <c r="K584" i="1"/>
  <c r="K585" i="1"/>
  <c r="K586" i="1"/>
  <c r="K587" i="1"/>
  <c r="I588" i="1"/>
  <c r="J588" i="1"/>
  <c r="K592" i="1"/>
  <c r="K595" i="1" s="1"/>
  <c r="G638" i="1" s="1"/>
  <c r="K593" i="1"/>
  <c r="K594" i="1"/>
  <c r="H595" i="1"/>
  <c r="I595" i="1"/>
  <c r="J595" i="1"/>
  <c r="L601" i="1"/>
  <c r="L602" i="1"/>
  <c r="L603" i="1"/>
  <c r="F604" i="1"/>
  <c r="G604" i="1"/>
  <c r="H604" i="1"/>
  <c r="I604" i="1"/>
  <c r="J604" i="1"/>
  <c r="K604" i="1"/>
  <c r="L604" i="1"/>
  <c r="G607" i="1"/>
  <c r="G608" i="1"/>
  <c r="G609" i="1"/>
  <c r="J609" i="1" s="1"/>
  <c r="G610" i="1"/>
  <c r="G612" i="1"/>
  <c r="G613" i="1"/>
  <c r="G614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31" i="1"/>
  <c r="G633" i="1"/>
  <c r="J633" i="1" s="1"/>
  <c r="H633" i="1"/>
  <c r="G634" i="1"/>
  <c r="G635" i="1"/>
  <c r="J635" i="1" s="1"/>
  <c r="H635" i="1"/>
  <c r="H637" i="1"/>
  <c r="G639" i="1"/>
  <c r="G640" i="1"/>
  <c r="H640" i="1"/>
  <c r="J640" i="1"/>
  <c r="G641" i="1"/>
  <c r="J641" i="1" s="1"/>
  <c r="H641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F652" i="1"/>
  <c r="I652" i="1" s="1"/>
  <c r="G652" i="1"/>
  <c r="G653" i="1"/>
  <c r="H653" i="1"/>
  <c r="I660" i="1"/>
  <c r="J19" i="1" l="1"/>
  <c r="G611" i="1" s="1"/>
  <c r="G9" i="2"/>
  <c r="G19" i="2" s="1"/>
  <c r="L561" i="1"/>
  <c r="G624" i="1"/>
  <c r="F360" i="1"/>
  <c r="I360" i="1" s="1"/>
  <c r="I361" i="1" s="1"/>
  <c r="H624" i="1" s="1"/>
  <c r="C136" i="2"/>
  <c r="H654" i="1"/>
  <c r="D5" i="13"/>
  <c r="L203" i="1"/>
  <c r="C101" i="2"/>
  <c r="C10" i="10"/>
  <c r="G636" i="1"/>
  <c r="G621" i="1"/>
  <c r="J621" i="1" s="1"/>
  <c r="F33" i="13"/>
  <c r="F96" i="2"/>
  <c r="L282" i="1"/>
  <c r="E101" i="2"/>
  <c r="E107" i="2" s="1"/>
  <c r="J631" i="1"/>
  <c r="J615" i="1"/>
  <c r="H535" i="1"/>
  <c r="E120" i="2"/>
  <c r="J613" i="1"/>
  <c r="C17" i="10"/>
  <c r="G36" i="2"/>
  <c r="F43" i="2"/>
  <c r="G449" i="1"/>
  <c r="G450" i="1" s="1"/>
  <c r="G451" i="1" s="1"/>
  <c r="H630" i="1" s="1"/>
  <c r="G630" i="1"/>
  <c r="C130" i="2"/>
  <c r="L400" i="1"/>
  <c r="E136" i="2"/>
  <c r="C8" i="13"/>
  <c r="G654" i="1"/>
  <c r="J639" i="1"/>
  <c r="E54" i="2"/>
  <c r="E55" i="2" s="1"/>
  <c r="E96" i="2" s="1"/>
  <c r="C38" i="10"/>
  <c r="F185" i="1"/>
  <c r="G617" i="1" s="1"/>
  <c r="J617" i="1" s="1"/>
  <c r="C133" i="2"/>
  <c r="H249" i="1"/>
  <c r="H263" i="1" s="1"/>
  <c r="F651" i="1"/>
  <c r="I651" i="1" s="1"/>
  <c r="J607" i="1"/>
  <c r="L521" i="1"/>
  <c r="H25" i="13"/>
  <c r="D17" i="13"/>
  <c r="C17" i="13" s="1"/>
  <c r="D14" i="13"/>
  <c r="C14" i="13" s="1"/>
  <c r="B156" i="2"/>
  <c r="G156" i="2" s="1"/>
  <c r="C102" i="2"/>
  <c r="C49" i="2"/>
  <c r="C54" i="2" s="1"/>
  <c r="C32" i="10"/>
  <c r="C25" i="10"/>
  <c r="L516" i="1"/>
  <c r="L511" i="1"/>
  <c r="L343" i="1"/>
  <c r="G282" i="1"/>
  <c r="G330" i="1" s="1"/>
  <c r="G344" i="1" s="1"/>
  <c r="C114" i="2"/>
  <c r="C24" i="10"/>
  <c r="C9" i="12"/>
  <c r="C21" i="10"/>
  <c r="H638" i="1"/>
  <c r="J638" i="1" s="1"/>
  <c r="B9" i="12"/>
  <c r="A13" i="12" s="1"/>
  <c r="E13" i="13"/>
  <c r="C13" i="13" s="1"/>
  <c r="C20" i="10"/>
  <c r="F239" i="1"/>
  <c r="L529" i="1"/>
  <c r="L354" i="1"/>
  <c r="H104" i="1"/>
  <c r="H185" i="1" s="1"/>
  <c r="G619" i="1" s="1"/>
  <c r="J619" i="1" s="1"/>
  <c r="D119" i="2"/>
  <c r="D120" i="2" s="1"/>
  <c r="D137" i="2" s="1"/>
  <c r="C112" i="2"/>
  <c r="C48" i="2"/>
  <c r="K581" i="1"/>
  <c r="K588" i="1" s="1"/>
  <c r="G637" i="1" s="1"/>
  <c r="J637" i="1" s="1"/>
  <c r="C18" i="10"/>
  <c r="J539" i="1"/>
  <c r="J542" i="1" s="1"/>
  <c r="F449" i="1"/>
  <c r="I438" i="1"/>
  <c r="G632" i="1" s="1"/>
  <c r="D7" i="13"/>
  <c r="C7" i="13" s="1"/>
  <c r="C111" i="2"/>
  <c r="J23" i="1"/>
  <c r="D29" i="13"/>
  <c r="C29" i="13" s="1"/>
  <c r="D15" i="13"/>
  <c r="C15" i="13" s="1"/>
  <c r="C104" i="2"/>
  <c r="C110" i="2"/>
  <c r="C120" i="2" s="1"/>
  <c r="C15" i="10"/>
  <c r="F203" i="1"/>
  <c r="F249" i="1" s="1"/>
  <c r="F263" i="1" s="1"/>
  <c r="C103" i="2"/>
  <c r="E33" i="13" l="1"/>
  <c r="D35" i="13" s="1"/>
  <c r="G539" i="1"/>
  <c r="G542" i="1" s="1"/>
  <c r="L519" i="1"/>
  <c r="E137" i="2"/>
  <c r="C107" i="2"/>
  <c r="C137" i="2" s="1"/>
  <c r="I449" i="1"/>
  <c r="F450" i="1"/>
  <c r="F451" i="1" s="1"/>
  <c r="H629" i="1" s="1"/>
  <c r="J629" i="1" s="1"/>
  <c r="F650" i="1"/>
  <c r="L249" i="1"/>
  <c r="L263" i="1" s="1"/>
  <c r="G622" i="1" s="1"/>
  <c r="J622" i="1" s="1"/>
  <c r="C5" i="13"/>
  <c r="C55" i="2"/>
  <c r="C96" i="2" s="1"/>
  <c r="H636" i="1"/>
  <c r="G627" i="1"/>
  <c r="J627" i="1" s="1"/>
  <c r="C36" i="10"/>
  <c r="J624" i="1"/>
  <c r="H657" i="1"/>
  <c r="H662" i="1"/>
  <c r="C25" i="13"/>
  <c r="H33" i="13"/>
  <c r="J630" i="1"/>
  <c r="F361" i="1"/>
  <c r="G657" i="1"/>
  <c r="G662" i="1"/>
  <c r="H539" i="1"/>
  <c r="H542" i="1" s="1"/>
  <c r="L524" i="1"/>
  <c r="G22" i="2"/>
  <c r="G32" i="2" s="1"/>
  <c r="J33" i="1"/>
  <c r="C27" i="10"/>
  <c r="G625" i="1"/>
  <c r="J625" i="1" s="1"/>
  <c r="L330" i="1"/>
  <c r="L344" i="1" s="1"/>
  <c r="G623" i="1" s="1"/>
  <c r="J623" i="1" s="1"/>
  <c r="D31" i="13"/>
  <c r="C31" i="13" s="1"/>
  <c r="F539" i="1"/>
  <c r="L514" i="1"/>
  <c r="L535" i="1" s="1"/>
  <c r="J636" i="1"/>
  <c r="D33" i="13" l="1"/>
  <c r="D36" i="13" s="1"/>
  <c r="C28" i="10"/>
  <c r="I650" i="1"/>
  <c r="I654" i="1" s="1"/>
  <c r="F654" i="1"/>
  <c r="K539" i="1"/>
  <c r="K542" i="1" s="1"/>
  <c r="F542" i="1"/>
  <c r="C41" i="10"/>
  <c r="D36" i="10" s="1"/>
  <c r="J41" i="1"/>
  <c r="I450" i="1"/>
  <c r="I451" i="1" s="1"/>
  <c r="H632" i="1" s="1"/>
  <c r="J632" i="1" s="1"/>
  <c r="D37" i="10" l="1"/>
  <c r="D39" i="10"/>
  <c r="D35" i="10"/>
  <c r="D40" i="10"/>
  <c r="D38" i="10"/>
  <c r="G40" i="2"/>
  <c r="G42" i="2" s="1"/>
  <c r="G43" i="2" s="1"/>
  <c r="J43" i="1"/>
  <c r="F662" i="1"/>
  <c r="C4" i="10" s="1"/>
  <c r="F657" i="1"/>
  <c r="I657" i="1"/>
  <c r="I662" i="1"/>
  <c r="C7" i="10" s="1"/>
  <c r="D22" i="10"/>
  <c r="C30" i="10"/>
  <c r="D13" i="10"/>
  <c r="D23" i="10"/>
  <c r="D16" i="10"/>
  <c r="D11" i="10"/>
  <c r="D19" i="10"/>
  <c r="D26" i="10"/>
  <c r="D12" i="10"/>
  <c r="D17" i="10"/>
  <c r="D21" i="10"/>
  <c r="D24" i="10"/>
  <c r="D18" i="10"/>
  <c r="D15" i="10"/>
  <c r="D10" i="10"/>
  <c r="D25" i="10"/>
  <c r="D20" i="10"/>
  <c r="D27" i="10"/>
  <c r="G616" i="1" l="1"/>
  <c r="J44" i="1"/>
  <c r="H611" i="1" s="1"/>
  <c r="J611" i="1" s="1"/>
  <c r="D41" i="10"/>
  <c r="D28" i="10"/>
  <c r="J616" i="1" l="1"/>
  <c r="H6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D570BF0F-EEE5-4532-99B2-A9BCCC39890E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1EE48B23-776A-475A-9291-6FBD2A5062A8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02C840F8-FD35-4AF0-B77E-4245CA721C10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CCD29511-3298-498E-8072-75B91C2B7B09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B7146D0-CABF-473A-A273-B6A652064851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831D480-CF23-4A93-BD7A-256B59A43BC9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D2F02725-46F8-4235-A7B1-425C9FDF8484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7E7D7AD0-CFAC-4DF3-AB84-7DD62B19BDE9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46670C2-D35A-438A-A723-D27C386416AA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55DEBDC8-40E8-463C-9106-666A2C59005F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92C321D3-F4B7-40BC-810A-9C97ECF356DA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5FAE908-40BA-40A6-A823-CD77CCF6855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<sst xmlns="http://schemas.openxmlformats.org/spreadsheetml/2006/main" count="3861" uniqueCount="898">
  <si>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</si>
  <si>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</si>
  <si>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</si>
  <si>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</si>
  <si>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</si>
  <si>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</si>
  <si>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</si>
  <si>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</si>
  <si>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</si>
  <si>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</si>
  <si>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</si>
  <si>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</si>
  <si>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</si>
  <si>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</si>
  <si>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</si>
  <si>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</si>
  <si>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</si>
  <si>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</si>
  <si>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</si>
  <si>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</si>
  <si>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</si>
  <si>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</si>
  <si>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</si>
  <si>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</si>
  <si>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</si>
  <si>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</si>
  <si>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</si>
  <si>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</si>
  <si>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</si>
  <si>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</si>
  <si>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</si>
  <si>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</si>
  <si>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</si>
  <si>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</si>
  <si>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</si>
  <si>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</si>
  <si>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</si>
  <si>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</si>
  <si>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</si>
  <si>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</si>
  <si>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</si>
  <si>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</si>
  <si>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</si>
  <si>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</si>
  <si>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</si>
  <si>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</si>
  <si>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</si>
  <si>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</si>
  <si>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</si>
  <si>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</si>
  <si>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</si>
  <si>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</si>
  <si>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</si>
  <si>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</si>
  <si>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</si>
  <si>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</si>
  <si>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</si>
  <si>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</si>
  <si>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</si>
  <si>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</si>
  <si>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</si>
  <si>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</si>
  <si>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</si>
  <si>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</si>
  <si>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</si>
  <si>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</si>
  <si>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</si>
  <si>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</si>
  <si>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</si>
  <si>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</si>
  <si>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</si>
  <si>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</si>
  <si>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</si>
  <si>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</si>
  <si>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</si>
  <si>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</si>
  <si>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</si>
  <si>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</si>
  <si>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</si>
  <si>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</si>
  <si>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</si>
  <si>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</si>
  <si>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</si>
  <si>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</si>
  <si>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</si>
  <si>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</si>
  <si>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</si>
  <si>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</si>
  <si>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</si>
  <si>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</si>
  <si>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</si>
  <si>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</si>
  <si>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</si>
  <si>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</si>
  <si>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</si>
  <si>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</si>
  <si>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</si>
  <si>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</si>
  <si>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</si>
  <si>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</si>
  <si>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</si>
  <si>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</si>
  <si>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</si>
  <si>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</si>
  <si>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</si>
  <si>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</si>
  <si>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</si>
  <si>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</si>
  <si>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</si>
  <si>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</si>
  <si>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</si>
  <si>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</si>
  <si>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</si>
  <si>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</si>
  <si>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</si>
  <si>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</si>
  <si>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</si>
  <si>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</si>
  <si>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</si>
  <si>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</si>
  <si>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</si>
  <si>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</si>
  <si>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</si>
  <si>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</si>
  <si>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</si>
  <si>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</si>
  <si>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</si>
  <si>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</si>
  <si>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</si>
  <si>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</si>
  <si>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</si>
  <si>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</si>
  <si>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</si>
  <si>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</si>
  <si>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</si>
  <si>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</si>
  <si>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</si>
  <si>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</si>
  <si>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</si>
  <si>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</si>
  <si>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</si>
  <si>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</si>
  <si>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</si>
  <si>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</si>
  <si>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</si>
  <si>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</si>
  <si>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</si>
  <si>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</si>
  <si>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</si>
  <si>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</si>
  <si>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</si>
  <si>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</si>
  <si>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</si>
  <si>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</si>
  <si>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</si>
  <si>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</si>
  <si>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</si>
  <si>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</si>
  <si>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</si>
  <si>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</si>
  <si>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</si>
  <si>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</si>
  <si>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</si>
  <si>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</si>
  <si>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</si>
  <si>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</si>
  <si>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</si>
  <si>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</si>
  <si>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</si>
  <si>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</si>
  <si>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</si>
  <si>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</si>
  <si>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</si>
  <si>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</si>
  <si>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</si>
  <si>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</si>
  <si>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</si>
  <si>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</si>
  <si>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</si>
  <si>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</si>
  <si>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</si>
  <si>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</si>
  <si>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</si>
  <si>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</si>
  <si>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</si>
  <si>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</si>
  <si>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</si>
  <si>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</si>
  <si>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</si>
  <si>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</si>
  <si>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</si>
  <si>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</si>
  <si>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</si>
  <si>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</si>
  <si>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</si>
  <si>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</si>
  <si>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</si>
  <si>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</si>
  <si>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</si>
  <si>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</si>
  <si>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</si>
  <si>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</si>
  <si>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</si>
  <si>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</si>
  <si>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</si>
  <si>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</si>
  <si>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</si>
  <si>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</si>
  <si>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</si>
  <si>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</si>
  <si>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</si>
  <si>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</si>
  <si>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</si>
  <si>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</si>
  <si>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</si>
  <si>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</si>
  <si>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</si>
  <si>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</si>
  <si>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</si>
  <si>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</si>
  <si>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</si>
  <si>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</si>
  <si>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</si>
  <si>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</si>
  <si>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</si>
  <si>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</si>
  <si>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</si>
  <si>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</si>
  <si>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</si>
  <si>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</si>
  <si>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</si>
  <si>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</si>
  <si>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</si>
  <si>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</si>
  <si>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</si>
  <si>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</si>
  <si>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</si>
  <si>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</si>
  <si>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</si>
  <si>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</si>
  <si>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</si>
  <si>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</si>
  <si>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</si>
  <si>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</si>
  <si>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</si>
  <si>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</si>
  <si>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</si>
  <si>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</si>
  <si>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</si>
  <si>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</si>
  <si>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</si>
  <si>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</si>
  <si>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</si>
  <si>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</si>
  <si>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</si>
  <si>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</si>
  <si>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</si>
  <si>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</si>
  <si>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</si>
  <si>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</si>
  <si>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</si>
  <si>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</si>
  <si>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</si>
  <si>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</si>
  <si>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</si>
  <si>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</si>
  <si>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</si>
  <si>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</si>
  <si>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</si>
  <si>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</si>
  <si>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</si>
  <si>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</si>
  <si>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</si>
  <si>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</si>
  <si>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</si>
  <si>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</si>
  <si>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</si>
  <si>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</si>
  <si>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</si>
  <si>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</si>
  <si>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</si>
  <si>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</si>
  <si>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</si>
  <si>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</si>
  <si>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</si>
  <si>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</si>
  <si>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</si>
  <si>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</si>
  <si>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</si>
  <si>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</si>
  <si>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</si>
  <si>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</si>
  <si>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</si>
  <si>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</si>
  <si>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</si>
  <si>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</si>
  <si>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</si>
  <si>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</si>
  <si>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</si>
  <si>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</si>
  <si>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</si>
  <si>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</si>
  <si>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</si>
  <si>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</si>
  <si>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</si>
  <si>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</si>
  <si>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</si>
  <si>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</si>
  <si>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</si>
  <si>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</si>
  <si>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</si>
  <si>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</si>
  <si>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</si>
  <si>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</si>
  <si>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</si>
  <si>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</si>
  <si>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</si>
  <si>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</si>
  <si>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</si>
  <si>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</si>
  <si>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</si>
  <si>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</si>
  <si>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</si>
  <si>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</si>
  <si>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</si>
  <si>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</si>
  <si>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</si>
  <si>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</si>
  <si>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</si>
  <si>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</si>
  <si>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</si>
  <si>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</si>
  <si>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</si>
  <si>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</si>
  <si>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</si>
  <si>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</si>
  <si>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</si>
  <si>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</si>
  <si>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</si>
  <si>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</si>
  <si>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</si>
  <si>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</si>
  <si>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</si>
  <si>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</si>
  <si>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</si>
  <si>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</si>
  <si>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</si>
  <si>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</si>
  <si>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</si>
  <si>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</si>
  <si>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</si>
  <si>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</si>
  <si>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</si>
  <si>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</si>
  <si>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</si>
  <si>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</si>
  <si>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</si>
  <si>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</si>
  <si>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</si>
  <si>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</si>
  <si>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</si>
  <si>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</si>
  <si>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</si>
  <si>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</si>
  <si>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</si>
  <si>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</si>
  <si>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</si>
  <si>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</si>
  <si>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</si>
  <si>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</si>
  <si>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</si>
  <si>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</si>
  <si>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</si>
  <si>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</si>
  <si>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</si>
  <si>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</si>
  <si>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</si>
  <si>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</si>
  <si>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</si>
  <si>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</si>
  <si>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</si>
  <si>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</si>
  <si>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</si>
  <si>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</si>
  <si>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</si>
  <si>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</si>
  <si>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</si>
  <si>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</si>
  <si>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</si>
  <si>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</si>
  <si>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</si>
  <si>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</si>
  <si>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</si>
  <si>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</si>
  <si>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</si>
  <si>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</si>
  <si>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</si>
  <si>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</si>
  <si>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</si>
  <si>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</si>
  <si>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</si>
  <si>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</si>
  <si>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</si>
  <si>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</si>
  <si>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</si>
  <si>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</si>
  <si>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</si>
  <si>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</si>
  <si>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</si>
  <si>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</si>
  <si>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</si>
  <si>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</si>
  <si>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</si>
  <si>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</si>
  <si>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</si>
  <si>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</si>
  <si>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</si>
  <si>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</si>
  <si>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</si>
  <si>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</si>
  <si>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</si>
  <si>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</si>
  <si>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</si>
  <si>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</si>
  <si>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</si>
  <si>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</si>
  <si>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</si>
  <si>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</si>
  <si>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</si>
  <si>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</si>
  <si>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</si>
  <si>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</si>
  <si>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</si>
  <si>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</si>
  <si>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</si>
  <si>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</si>
  <si>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</si>
  <si>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</si>
  <si>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</si>
  <si>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</si>
  <si>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</si>
  <si>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</si>
  <si>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</si>
  <si>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</si>
  <si>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</si>
  <si>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</si>
  <si>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</si>
  <si>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</si>
  <si>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</si>
  <si>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</si>
  <si>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</si>
  <si>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</si>
  <si>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</si>
  <si>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</si>
  <si>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</si>
  <si>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</si>
  <si>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</si>
  <si>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</si>
  <si>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</si>
  <si>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</si>
  <si>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</si>
  <si>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</si>
  <si>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</si>
  <si>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</si>
  <si>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</si>
  <si>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</si>
  <si>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</si>
  <si>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</si>
  <si>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</si>
  <si>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</si>
  <si>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</si>
  <si>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</si>
  <si>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</si>
  <si>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</si>
  <si>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</si>
  <si>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</si>
  <si>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</si>
  <si>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</si>
  <si>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</si>
  <si>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</si>
  <si>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</si>
  <si>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</si>
  <si>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</si>
  <si>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</si>
  <si>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</si>
  <si>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</si>
  <si>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</si>
  <si>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</si>
  <si>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</si>
  <si>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</si>
  <si>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</si>
  <si>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</si>
  <si>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</si>
  <si>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</si>
  <si>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</si>
  <si>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</si>
  <si>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</si>
  <si>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</si>
  <si>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</si>
  <si>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</si>
  <si>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</si>
  <si>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</si>
  <si>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</si>
  <si>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</si>
  <si>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</si>
  <si>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</si>
  <si>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</si>
  <si>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</si>
  <si>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</si>
  <si>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</si>
  <si>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</si>
  <si>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</si>
  <si>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</si>
  <si>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</si>
  <si>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</si>
  <si>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</si>
  <si>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</si>
  <si>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</si>
  <si>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</si>
  <si>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</si>
  <si>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</si>
  <si>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</si>
  <si>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</si>
  <si>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</si>
  <si>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</si>
  <si>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</si>
  <si>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</si>
  <si>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</si>
  <si>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</si>
  <si>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</si>
  <si>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</si>
  <si>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</si>
  <si>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</si>
  <si>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</si>
  <si>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</si>
  <si>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</si>
  <si>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</si>
  <si>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</si>
  <si>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</si>
  <si>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</si>
  <si>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</si>
  <si>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</si>
  <si>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</si>
  <si>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</si>
  <si>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</si>
  <si>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</si>
  <si>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</si>
  <si>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</si>
  <si>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</si>
  <si>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</si>
  <si>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</si>
  <si>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</si>
  <si>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</si>
  <si>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</si>
  <si>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</si>
  <si>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</si>
  <si>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</si>
  <si>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</si>
  <si>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</si>
  <si>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</si>
  <si>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</si>
  <si>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</si>
  <si>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</si>
  <si>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</si>
  <si>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</si>
  <si>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</si>
  <si>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</si>
  <si>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</si>
  <si>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</si>
  <si>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</si>
  <si>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</si>
  <si>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</si>
  <si>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</si>
  <si>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</si>
  <si>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</si>
  <si>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</si>
  <si>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</si>
  <si>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</si>
  <si>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</si>
  <si>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</si>
  <si>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</si>
  <si>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</si>
  <si>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</si>
  <si>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</si>
  <si>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</si>
  <si>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</si>
  <si>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</si>
  <si>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</si>
  <si>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</si>
  <si>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</si>
  <si>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</si>
  <si>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</si>
  <si>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</si>
  <si>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</si>
  <si>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</si>
  <si>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</si>
  <si>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</si>
  <si>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</si>
  <si>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</si>
  <si>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</si>
  <si>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</si>
  <si>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</si>
  <si>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</si>
  <si>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</si>
  <si>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</si>
  <si>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</si>
  <si>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</si>
  <si>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</si>
  <si>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</si>
  <si>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</si>
  <si>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</si>
  <si>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</si>
  <si>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</si>
  <si>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</si>
  <si>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</si>
  <si>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</si>
  <si>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</si>
  <si>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</si>
  <si>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</si>
  <si>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</si>
  <si>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</si>
  <si>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</si>
  <si>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</si>
  <si>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</si>
  <si>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</si>
  <si>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</si>
  <si>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</si>
  <si>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</si>
  <si>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</si>
  <si>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</si>
  <si>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</si>
  <si>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</si>
  <si>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</si>
  <si>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</si>
  <si>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</si>
  <si>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</si>
  <si>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</si>
  <si>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</si>
  <si>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</si>
  <si>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</si>
  <si>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</si>
  <si>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</si>
  <si>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</si>
  <si>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</si>
  <si>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</si>
  <si>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</si>
  <si>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</si>
  <si>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</si>
  <si>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</si>
  <si>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</si>
  <si>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</si>
  <si>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</si>
  <si>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</si>
  <si>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</si>
  <si>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</si>
  <si>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</si>
  <si>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</si>
  <si>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</si>
  <si>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</si>
  <si>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</si>
  <si>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</si>
  <si>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</si>
  <si>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</si>
  <si>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</si>
  <si>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</si>
  <si>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</si>
  <si>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</si>
  <si>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</si>
  <si>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</si>
  <si>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</si>
  <si>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</si>
  <si>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</si>
  <si>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</si>
  <si>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</si>
  <si>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</si>
  <si>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</si>
  <si>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</si>
  <si>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</si>
  <si>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</si>
  <si>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</si>
  <si>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</si>
  <si>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</si>
  <si>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</si>
  <si>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</si>
  <si>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</si>
  <si>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</si>
  <si>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</si>
  <si>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</si>
  <si>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</si>
  <si>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</si>
  <si>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</si>
  <si>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</si>
  <si>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</si>
  <si>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</si>
  <si>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</si>
  <si>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</si>
  <si>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</si>
  <si>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</si>
  <si>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</si>
  <si>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</si>
  <si>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</si>
  <si>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</si>
  <si>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</si>
  <si>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</si>
  <si>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</si>
  <si>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</si>
  <si>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</si>
  <si>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</si>
  <si>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</si>
  <si>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</si>
  <si>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</si>
  <si>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</si>
  <si>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</si>
  <si>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</si>
  <si>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</si>
  <si>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</si>
  <si>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</si>
  <si>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</si>
  <si>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</si>
  <si>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</si>
  <si>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</si>
  <si>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</si>
  <si>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</si>
  <si>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</si>
  <si>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</si>
  <si>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</si>
  <si>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</si>
  <si>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</si>
  <si>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</si>
  <si>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</si>
  <si>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</si>
  <si>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</si>
  <si>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</si>
  <si>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</si>
  <si>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</si>
  <si>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</si>
  <si>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</si>
  <si>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</si>
  <si>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</si>
  <si>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</si>
  <si>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</si>
  <si>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</si>
  <si>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</si>
  <si>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</si>
  <si>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</si>
  <si>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</si>
  <si>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</si>
  <si>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</si>
  <si>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</si>
  <si>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</si>
  <si>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</si>
  <si>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</si>
  <si>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</si>
  <si>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</si>
  <si>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</si>
  <si>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</si>
  <si>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</si>
  <si>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</si>
  <si>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</si>
  <si>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</si>
  <si>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</si>
  <si>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</si>
  <si>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</si>
  <si>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</si>
  <si>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</si>
  <si>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</si>
  <si>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</si>
  <si>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</si>
  <si>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</si>
  <si>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</si>
  <si>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</si>
  <si>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</si>
  <si>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</si>
  <si>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</si>
  <si>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</si>
  <si>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</si>
  <si>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</si>
  <si>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</si>
  <si>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</si>
  <si>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</si>
  <si>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</si>
  <si>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</si>
  <si>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</si>
  <si>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</si>
  <si>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</si>
  <si>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</si>
  <si>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</si>
  <si>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</si>
  <si>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</si>
  <si>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</si>
  <si>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</si>
  <si>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</si>
  <si>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</si>
  <si>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</si>
  <si>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</si>
  <si>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</si>
  <si>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</si>
  <si>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</si>
  <si>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</si>
  <si>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</si>
  <si>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</si>
  <si>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</si>
  <si>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</si>
  <si>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</si>
  <si>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</si>
  <si>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</si>
  <si>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</si>
  <si>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</si>
  <si>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</si>
  <si>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</si>
  <si>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</si>
  <si>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</si>
  <si>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</si>
  <si>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</si>
  <si>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</si>
  <si>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</si>
  <si>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</si>
  <si>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</si>
  <si>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</si>
  <si>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</si>
  <si>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</si>
  <si>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</si>
  <si>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</si>
  <si>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</si>
  <si>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</si>
  <si>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</si>
  <si>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</si>
  <si>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</si>
  <si>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</si>
  <si>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</si>
  <si>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</si>
  <si>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</si>
  <si>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</si>
  <si>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</si>
  <si>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</si>
  <si>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</si>
  <si>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</si>
  <si>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</si>
  <si>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</si>
  <si>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</si>
  <si>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</si>
  <si>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</si>
  <si>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</si>
  <si>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</si>
  <si>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</si>
  <si>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</si>
  <si>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</si>
  <si>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</si>
  <si>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</si>
  <si>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</si>
  <si>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</si>
  <si>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</si>
  <si>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</si>
  <si>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</si>
  <si>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</si>
  <si>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</si>
  <si>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</si>
  <si>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</si>
  <si>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</si>
  <si>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</si>
  <si>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</si>
  <si>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</si>
  <si>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</si>
  <si>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</si>
  <si>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</si>
  <si>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</si>
  <si>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</si>
  <si>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</si>
  <si>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</si>
  <si>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</si>
  <si>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</si>
  <si>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</si>
  <si>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</si>
  <si>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</si>
  <si>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</si>
  <si>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</si>
  <si>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</si>
  <si>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</si>
  <si>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</si>
  <si>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</si>
  <si>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</si>
  <si>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</si>
  <si>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</si>
  <si>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</si>
  <si>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</si>
  <si>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</si>
  <si>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</si>
  <si>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</si>
  <si>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</si>
  <si>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</si>
  <si>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</si>
  <si>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</si>
  <si>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</si>
  <si>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</si>
  <si>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Trust Fund report.  Last year's ending balance came in higher due to an error that was recently discovered.  The change is</t>
  </si>
  <si>
    <t>reflected as an adjustment. The beginning balance should have been $170,486.79.</t>
  </si>
  <si>
    <t>Errol SD</t>
  </si>
  <si>
    <t>EdJobs 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</si>
</sst>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5CF0-DF90-4118-B16C-5170F0F0CB25}">
  <sheetPr transitionEvaluation="1" transitionEntry="1" codeName="Sheet1">
    <tabColor indexed="56"/>
  </sheetPr>
  <dimension ref="A1:AQ666"/>
  <sheetViews>
    <sheetView tabSelected="1" topLeftCell="A633" zoomScale="75" workbookViewId="0">
      <selection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171</v>
      </c>
      <c r="C2" s="21">
        <v>171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9903.3700000000008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2593.7199999999998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4302.59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20300</v>
      </c>
      <c r="G13" s="18"/>
      <c r="H13" s="18">
        <v>6042.73</v>
      </c>
      <c r="I13" s="18"/>
      <c r="J13" s="67">
        <f>SUM(I434)</f>
        <v>168273.25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37099.68</v>
      </c>
      <c r="G19" s="41">
        <f>SUM(G9:G18)</f>
        <v>0</v>
      </c>
      <c r="H19" s="41">
        <f>SUM(H9:H18)</f>
        <v>6042.73</v>
      </c>
      <c r="I19" s="41">
        <f>SUM(I9:I18)</f>
        <v>0</v>
      </c>
      <c r="J19" s="41">
        <f>SUM(J9:J18)</f>
        <v>168273.25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4302.59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8817.7199999999993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28280.42</v>
      </c>
      <c r="G31" s="18"/>
      <c r="H31" s="18">
        <v>1740.14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37098.14</v>
      </c>
      <c r="G33" s="41">
        <f>SUM(G23:G32)</f>
        <v>0</v>
      </c>
      <c r="H33" s="41">
        <f>SUM(H23:H32)</f>
        <v>6042.7300000000005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20657.37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147615.88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1.54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1.54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168273.25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37099.68</v>
      </c>
      <c r="G44" s="41">
        <f>G43+G33</f>
        <v>0</v>
      </c>
      <c r="H44" s="41">
        <f>H43+H33</f>
        <v>6042.7300000000005</v>
      </c>
      <c r="I44" s="41">
        <f>I43+I33</f>
        <v>0</v>
      </c>
      <c r="J44" s="41">
        <f>J43+J33</f>
        <v>168273.25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175354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175354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77952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77952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19.55</v>
      </c>
      <c r="G88" s="18"/>
      <c r="H88" s="18"/>
      <c r="I88" s="18"/>
      <c r="J88" s="18">
        <v>334.74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8587.65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233.6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233.47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60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313.02</v>
      </c>
      <c r="G103" s="41">
        <f>SUM(G88:G102)</f>
        <v>8587.65</v>
      </c>
      <c r="H103" s="41">
        <f>SUM(H88:H102)</f>
        <v>233.6</v>
      </c>
      <c r="I103" s="41">
        <f>SUM(I88:I102)</f>
        <v>0</v>
      </c>
      <c r="J103" s="41">
        <f>SUM(J88:J102)</f>
        <v>334.74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253619.02</v>
      </c>
      <c r="G104" s="41">
        <f>G52+G103</f>
        <v>8587.65</v>
      </c>
      <c r="H104" s="41">
        <f>H52+H71+H86+H103</f>
        <v>233.6</v>
      </c>
      <c r="I104" s="41">
        <f>I52+I103</f>
        <v>0</v>
      </c>
      <c r="J104" s="41">
        <f>J52+J103</f>
        <v>334.74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13921.09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173626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504.91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>
        <v>2355.5</v>
      </c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188052</v>
      </c>
      <c r="G113" s="41">
        <f>SUM(G109:G112)</f>
        <v>2355.5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143.72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143.72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188052</v>
      </c>
      <c r="G132" s="41">
        <f>G113+SUM(G128:G129)</f>
        <v>2499.2199999999998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11957.51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4000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2477.85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4316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6899.41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2372.44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4059.64</v>
      </c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6432.08</v>
      </c>
      <c r="G154" s="41">
        <f>SUM(G142:G153)</f>
        <v>4316</v>
      </c>
      <c r="H154" s="41">
        <f>SUM(H142:H153)</f>
        <v>25334.77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4923.1000000000004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11355.18</v>
      </c>
      <c r="G161" s="41">
        <f>G139+G154+SUM(G155:G160)</f>
        <v>4316</v>
      </c>
      <c r="H161" s="41">
        <f>H139+H154+SUM(H155:H160)</f>
        <v>25334.77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7388.67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7388.67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2828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2828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2828</v>
      </c>
      <c r="G184" s="41">
        <f>G175+SUM(G180:G183)</f>
        <v>7388.67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455854.2</v>
      </c>
      <c r="G185" s="47">
        <f>G104+G132+G161+G184</f>
        <v>22791.54</v>
      </c>
      <c r="H185" s="47">
        <f>H104+H132+H161+H184</f>
        <v>25568.37</v>
      </c>
      <c r="I185" s="47">
        <f>I104+I132+I161+I184</f>
        <v>0</v>
      </c>
      <c r="J185" s="47">
        <f>J104+J132+J184</f>
        <v>334.74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121525.11</f>
        <v>121525.11</v>
      </c>
      <c r="G189" s="18">
        <f>50299.07</f>
        <v>50299.07</v>
      </c>
      <c r="H189" s="18">
        <f>2189.98</f>
        <v>2189.98</v>
      </c>
      <c r="I189" s="18">
        <v>9334.1299999999992</v>
      </c>
      <c r="J189" s="18">
        <v>300.44</v>
      </c>
      <c r="K189" s="18"/>
      <c r="L189" s="19">
        <f>SUM(F189:K189)</f>
        <v>183648.73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11018.24</v>
      </c>
      <c r="G190" s="18">
        <v>1380.27</v>
      </c>
      <c r="H190" s="18">
        <f>21.84+1420.24</f>
        <v>1442.08</v>
      </c>
      <c r="I190" s="18">
        <v>137.5</v>
      </c>
      <c r="J190" s="18"/>
      <c r="K190" s="18"/>
      <c r="L190" s="19">
        <f>SUM(F190:K190)</f>
        <v>13978.09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805</v>
      </c>
      <c r="G192" s="18">
        <v>129.16</v>
      </c>
      <c r="H192" s="18">
        <v>607.20000000000005</v>
      </c>
      <c r="I192" s="18"/>
      <c r="J192" s="18"/>
      <c r="K192" s="18"/>
      <c r="L192" s="19">
        <f>SUM(F192:K192)</f>
        <v>1541.3600000000001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8209.5</f>
        <v>8209.5</v>
      </c>
      <c r="G194" s="18">
        <f>3361.55</f>
        <v>3361.55</v>
      </c>
      <c r="H194" s="18">
        <f>935+966+3904.47+3877</f>
        <v>9682.4699999999993</v>
      </c>
      <c r="I194" s="18">
        <f>210.63+233.86+6811.68+3791.34+5200</f>
        <v>16247.51</v>
      </c>
      <c r="J194" s="18"/>
      <c r="K194" s="18"/>
      <c r="L194" s="19">
        <f t="shared" ref="L194:L200" si="0">SUM(F194:K194)</f>
        <v>37501.03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692.26</v>
      </c>
      <c r="G195" s="18">
        <v>59.53</v>
      </c>
      <c r="H195" s="18">
        <f>600</f>
        <v>600</v>
      </c>
      <c r="I195" s="18">
        <v>993.99</v>
      </c>
      <c r="J195" s="18"/>
      <c r="K195" s="18"/>
      <c r="L195" s="19">
        <f t="shared" si="0"/>
        <v>2345.7799999999997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1380*0.844</f>
        <v>1164.72</v>
      </c>
      <c r="G196" s="18">
        <f>109.91*0.844</f>
        <v>92.764039999999994</v>
      </c>
      <c r="H196" s="18">
        <f>(250+317.53+3250+49909)*0.844</f>
        <v>45345.191319999998</v>
      </c>
      <c r="I196" s="18">
        <f>289.73*0.844</f>
        <v>244.53212000000002</v>
      </c>
      <c r="J196" s="18"/>
      <c r="K196" s="18">
        <f>1532.24*0.844</f>
        <v>1293.21056</v>
      </c>
      <c r="L196" s="19">
        <f t="shared" si="0"/>
        <v>48140.418040000004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30473.45</v>
      </c>
      <c r="G197" s="18">
        <v>11597.17</v>
      </c>
      <c r="H197" s="18">
        <v>5552.93</v>
      </c>
      <c r="I197" s="18">
        <v>105</v>
      </c>
      <c r="J197" s="18"/>
      <c r="K197" s="18">
        <v>823</v>
      </c>
      <c r="L197" s="19">
        <f t="shared" si="0"/>
        <v>48551.55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9589.41</v>
      </c>
      <c r="G199" s="18">
        <v>1004.42</v>
      </c>
      <c r="H199" s="18">
        <f>8445.99+1079.95</f>
        <v>9525.94</v>
      </c>
      <c r="I199" s="18">
        <v>11061.61</v>
      </c>
      <c r="J199" s="18"/>
      <c r="K199" s="18"/>
      <c r="L199" s="19">
        <f t="shared" si="0"/>
        <v>31181.38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>
        <v>45</v>
      </c>
      <c r="H200" s="18">
        <f>19000+99</f>
        <v>19099</v>
      </c>
      <c r="I200" s="18"/>
      <c r="J200" s="18"/>
      <c r="K200" s="18"/>
      <c r="L200" s="19">
        <f t="shared" si="0"/>
        <v>19144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183477.69000000003</v>
      </c>
      <c r="G203" s="41">
        <f t="shared" si="1"/>
        <v>67968.934040000007</v>
      </c>
      <c r="H203" s="41">
        <f t="shared" si="1"/>
        <v>94044.791319999989</v>
      </c>
      <c r="I203" s="41">
        <f t="shared" si="1"/>
        <v>38124.272120000001</v>
      </c>
      <c r="J203" s="41">
        <f t="shared" si="1"/>
        <v>300.44</v>
      </c>
      <c r="K203" s="41">
        <f t="shared" si="1"/>
        <v>2116.21056</v>
      </c>
      <c r="L203" s="41">
        <f t="shared" si="1"/>
        <v>386032.33804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33211.519999999997</v>
      </c>
      <c r="I225" s="18"/>
      <c r="J225" s="18"/>
      <c r="K225" s="18"/>
      <c r="L225" s="19">
        <f>SUM(F225:K225)</f>
        <v>33211.519999999997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38754.79</v>
      </c>
      <c r="I226" s="18"/>
      <c r="J226" s="18"/>
      <c r="K226" s="18"/>
      <c r="L226" s="19">
        <f>SUM(F226:K226)</f>
        <v>38754.79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>
        <v>19243.84</v>
      </c>
      <c r="I228" s="18"/>
      <c r="J228" s="18"/>
      <c r="K228" s="18"/>
      <c r="L228" s="19">
        <f>SUM(F228:K228)</f>
        <v>19243.84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v>1656</v>
      </c>
      <c r="I230" s="18"/>
      <c r="J230" s="18"/>
      <c r="K230" s="18"/>
      <c r="L230" s="19">
        <f t="shared" ref="L230:L236" si="4">SUM(F230:K230)</f>
        <v>1656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1380*0.156</f>
        <v>215.28</v>
      </c>
      <c r="G232" s="18">
        <f>109.91*0.156</f>
        <v>17.145959999999999</v>
      </c>
      <c r="H232" s="18">
        <f>(250+317.53+3250+49909)*0.156</f>
        <v>8381.3386799999989</v>
      </c>
      <c r="I232" s="18">
        <f>289.73*0.156</f>
        <v>45.197880000000005</v>
      </c>
      <c r="J232" s="18"/>
      <c r="K232" s="18">
        <f>1532.24*0.156</f>
        <v>239.02943999999999</v>
      </c>
      <c r="L232" s="19">
        <f t="shared" si="4"/>
        <v>8897.9919599999994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215.28</v>
      </c>
      <c r="G239" s="41">
        <f t="shared" si="5"/>
        <v>17.145959999999999</v>
      </c>
      <c r="H239" s="41">
        <f t="shared" si="5"/>
        <v>101247.48867999999</v>
      </c>
      <c r="I239" s="41">
        <f t="shared" si="5"/>
        <v>45.197880000000005</v>
      </c>
      <c r="J239" s="41">
        <f t="shared" si="5"/>
        <v>0</v>
      </c>
      <c r="K239" s="41">
        <f t="shared" si="5"/>
        <v>239.02943999999999</v>
      </c>
      <c r="L239" s="41">
        <f t="shared" si="5"/>
        <v>101764.14195999999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183692.97000000003</v>
      </c>
      <c r="G249" s="41">
        <f t="shared" si="8"/>
        <v>67986.080000000002</v>
      </c>
      <c r="H249" s="41">
        <f t="shared" si="8"/>
        <v>195292.27999999997</v>
      </c>
      <c r="I249" s="41">
        <f t="shared" si="8"/>
        <v>38169.47</v>
      </c>
      <c r="J249" s="41">
        <f t="shared" si="8"/>
        <v>300.44</v>
      </c>
      <c r="K249" s="41">
        <f t="shared" si="8"/>
        <v>2355.2399999999998</v>
      </c>
      <c r="L249" s="41">
        <f t="shared" si="8"/>
        <v>487796.47999999998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7388.67</v>
      </c>
      <c r="L255" s="19">
        <f>SUM(F255:K255)</f>
        <v>7388.67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7388.67</v>
      </c>
      <c r="L262" s="41">
        <f t="shared" si="9"/>
        <v>7388.67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183692.97000000003</v>
      </c>
      <c r="G263" s="42">
        <f t="shared" si="11"/>
        <v>67986.080000000002</v>
      </c>
      <c r="H263" s="42">
        <f t="shared" si="11"/>
        <v>195292.27999999997</v>
      </c>
      <c r="I263" s="42">
        <f t="shared" si="11"/>
        <v>38169.47</v>
      </c>
      <c r="J263" s="42">
        <f t="shared" si="11"/>
        <v>300.44</v>
      </c>
      <c r="K263" s="42">
        <f t="shared" si="11"/>
        <v>9743.91</v>
      </c>
      <c r="L263" s="42">
        <f t="shared" si="11"/>
        <v>495185.14999999997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>
        <f>47.29</f>
        <v>47.29</v>
      </c>
      <c r="H268" s="18">
        <f>4050+121.5</f>
        <v>4171.5</v>
      </c>
      <c r="I268" s="18">
        <f>4.1+3117.33</f>
        <v>3121.43</v>
      </c>
      <c r="J268" s="18">
        <f>1438.55</f>
        <v>1438.55</v>
      </c>
      <c r="K268" s="18"/>
      <c r="L268" s="19">
        <f>SUM(F268:K268)</f>
        <v>8778.7699999999986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5475.71</f>
        <v>5475.71</v>
      </c>
      <c r="G269" s="18"/>
      <c r="H269" s="18"/>
      <c r="I269" s="18">
        <f>115.38+412.5</f>
        <v>527.88</v>
      </c>
      <c r="J269" s="18"/>
      <c r="K269" s="18"/>
      <c r="L269" s="19">
        <f>SUM(F269:K269)</f>
        <v>6003.59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446.18</f>
        <v>446.18</v>
      </c>
      <c r="I273" s="18"/>
      <c r="J273" s="18"/>
      <c r="K273" s="18"/>
      <c r="L273" s="19">
        <f t="shared" ref="L273:L279" si="12">SUM(F273:K273)</f>
        <v>446.18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1377.31+3244.56</f>
        <v>4621.87</v>
      </c>
      <c r="G274" s="18">
        <f>163.32+438.68</f>
        <v>602</v>
      </c>
      <c r="H274" s="18">
        <f>2294.31</f>
        <v>2294.31</v>
      </c>
      <c r="I274" s="18">
        <f>229.5+240</f>
        <v>469.5</v>
      </c>
      <c r="J274" s="18"/>
      <c r="K274" s="18">
        <f>349</f>
        <v>349</v>
      </c>
      <c r="L274" s="19">
        <f t="shared" si="12"/>
        <v>8336.68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937.83</v>
      </c>
      <c r="I279" s="18"/>
      <c r="J279" s="18"/>
      <c r="K279" s="18"/>
      <c r="L279" s="19">
        <f t="shared" si="12"/>
        <v>937.83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10097.58</v>
      </c>
      <c r="G282" s="42">
        <f t="shared" si="13"/>
        <v>649.29</v>
      </c>
      <c r="H282" s="42">
        <f t="shared" si="13"/>
        <v>7849.82</v>
      </c>
      <c r="I282" s="42">
        <f t="shared" si="13"/>
        <v>4118.8099999999995</v>
      </c>
      <c r="J282" s="42">
        <f t="shared" si="13"/>
        <v>1438.55</v>
      </c>
      <c r="K282" s="42">
        <f t="shared" si="13"/>
        <v>349</v>
      </c>
      <c r="L282" s="41">
        <f t="shared" si="13"/>
        <v>24503.050000000003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>
        <v>1065.32</v>
      </c>
      <c r="L315" s="19">
        <f t="shared" si="16"/>
        <v>1065.32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1065.32</v>
      </c>
      <c r="L320" s="41">
        <f t="shared" si="17"/>
        <v>1065.32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10097.58</v>
      </c>
      <c r="G330" s="41">
        <f t="shared" si="20"/>
        <v>649.29</v>
      </c>
      <c r="H330" s="41">
        <f t="shared" si="20"/>
        <v>7849.82</v>
      </c>
      <c r="I330" s="41">
        <f t="shared" si="20"/>
        <v>4118.8099999999995</v>
      </c>
      <c r="J330" s="41">
        <f t="shared" si="20"/>
        <v>1438.55</v>
      </c>
      <c r="K330" s="41">
        <f t="shared" si="20"/>
        <v>1414.32</v>
      </c>
      <c r="L330" s="41">
        <f t="shared" si="20"/>
        <v>25568.370000000003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10097.58</v>
      </c>
      <c r="G344" s="41">
        <f>G330</f>
        <v>649.29</v>
      </c>
      <c r="H344" s="41">
        <f>H330</f>
        <v>7849.82</v>
      </c>
      <c r="I344" s="41">
        <f>I330</f>
        <v>4118.8099999999995</v>
      </c>
      <c r="J344" s="41">
        <f>J330</f>
        <v>1438.55</v>
      </c>
      <c r="K344" s="47">
        <f>K330+K343</f>
        <v>1414.32</v>
      </c>
      <c r="L344" s="41">
        <f>L330+L343</f>
        <v>25568.370000000003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13395.85</v>
      </c>
      <c r="G350" s="18">
        <v>1395.5</v>
      </c>
      <c r="H350" s="18">
        <f>182.28</f>
        <v>182.28</v>
      </c>
      <c r="I350" s="18">
        <f>501.75+415.91+4469.75+2355.5</f>
        <v>7742.91</v>
      </c>
      <c r="J350" s="18"/>
      <c r="K350" s="18">
        <v>75</v>
      </c>
      <c r="L350" s="13">
        <f>SUM(F350:K350)</f>
        <v>22791.54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13395.85</v>
      </c>
      <c r="G354" s="47">
        <f t="shared" si="22"/>
        <v>1395.5</v>
      </c>
      <c r="H354" s="47">
        <f t="shared" si="22"/>
        <v>182.28</v>
      </c>
      <c r="I354" s="47">
        <f t="shared" si="22"/>
        <v>7742.91</v>
      </c>
      <c r="J354" s="47">
        <f t="shared" si="22"/>
        <v>0</v>
      </c>
      <c r="K354" s="47">
        <f t="shared" si="22"/>
        <v>75</v>
      </c>
      <c r="L354" s="47">
        <f t="shared" si="22"/>
        <v>22791.54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4469.75+2355.5</f>
        <v>6825.25</v>
      </c>
      <c r="G359" s="18"/>
      <c r="H359" s="18"/>
      <c r="I359" s="56">
        <f>SUM(F359:H359)</f>
        <v>6825.25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I354-F359</f>
        <v>917.65999999999985</v>
      </c>
      <c r="G360" s="63"/>
      <c r="H360" s="63"/>
      <c r="I360" s="56">
        <f>SUM(F360:H360)</f>
        <v>917.65999999999985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7742.91</v>
      </c>
      <c r="G361" s="47">
        <f>SUM(G359:G360)</f>
        <v>0</v>
      </c>
      <c r="H361" s="47">
        <f>SUM(H359:H360)</f>
        <v>0</v>
      </c>
      <c r="I361" s="47">
        <f>SUM(I359:I360)</f>
        <v>7742.91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f>59.28</f>
        <v>59.28</v>
      </c>
      <c r="I380" s="18"/>
      <c r="J380" s="24" t="s">
        <v>312</v>
      </c>
      <c r="K380" s="24" t="s">
        <v>312</v>
      </c>
      <c r="L380" s="56">
        <f t="shared" si="25"/>
        <v>59.28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>
        <v>21.23</v>
      </c>
      <c r="I383" s="18"/>
      <c r="J383" s="24" t="s">
        <v>312</v>
      </c>
      <c r="K383" s="24" t="s">
        <v>312</v>
      </c>
      <c r="L383" s="56">
        <f t="shared" si="25"/>
        <v>21.23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80.510000000000005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80.510000000000005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197.35</v>
      </c>
      <c r="I390" s="18"/>
      <c r="J390" s="24" t="s">
        <v>312</v>
      </c>
      <c r="K390" s="24" t="s">
        <v>312</v>
      </c>
      <c r="L390" s="56">
        <f t="shared" si="26"/>
        <v>197.35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26.28</v>
      </c>
      <c r="I391" s="18"/>
      <c r="J391" s="24" t="s">
        <v>312</v>
      </c>
      <c r="K391" s="24" t="s">
        <v>312</v>
      </c>
      <c r="L391" s="56">
        <f t="shared" si="26"/>
        <v>26.28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f>5.01+25.59</f>
        <v>30.6</v>
      </c>
      <c r="I392" s="18"/>
      <c r="J392" s="24" t="s">
        <v>312</v>
      </c>
      <c r="K392" s="24" t="s">
        <v>312</v>
      </c>
      <c r="L392" s="56">
        <f t="shared" si="26"/>
        <v>30.6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254.23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254.23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334.74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334.74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>
        <v>2548.2800000000002</v>
      </c>
      <c r="L406" s="56">
        <f t="shared" si="27"/>
        <v>2548.2800000000002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2548.2800000000002</v>
      </c>
      <c r="L411" s="47">
        <f t="shared" si="28"/>
        <v>2548.2800000000002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2548.2800000000002</v>
      </c>
      <c r="L426" s="47">
        <f t="shared" si="32"/>
        <v>2548.2800000000002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f>26094.49+10450.6</f>
        <v>36545.090000000004</v>
      </c>
      <c r="G434" s="18">
        <f>92500.89+14538.51+4031.39+20657.37</f>
        <v>131728.16</v>
      </c>
      <c r="H434" s="18"/>
      <c r="I434" s="56">
        <f t="shared" si="33"/>
        <v>168273.25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36545.090000000004</v>
      </c>
      <c r="G438" s="13">
        <f>SUM(G431:G437)</f>
        <v>131728.16</v>
      </c>
      <c r="H438" s="13">
        <f>SUM(H431:H437)</f>
        <v>0</v>
      </c>
      <c r="I438" s="13">
        <f>SUM(I431:I437)</f>
        <v>168273.25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>
        <v>20657.37</v>
      </c>
      <c r="H448" s="18"/>
      <c r="I448" s="56">
        <f>SUM(F448:H448)</f>
        <v>20657.37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F434</f>
        <v>36545.090000000004</v>
      </c>
      <c r="G449" s="18">
        <f>G438-G448</f>
        <v>111070.79000000001</v>
      </c>
      <c r="H449" s="18"/>
      <c r="I449" s="56">
        <f>SUM(F449:H449)</f>
        <v>147615.88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36545.090000000004</v>
      </c>
      <c r="G450" s="83">
        <f>SUM(G446:G449)</f>
        <v>131728.16</v>
      </c>
      <c r="H450" s="83">
        <f>SUM(H446:H449)</f>
        <v>0</v>
      </c>
      <c r="I450" s="83">
        <f>SUM(I446:I449)</f>
        <v>168273.25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36545.090000000004</v>
      </c>
      <c r="G451" s="42">
        <f>G444+G450</f>
        <v>131728.16</v>
      </c>
      <c r="H451" s="42">
        <f>H444+H450</f>
        <v>0</v>
      </c>
      <c r="I451" s="42">
        <f>I444+I450</f>
        <v>168273.25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39332.49</v>
      </c>
      <c r="G455" s="18">
        <v>0</v>
      </c>
      <c r="H455" s="18">
        <v>0</v>
      </c>
      <c r="I455" s="18"/>
      <c r="J455" s="18">
        <v>171652.87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455854.2</v>
      </c>
      <c r="G458" s="18">
        <v>22791.54</v>
      </c>
      <c r="H458" s="18">
        <v>25568.37</v>
      </c>
      <c r="I458" s="18"/>
      <c r="J458" s="18">
        <v>334.74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455854.2</v>
      </c>
      <c r="G460" s="53">
        <f>SUM(G458:G459)</f>
        <v>22791.54</v>
      </c>
      <c r="H460" s="53">
        <f>SUM(H458:H459)</f>
        <v>25568.37</v>
      </c>
      <c r="I460" s="53">
        <f>SUM(I458:I459)</f>
        <v>0</v>
      </c>
      <c r="J460" s="53">
        <f>SUM(J458:J459)</f>
        <v>334.74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495185.15</v>
      </c>
      <c r="G462" s="18">
        <v>22791.54</v>
      </c>
      <c r="H462" s="18">
        <v>25568.37</v>
      </c>
      <c r="I462" s="18"/>
      <c r="J462" s="18">
        <v>2548.2800000000002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>
        <v>1166.08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495185.15</v>
      </c>
      <c r="G464" s="53">
        <f>SUM(G462:G463)</f>
        <v>22791.54</v>
      </c>
      <c r="H464" s="53">
        <f>SUM(H462:H463)</f>
        <v>25568.37</v>
      </c>
      <c r="I464" s="53">
        <f>SUM(I462:I463)</f>
        <v>0</v>
      </c>
      <c r="J464" s="53">
        <f>SUM(J462:J463)</f>
        <v>3714.36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1.5399999999790452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168273.25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0</v>
      </c>
      <c r="G497" s="144">
        <v>2305.36</v>
      </c>
      <c r="H497" s="144"/>
      <c r="I497" s="144">
        <f>G497</f>
        <v>2305.36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>
        <v>22829</v>
      </c>
      <c r="G502" s="24" t="s">
        <v>312</v>
      </c>
      <c r="H502" s="18">
        <v>21229</v>
      </c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>
        <v>279123</v>
      </c>
      <c r="G503" s="24" t="s">
        <v>312</v>
      </c>
      <c r="H503" s="18">
        <v>270123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301952</v>
      </c>
      <c r="G507" s="42">
        <f>SUM(G501:G506)</f>
        <v>0</v>
      </c>
      <c r="H507" s="42">
        <f>SUM(H501:H506)</f>
        <v>291352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11018.24+630+5475.71</f>
        <v>17123.95</v>
      </c>
      <c r="G511" s="18">
        <f>1380.27+98.73</f>
        <v>1479</v>
      </c>
      <c r="H511" s="18">
        <f>1420.24+607.2+21.84</f>
        <v>2049.2800000000002</v>
      </c>
      <c r="I511" s="18">
        <f>137.5+115.38+412.5</f>
        <v>665.38</v>
      </c>
      <c r="J511" s="18"/>
      <c r="K511" s="18"/>
      <c r="L511" s="88">
        <f>SUM(F511:K511)</f>
        <v>21317.61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f>38754.79+19243.84</f>
        <v>57998.630000000005</v>
      </c>
      <c r="I513" s="18"/>
      <c r="J513" s="18"/>
      <c r="K513" s="18"/>
      <c r="L513" s="88">
        <f>SUM(F513:K513)</f>
        <v>57998.630000000005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17123.95</v>
      </c>
      <c r="G514" s="108">
        <f t="shared" ref="G514:L514" si="35">SUM(G511:G513)</f>
        <v>1479</v>
      </c>
      <c r="H514" s="108">
        <f t="shared" si="35"/>
        <v>60047.91</v>
      </c>
      <c r="I514" s="108">
        <f t="shared" si="35"/>
        <v>665.38</v>
      </c>
      <c r="J514" s="108">
        <f t="shared" si="35"/>
        <v>0</v>
      </c>
      <c r="K514" s="108">
        <f t="shared" si="35"/>
        <v>0</v>
      </c>
      <c r="L514" s="89">
        <f t="shared" si="35"/>
        <v>79316.240000000005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966+3904.47+3877+446.18+6811.68+3791.34+5200</f>
        <v>24996.67</v>
      </c>
      <c r="I516" s="18"/>
      <c r="J516" s="18"/>
      <c r="K516" s="18"/>
      <c r="L516" s="88">
        <f>SUM(F516:K516)</f>
        <v>24996.67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f>1656</f>
        <v>1656</v>
      </c>
      <c r="I518" s="18"/>
      <c r="J518" s="18"/>
      <c r="K518" s="18"/>
      <c r="L518" s="88">
        <f>SUM(F518:K518)</f>
        <v>1656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26652.67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26652.67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312.73</v>
      </c>
      <c r="G521" s="18">
        <v>23.92</v>
      </c>
      <c r="H521" s="18">
        <f>600+5706.87</f>
        <v>6306.87</v>
      </c>
      <c r="I521" s="18"/>
      <c r="J521" s="18"/>
      <c r="K521" s="18">
        <f>20.21</f>
        <v>20.21</v>
      </c>
      <c r="L521" s="88">
        <f>SUM(F521:K521)</f>
        <v>6663.73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3921.95</v>
      </c>
      <c r="I523" s="18"/>
      <c r="J523" s="18"/>
      <c r="K523" s="18"/>
      <c r="L523" s="88">
        <f>SUM(F523:K523)</f>
        <v>3921.95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312.73</v>
      </c>
      <c r="G524" s="89">
        <f t="shared" ref="G524:L524" si="37">SUM(G521:G523)</f>
        <v>23.92</v>
      </c>
      <c r="H524" s="89">
        <f t="shared" si="37"/>
        <v>10228.82</v>
      </c>
      <c r="I524" s="89">
        <f t="shared" si="37"/>
        <v>0</v>
      </c>
      <c r="J524" s="89">
        <f t="shared" si="37"/>
        <v>0</v>
      </c>
      <c r="K524" s="89">
        <f t="shared" si="37"/>
        <v>20.21</v>
      </c>
      <c r="L524" s="89">
        <f t="shared" si="37"/>
        <v>10585.68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99</v>
      </c>
      <c r="I531" s="18"/>
      <c r="J531" s="18"/>
      <c r="K531" s="18"/>
      <c r="L531" s="88">
        <f>SUM(F531:K531)</f>
        <v>99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99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99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17436.68</v>
      </c>
      <c r="G535" s="89">
        <f t="shared" ref="G535:L535" si="40">G514+G519+G524+G529+G534</f>
        <v>1502.92</v>
      </c>
      <c r="H535" s="89">
        <f t="shared" si="40"/>
        <v>97028.4</v>
      </c>
      <c r="I535" s="89">
        <f t="shared" si="40"/>
        <v>665.38</v>
      </c>
      <c r="J535" s="89">
        <f t="shared" si="40"/>
        <v>0</v>
      </c>
      <c r="K535" s="89">
        <f t="shared" si="40"/>
        <v>20.21</v>
      </c>
      <c r="L535" s="89">
        <f t="shared" si="40"/>
        <v>116653.59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21317.61</v>
      </c>
      <c r="G539" s="87">
        <f>L516</f>
        <v>24996.67</v>
      </c>
      <c r="H539" s="87">
        <f>L521</f>
        <v>6663.73</v>
      </c>
      <c r="I539" s="87">
        <f>L526</f>
        <v>0</v>
      </c>
      <c r="J539" s="87">
        <f>L531</f>
        <v>99</v>
      </c>
      <c r="K539" s="87">
        <f>SUM(F539:J539)</f>
        <v>53077.009999999995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57998.630000000005</v>
      </c>
      <c r="G541" s="87">
        <f>L518</f>
        <v>1656</v>
      </c>
      <c r="H541" s="87">
        <f>L523</f>
        <v>3921.95</v>
      </c>
      <c r="I541" s="87">
        <f>L528</f>
        <v>0</v>
      </c>
      <c r="J541" s="87">
        <f>L533</f>
        <v>0</v>
      </c>
      <c r="K541" s="87">
        <f>SUM(F541:J541)</f>
        <v>63576.58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79316.240000000005</v>
      </c>
      <c r="G542" s="89">
        <f t="shared" si="41"/>
        <v>26652.67</v>
      </c>
      <c r="H542" s="89">
        <f t="shared" si="41"/>
        <v>10585.68</v>
      </c>
      <c r="I542" s="89">
        <f t="shared" si="41"/>
        <v>0</v>
      </c>
      <c r="J542" s="89">
        <f t="shared" si="41"/>
        <v>99</v>
      </c>
      <c r="K542" s="89">
        <f t="shared" si="41"/>
        <v>116653.59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33211.519999999997</v>
      </c>
      <c r="I565" s="87">
        <f>SUM(F565:H565)</f>
        <v>33211.519999999997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1416.6+607.2</f>
        <v>2023.8</v>
      </c>
      <c r="G572" s="18"/>
      <c r="H572" s="18"/>
      <c r="I572" s="87">
        <f t="shared" si="46"/>
        <v>2023.8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f>38743.87+19243.84</f>
        <v>57987.710000000006</v>
      </c>
      <c r="I573" s="87">
        <f t="shared" si="46"/>
        <v>57987.710000000006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19045</f>
        <v>19045</v>
      </c>
      <c r="I581" s="18"/>
      <c r="J581" s="18"/>
      <c r="K581" s="104">
        <f t="shared" ref="K581:K587" si="47">SUM(H581:J581)</f>
        <v>19045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99</v>
      </c>
      <c r="I582" s="18"/>
      <c r="J582" s="18"/>
      <c r="K582" s="104">
        <f t="shared" si="47"/>
        <v>99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19144</v>
      </c>
      <c r="I588" s="108">
        <f>SUM(I581:I587)</f>
        <v>0</v>
      </c>
      <c r="J588" s="108">
        <f>SUM(J581:J587)</f>
        <v>0</v>
      </c>
      <c r="K588" s="108">
        <f>SUM(K581:K587)</f>
        <v>19144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1738.99</v>
      </c>
      <c r="I594" s="18"/>
      <c r="J594" s="18"/>
      <c r="K594" s="104">
        <f>SUM(H594:J594)</f>
        <v>1738.99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1738.99</v>
      </c>
      <c r="I595" s="108">
        <f>SUM(I592:I594)</f>
        <v>0</v>
      </c>
      <c r="J595" s="108">
        <f>SUM(J592:J594)</f>
        <v>0</v>
      </c>
      <c r="K595" s="108">
        <f>SUM(K592:K594)</f>
        <v>1738.99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37099.68</v>
      </c>
      <c r="H607" s="109">
        <f>SUM(F44)</f>
        <v>37099.68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6042.73</v>
      </c>
      <c r="H609" s="109">
        <f>SUM(H44)</f>
        <v>6042.7300000000005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168273.25</v>
      </c>
      <c r="H611" s="109">
        <f>SUM(J44)</f>
        <v>168273.25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1.54</v>
      </c>
      <c r="H612" s="109">
        <f>F466</f>
        <v>1.5399999999790452</v>
      </c>
      <c r="I612" s="121" t="s">
        <v>106</v>
      </c>
      <c r="J612" s="109">
        <f t="shared" ref="J612:J645" si="49">G612-H612</f>
        <v>2.0954793455985055E-11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168273.25</v>
      </c>
      <c r="H616" s="109">
        <f>J466</f>
        <v>168273.25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455854.2</v>
      </c>
      <c r="H617" s="104">
        <f>SUM(F458)</f>
        <v>455854.2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22791.54</v>
      </c>
      <c r="H618" s="104">
        <f>SUM(G458)</f>
        <v>22791.54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25568.37</v>
      </c>
      <c r="H619" s="104">
        <f>SUM(H458)</f>
        <v>25568.37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334.74</v>
      </c>
      <c r="H621" s="104">
        <f>SUM(J458)</f>
        <v>334.74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495185.14999999997</v>
      </c>
      <c r="H622" s="104">
        <f>SUM(F462)</f>
        <v>495185.15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25568.370000000003</v>
      </c>
      <c r="H623" s="104">
        <f>SUM(H462)</f>
        <v>25568.37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7742.91</v>
      </c>
      <c r="H624" s="104">
        <f>I361</f>
        <v>7742.91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22791.54</v>
      </c>
      <c r="H625" s="104">
        <f>SUM(G462)</f>
        <v>22791.54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334.74</v>
      </c>
      <c r="H627" s="164">
        <f>SUM(J458)</f>
        <v>334.74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2548.2800000000002</v>
      </c>
      <c r="H628" s="164">
        <f>SUM(J462)</f>
        <v>2548.2800000000002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36545.090000000004</v>
      </c>
      <c r="H629" s="104">
        <f>SUM(F451)</f>
        <v>36545.090000000004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131728.16</v>
      </c>
      <c r="H630" s="104">
        <f>SUM(G451)</f>
        <v>131728.16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168273.25</v>
      </c>
      <c r="H632" s="104">
        <f>SUM(I451)</f>
        <v>168273.25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334.74</v>
      </c>
      <c r="H634" s="104">
        <f>H400</f>
        <v>334.74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334.74</v>
      </c>
      <c r="H636" s="104">
        <f>L400</f>
        <v>334.74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19144</v>
      </c>
      <c r="H637" s="104">
        <f>L200+L218+L236</f>
        <v>19144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1738.99</v>
      </c>
      <c r="H638" s="104">
        <f>(J249+J330)-(J247+J328)</f>
        <v>1738.99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19144</v>
      </c>
      <c r="H639" s="104">
        <f>H588</f>
        <v>19144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7388.67</v>
      </c>
      <c r="H642" s="104">
        <f>K255+K337</f>
        <v>7388.67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433326.92803999997</v>
      </c>
      <c r="G650" s="19">
        <f>(L221+L301+L351)</f>
        <v>0</v>
      </c>
      <c r="H650" s="19">
        <f>(L239+L320+L352)</f>
        <v>102829.46196</v>
      </c>
      <c r="I650" s="19">
        <f>SUM(F650:H650)</f>
        <v>536156.39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8587.65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8587.65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20081.830000000002</v>
      </c>
      <c r="G652" s="19">
        <f>(L218+L298)-(J218+J298)</f>
        <v>0</v>
      </c>
      <c r="H652" s="19">
        <f>(L236+L317)-(J236+J317)</f>
        <v>0</v>
      </c>
      <c r="I652" s="19">
        <f>SUM(F652:H652)</f>
        <v>20081.830000000002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3762.79</v>
      </c>
      <c r="G653" s="200">
        <f>SUM(G565:G577)+SUM(I592:I594)+L602</f>
        <v>0</v>
      </c>
      <c r="H653" s="200">
        <f>SUM(H565:H577)+SUM(J592:J594)+L603</f>
        <v>91199.23000000001</v>
      </c>
      <c r="I653" s="19">
        <f>SUM(F653:H653)</f>
        <v>94962.02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400894.65803999995</v>
      </c>
      <c r="G654" s="19">
        <f>G650-SUM(G651:G653)</f>
        <v>0</v>
      </c>
      <c r="H654" s="19">
        <f>H650-SUM(H651:H653)</f>
        <v>11630.23195999999</v>
      </c>
      <c r="I654" s="19">
        <f>I650-SUM(I651:I653)</f>
        <v>412524.89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15.92</v>
      </c>
      <c r="G655" s="249"/>
      <c r="H655" s="249"/>
      <c r="I655" s="19">
        <f>SUM(F655:H655)</f>
        <v>15.92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25181.83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25912.37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-11630.23</v>
      </c>
      <c r="I659" s="19">
        <f>SUM(F659:H659)</f>
        <v>-11630.23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25181.83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25181.83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B404-4D54-4B8C-8192-82C923D68400}">
  <sheetPr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Errol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121525.11</v>
      </c>
      <c r="C9" s="230">
        <f>'DOE25'!G189+'DOE25'!G207+'DOE25'!G225+'DOE25'!G268+'DOE25'!G287+'DOE25'!G306</f>
        <v>50346.36</v>
      </c>
    </row>
    <row r="10" spans="1:3" x14ac:dyDescent="0.2">
      <c r="A10" t="s">
        <v>810</v>
      </c>
      <c r="B10" s="241">
        <v>117113.51</v>
      </c>
      <c r="C10" s="241">
        <v>49972.38</v>
      </c>
    </row>
    <row r="11" spans="1:3" x14ac:dyDescent="0.2">
      <c r="A11" t="s">
        <v>811</v>
      </c>
      <c r="B11" s="241">
        <v>3694.43</v>
      </c>
      <c r="C11" s="241">
        <v>311.48</v>
      </c>
    </row>
    <row r="12" spans="1:3" x14ac:dyDescent="0.2">
      <c r="A12" t="s">
        <v>812</v>
      </c>
      <c r="B12" s="241">
        <v>717.17</v>
      </c>
      <c r="C12" s="241">
        <v>62.5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121525.10999999999</v>
      </c>
      <c r="C13" s="232">
        <f>SUM(C10:C12)</f>
        <v>50346.36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16493.95</v>
      </c>
      <c r="C18" s="230">
        <f>'DOE25'!G190+'DOE25'!G208+'DOE25'!G226+'DOE25'!G269+'DOE25'!G288+'DOE25'!G307</f>
        <v>1380.27</v>
      </c>
    </row>
    <row r="19" spans="1:3" x14ac:dyDescent="0.2">
      <c r="A19" t="s">
        <v>810</v>
      </c>
      <c r="B19" s="241">
        <v>12692.98</v>
      </c>
      <c r="C19" s="241">
        <v>1060.6300000000001</v>
      </c>
    </row>
    <row r="20" spans="1:3" x14ac:dyDescent="0.2">
      <c r="A20" t="s">
        <v>811</v>
      </c>
      <c r="B20" s="241">
        <v>3663.21</v>
      </c>
      <c r="C20" s="241">
        <v>309.10000000000002</v>
      </c>
    </row>
    <row r="21" spans="1:3" x14ac:dyDescent="0.2">
      <c r="A21" t="s">
        <v>812</v>
      </c>
      <c r="B21" s="241">
        <v>137.76</v>
      </c>
      <c r="C21" s="241">
        <v>10.54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16493.949999999997</v>
      </c>
      <c r="C22" s="232">
        <f>SUM(C19:C21)</f>
        <v>1380.27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805</v>
      </c>
      <c r="C36" s="236">
        <f>'DOE25'!G192+'DOE25'!G210+'DOE25'!G228+'DOE25'!G271+'DOE25'!G290+'DOE25'!G309</f>
        <v>129.16</v>
      </c>
    </row>
    <row r="37" spans="1:3" x14ac:dyDescent="0.2">
      <c r="A37" t="s">
        <v>810</v>
      </c>
      <c r="B37" s="241">
        <v>805</v>
      </c>
      <c r="C37" s="241">
        <v>129.16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805</v>
      </c>
      <c r="C40" s="232">
        <f>SUM(C37:C39)</f>
        <v>129.16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F809-2398-4E0D-895F-E658CFF7B62E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Errol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290378.32999999996</v>
      </c>
      <c r="D5" s="20">
        <f>SUM('DOE25'!L189:L192)+SUM('DOE25'!L207:L210)+SUM('DOE25'!L225:L228)-F5-G5</f>
        <v>290077.88999999996</v>
      </c>
      <c r="E5" s="244"/>
      <c r="F5" s="256">
        <f>SUM('DOE25'!J189:J192)+SUM('DOE25'!J207:J210)+SUM('DOE25'!J225:J228)</f>
        <v>300.44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39157.03</v>
      </c>
      <c r="D6" s="20">
        <f>'DOE25'!L194+'DOE25'!L212+'DOE25'!L230-F6-G6</f>
        <v>39157.03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2345.7799999999997</v>
      </c>
      <c r="D7" s="20">
        <f>'DOE25'!L195+'DOE25'!L213+'DOE25'!L231-F7-G7</f>
        <v>2345.7799999999997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40081.310000000005</v>
      </c>
      <c r="D8" s="244"/>
      <c r="E8" s="20">
        <f>'DOE25'!L196+'DOE25'!L214+'DOE25'!L232-F8-G8-D9-D11</f>
        <v>38549.070000000007</v>
      </c>
      <c r="F8" s="256">
        <f>'DOE25'!J196+'DOE25'!J214+'DOE25'!J232</f>
        <v>0</v>
      </c>
      <c r="G8" s="53">
        <f>'DOE25'!K196+'DOE25'!K214+'DOE25'!K232</f>
        <v>1532.24</v>
      </c>
      <c r="H8" s="260"/>
    </row>
    <row r="9" spans="1:9" x14ac:dyDescent="0.2">
      <c r="A9" s="32">
        <v>2310</v>
      </c>
      <c r="B9" t="s">
        <v>849</v>
      </c>
      <c r="C9" s="246">
        <f t="shared" si="0"/>
        <v>7129.41</v>
      </c>
      <c r="D9" s="245">
        <v>7129.41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3250</v>
      </c>
      <c r="D10" s="244"/>
      <c r="E10" s="245">
        <v>3250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9827.69</v>
      </c>
      <c r="D11" s="245">
        <v>9827.69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48551.55</v>
      </c>
      <c r="D12" s="20">
        <f>'DOE25'!L197+'DOE25'!L215+'DOE25'!L233-F12-G12</f>
        <v>47728.55</v>
      </c>
      <c r="E12" s="244"/>
      <c r="F12" s="256">
        <f>'DOE25'!J197+'DOE25'!J215+'DOE25'!J233</f>
        <v>0</v>
      </c>
      <c r="G12" s="53">
        <f>'DOE25'!K197+'DOE25'!K215+'DOE25'!K233</f>
        <v>823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31181.38</v>
      </c>
      <c r="D14" s="20">
        <f>'DOE25'!L199+'DOE25'!L217+'DOE25'!L235-F14-G14</f>
        <v>31181.38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19144</v>
      </c>
      <c r="D15" s="20">
        <f>'DOE25'!L200+'DOE25'!L218+'DOE25'!L236-F15-G15</f>
        <v>19144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15966.29</v>
      </c>
      <c r="D29" s="20">
        <f>'DOE25'!L350+'DOE25'!L351+'DOE25'!L352-'DOE25'!I359-F29-G29</f>
        <v>15891.29</v>
      </c>
      <c r="E29" s="244"/>
      <c r="F29" s="256">
        <f>'DOE25'!J350+'DOE25'!J351+'DOE25'!J352</f>
        <v>0</v>
      </c>
      <c r="G29" s="53">
        <f>'DOE25'!K350+'DOE25'!K351+'DOE25'!K352</f>
        <v>75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25568.370000000003</v>
      </c>
      <c r="D31" s="20">
        <f>'DOE25'!L282+'DOE25'!L301+'DOE25'!L320+'DOE25'!L325+'DOE25'!L326+'DOE25'!L327-F31-G31</f>
        <v>22715.500000000004</v>
      </c>
      <c r="E31" s="244"/>
      <c r="F31" s="256">
        <f>'DOE25'!J282+'DOE25'!J301+'DOE25'!J320+'DOE25'!J325+'DOE25'!J326+'DOE25'!J327</f>
        <v>1438.55</v>
      </c>
      <c r="G31" s="53">
        <f>'DOE25'!K282+'DOE25'!K301+'DOE25'!K320+'DOE25'!K325+'DOE25'!K326+'DOE25'!K327</f>
        <v>1414.32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485198.5199999999</v>
      </c>
      <c r="E33" s="247">
        <f>SUM(E5:E31)</f>
        <v>41799.070000000007</v>
      </c>
      <c r="F33" s="247">
        <f>SUM(F5:F31)</f>
        <v>1738.99</v>
      </c>
      <c r="G33" s="247">
        <f>SUM(G5:G31)</f>
        <v>3844.5599999999995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41799.070000000007</v>
      </c>
      <c r="E35" s="250"/>
    </row>
    <row r="36" spans="2:8" ht="12" thickTop="1" x14ac:dyDescent="0.2">
      <c r="B36" t="s">
        <v>846</v>
      </c>
      <c r="D36" s="20">
        <f>D33</f>
        <v>485198.5199999999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33E4-9141-41A7-8C6D-9A1E0A17E5F8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Errol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9903.3700000000008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2593.7199999999998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4302.59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20300</v>
      </c>
      <c r="D13" s="95">
        <f>'DOE25'!G13</f>
        <v>0</v>
      </c>
      <c r="E13" s="95">
        <f>'DOE25'!H13</f>
        <v>6042.73</v>
      </c>
      <c r="F13" s="95">
        <f>'DOE25'!I13</f>
        <v>0</v>
      </c>
      <c r="G13" s="95">
        <f>'DOE25'!J13</f>
        <v>168273.25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37099.68</v>
      </c>
      <c r="D19" s="41">
        <f>SUM(D9:D18)</f>
        <v>0</v>
      </c>
      <c r="E19" s="41">
        <f>SUM(E9:E18)</f>
        <v>6042.73</v>
      </c>
      <c r="F19" s="41">
        <f>SUM(F9:F18)</f>
        <v>0</v>
      </c>
      <c r="G19" s="41">
        <f>SUM(G9:G18)</f>
        <v>168273.25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4302.59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8817.7199999999993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28280.42</v>
      </c>
      <c r="D30" s="95">
        <f>'DOE25'!G31</f>
        <v>0</v>
      </c>
      <c r="E30" s="95">
        <f>'DOE25'!H31</f>
        <v>1740.14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37098.14</v>
      </c>
      <c r="D32" s="41">
        <f>SUM(D22:D31)</f>
        <v>0</v>
      </c>
      <c r="E32" s="41">
        <f>SUM(E22:E31)</f>
        <v>6042.7300000000005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20657.37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147615.88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1.54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1.54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168273.25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37099.68</v>
      </c>
      <c r="D43" s="41">
        <f>D42+D32</f>
        <v>0</v>
      </c>
      <c r="E43" s="41">
        <f>E42+E32</f>
        <v>6042.7300000000005</v>
      </c>
      <c r="F43" s="41">
        <f>F42+F32</f>
        <v>0</v>
      </c>
      <c r="G43" s="41">
        <f>G42+G32</f>
        <v>168273.25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175354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77952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19.55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334.74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8587.65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293.47000000000003</v>
      </c>
      <c r="D53" s="95">
        <f>SUM('DOE25'!G90:G102)</f>
        <v>0</v>
      </c>
      <c r="E53" s="95">
        <f>SUM('DOE25'!H90:H102)</f>
        <v>233.6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78265.02</v>
      </c>
      <c r="D54" s="130">
        <f>SUM(D49:D53)</f>
        <v>8587.65</v>
      </c>
      <c r="E54" s="130">
        <f>SUM(E49:E53)</f>
        <v>233.6</v>
      </c>
      <c r="F54" s="130">
        <f>SUM(F49:F53)</f>
        <v>0</v>
      </c>
      <c r="G54" s="130">
        <f>SUM(G49:G53)</f>
        <v>334.74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253619.02000000002</v>
      </c>
      <c r="D55" s="22">
        <f>D48+D54</f>
        <v>8587.65</v>
      </c>
      <c r="E55" s="22">
        <f>E48+E54</f>
        <v>233.6</v>
      </c>
      <c r="F55" s="22">
        <f>F48+F54</f>
        <v>0</v>
      </c>
      <c r="G55" s="22">
        <f>G48+G54</f>
        <v>334.74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13921.09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173626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504.91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2355.5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188052</v>
      </c>
      <c r="D62" s="139">
        <f>D61</f>
        <v>2355.5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143.72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143.72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188052</v>
      </c>
      <c r="D73" s="130">
        <f>SUM(D71:D72)+D70+D62</f>
        <v>2499.2199999999998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11957.51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6432.08</v>
      </c>
      <c r="D80" s="95">
        <f>SUM('DOE25'!G145:G153)</f>
        <v>4316</v>
      </c>
      <c r="E80" s="95">
        <f>SUM('DOE25'!H145:H153)</f>
        <v>13377.26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4923.1000000000004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11355.18</v>
      </c>
      <c r="D83" s="131">
        <f>SUM(D77:D82)</f>
        <v>4316</v>
      </c>
      <c r="E83" s="131">
        <f>SUM(E77:E82)</f>
        <v>25334.77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7388.67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2828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2828</v>
      </c>
      <c r="D95" s="86">
        <f>SUM(D85:D94)</f>
        <v>7388.67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455854.2</v>
      </c>
      <c r="D96" s="86">
        <f>D55+D73+D83+D95</f>
        <v>22791.54</v>
      </c>
      <c r="E96" s="86">
        <f>E55+E73+E83+E95</f>
        <v>25568.37</v>
      </c>
      <c r="F96" s="86">
        <f>F55+F73+F83+F95</f>
        <v>0</v>
      </c>
      <c r="G96" s="86">
        <f>G55+G73+G95</f>
        <v>334.74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216860.25</v>
      </c>
      <c r="D101" s="24" t="s">
        <v>312</v>
      </c>
      <c r="E101" s="95">
        <f>('DOE25'!L268)+('DOE25'!L287)+('DOE25'!L306)</f>
        <v>8778.7699999999986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52732.880000000005</v>
      </c>
      <c r="D102" s="24" t="s">
        <v>312</v>
      </c>
      <c r="E102" s="95">
        <f>('DOE25'!L269)+('DOE25'!L288)+('DOE25'!L307)</f>
        <v>6003.59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20785.2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290378.33</v>
      </c>
      <c r="D107" s="86">
        <f>SUM(D101:D106)</f>
        <v>0</v>
      </c>
      <c r="E107" s="86">
        <f>SUM(E101:E106)</f>
        <v>14782.359999999999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39157.03</v>
      </c>
      <c r="D110" s="24" t="s">
        <v>312</v>
      </c>
      <c r="E110" s="95">
        <f>+('DOE25'!L273)+('DOE25'!L292)+('DOE25'!L311)</f>
        <v>446.18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2345.7799999999997</v>
      </c>
      <c r="D111" s="24" t="s">
        <v>312</v>
      </c>
      <c r="E111" s="95">
        <f>+('DOE25'!L274)+('DOE25'!L293)+('DOE25'!L312)</f>
        <v>8336.68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57038.41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48551.55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1065.32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31181.38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19144</v>
      </c>
      <c r="D116" s="24" t="s">
        <v>312</v>
      </c>
      <c r="E116" s="95">
        <f>+('DOE25'!L279)+('DOE25'!L298)+('DOE25'!L317)</f>
        <v>937.83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22791.54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197418.15000000002</v>
      </c>
      <c r="D120" s="86">
        <f>SUM(D110:D119)</f>
        <v>22791.54</v>
      </c>
      <c r="E120" s="86">
        <f>SUM(E110:E119)</f>
        <v>10786.01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2548.2800000000002</v>
      </c>
    </row>
    <row r="127" spans="1:7" x14ac:dyDescent="0.2">
      <c r="A127" t="s">
        <v>256</v>
      </c>
      <c r="B127" s="32" t="s">
        <v>257</v>
      </c>
      <c r="C127" s="95">
        <f>'DOE25'!L255</f>
        <v>7388.67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80.510000000000005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254.23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-334.74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7388.67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2548.2800000000002</v>
      </c>
    </row>
    <row r="137" spans="1:9" ht="12.75" thickTop="1" thickBot="1" x14ac:dyDescent="0.25">
      <c r="A137" s="33" t="s">
        <v>267</v>
      </c>
      <c r="C137" s="86">
        <f>(C107+C120+C136)</f>
        <v>495185.15</v>
      </c>
      <c r="D137" s="86">
        <f>(D107+D120+D136)</f>
        <v>22791.54</v>
      </c>
      <c r="E137" s="86">
        <f>(E107+E120+E136)</f>
        <v>25568.37</v>
      </c>
      <c r="F137" s="86">
        <f>(F107+F120+F136)</f>
        <v>0</v>
      </c>
      <c r="G137" s="86">
        <f>(G107+G120+G136)</f>
        <v>2548.2800000000002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E8E19-B2D7-4BF7-8D0D-206253D52C91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Errol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25182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25182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225639</v>
      </c>
      <c r="D10" s="182">
        <f>ROUND((C10/$C$28)*100,1)</f>
        <v>42.8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58736</v>
      </c>
      <c r="D11" s="182">
        <f>ROUND((C11/$C$28)*100,1)</f>
        <v>11.1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20785</v>
      </c>
      <c r="D13" s="182">
        <f>ROUND((C13/$C$28)*100,1)</f>
        <v>3.9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39603</v>
      </c>
      <c r="D15" s="182">
        <f t="shared" ref="D15:D27" si="0">ROUND((C15/$C$28)*100,1)</f>
        <v>7.5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10682</v>
      </c>
      <c r="D16" s="182">
        <f t="shared" si="0"/>
        <v>2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57038</v>
      </c>
      <c r="D17" s="182">
        <f t="shared" si="0"/>
        <v>10.8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48552</v>
      </c>
      <c r="D18" s="182">
        <f t="shared" si="0"/>
        <v>9.1999999999999993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1065</v>
      </c>
      <c r="D19" s="182">
        <f t="shared" si="0"/>
        <v>0.2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31181</v>
      </c>
      <c r="D20" s="182">
        <f t="shared" si="0"/>
        <v>5.9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20082</v>
      </c>
      <c r="D21" s="182">
        <f t="shared" si="0"/>
        <v>3.8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14204.35</v>
      </c>
      <c r="D27" s="182">
        <f t="shared" si="0"/>
        <v>2.7</v>
      </c>
    </row>
    <row r="28" spans="1:4" x14ac:dyDescent="0.2">
      <c r="B28" s="187" t="s">
        <v>754</v>
      </c>
      <c r="C28" s="180">
        <f>SUM(C10:C27)</f>
        <v>527567.35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527567.35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175354</v>
      </c>
      <c r="D35" s="182">
        <f t="shared" ref="D35:D40" si="1">ROUND((C35/$C$41)*100,1)</f>
        <v>36.1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78833.359999999957</v>
      </c>
      <c r="D36" s="182">
        <f t="shared" si="1"/>
        <v>16.2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188052</v>
      </c>
      <c r="D37" s="182">
        <f t="shared" si="1"/>
        <v>38.700000000000003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2499</v>
      </c>
      <c r="D38" s="182">
        <f t="shared" si="1"/>
        <v>0.5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41006</v>
      </c>
      <c r="D39" s="182">
        <f t="shared" si="1"/>
        <v>8.4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485744.36</v>
      </c>
      <c r="D41" s="184">
        <f>SUM(D35:D40)</f>
        <v>99.9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B72A-8411-44C7-89A6-95DE4A537DEC}">
  <sheetPr>
    <tabColor indexed="17"/>
  </sheetPr>
  <dimension ref="A1:IV90"/>
  <sheetViews>
    <sheetView workbookViewId="0">
      <pane ySplit="3" topLeftCell="A4" activePane="bottomLeft" state="frozen"/>
      <selection pane="bottomLeft" activeCell="C13" sqref="C13:M1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Errol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19</v>
      </c>
      <c r="B4" s="220">
        <v>6</v>
      </c>
      <c r="C4" s="280" t="s">
        <v>894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 t="s">
        <v>895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5</v>
      </c>
      <c r="B6" s="220">
        <v>14</v>
      </c>
      <c r="C6" s="280" t="s">
        <v>897</v>
      </c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2011-11-04T17:50:59Z</cp:lastPrinted>
  <dcterms:created xsi:type="dcterms:W3CDTF">1997-12-04T19:04:30Z</dcterms:created>
  <dcterms:modified xsi:type="dcterms:W3CDTF">2025-01-09T20:40:36Z</dcterms:modified>
</cp:coreProperties>
</file>