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D2E105AA-16F9-45FF-BC3F-32C7319E57D8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C5748302-4124-45CA-8FA8-E2889FF6A006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5" i="1" l="1"/>
  <c r="L235" i="1" s="1"/>
  <c r="F217" i="1"/>
  <c r="L217" i="1" s="1"/>
  <c r="F225" i="1"/>
  <c r="L225" i="1" s="1"/>
  <c r="F207" i="1"/>
  <c r="E10" i="13"/>
  <c r="H518" i="1"/>
  <c r="H517" i="1"/>
  <c r="F518" i="1"/>
  <c r="F517" i="1"/>
  <c r="J594" i="1"/>
  <c r="J595" i="1" s="1"/>
  <c r="H381" i="1"/>
  <c r="L381" i="1" s="1"/>
  <c r="G431" i="1"/>
  <c r="G438" i="1" s="1"/>
  <c r="G630" i="1" s="1"/>
  <c r="J630" i="1" s="1"/>
  <c r="F431" i="1"/>
  <c r="I431" i="1" s="1"/>
  <c r="F113" i="1"/>
  <c r="F132" i="1" s="1"/>
  <c r="F128" i="1"/>
  <c r="G128" i="1"/>
  <c r="G132" i="1" s="1"/>
  <c r="C37" i="10"/>
  <c r="C60" i="2"/>
  <c r="B2" i="13"/>
  <c r="F8" i="13"/>
  <c r="E8" i="13" s="1"/>
  <c r="G8" i="13"/>
  <c r="L196" i="1"/>
  <c r="C112" i="2" s="1"/>
  <c r="L214" i="1"/>
  <c r="L232" i="1"/>
  <c r="D39" i="13"/>
  <c r="F13" i="13"/>
  <c r="G13" i="13"/>
  <c r="L198" i="1"/>
  <c r="L216" i="1"/>
  <c r="L234" i="1"/>
  <c r="E13" i="13"/>
  <c r="C13" i="13" s="1"/>
  <c r="F16" i="13"/>
  <c r="G16" i="13"/>
  <c r="L201" i="1"/>
  <c r="E16" i="13" s="1"/>
  <c r="C16" i="13" s="1"/>
  <c r="L219" i="1"/>
  <c r="L237" i="1"/>
  <c r="F5" i="13"/>
  <c r="G5" i="13"/>
  <c r="L189" i="1"/>
  <c r="L190" i="1"/>
  <c r="C11" i="10" s="1"/>
  <c r="L191" i="1"/>
  <c r="C103" i="2" s="1"/>
  <c r="L192" i="1"/>
  <c r="C13" i="10" s="1"/>
  <c r="L207" i="1"/>
  <c r="C101" i="2" s="1"/>
  <c r="L208" i="1"/>
  <c r="L209" i="1"/>
  <c r="L210" i="1"/>
  <c r="L226" i="1"/>
  <c r="L227" i="1"/>
  <c r="L228" i="1"/>
  <c r="F6" i="13"/>
  <c r="G6" i="13"/>
  <c r="G33" i="13" s="1"/>
  <c r="L194" i="1"/>
  <c r="C15" i="10" s="1"/>
  <c r="L212" i="1"/>
  <c r="L230" i="1"/>
  <c r="F7" i="13"/>
  <c r="G7" i="13"/>
  <c r="L195" i="1"/>
  <c r="L213" i="1"/>
  <c r="L231" i="1"/>
  <c r="D7" i="13"/>
  <c r="C7" i="13" s="1"/>
  <c r="F12" i="13"/>
  <c r="D12" i="13" s="1"/>
  <c r="C12" i="13" s="1"/>
  <c r="G12" i="13"/>
  <c r="L197" i="1"/>
  <c r="C113" i="2" s="1"/>
  <c r="L215" i="1"/>
  <c r="L233" i="1"/>
  <c r="F14" i="13"/>
  <c r="G14" i="13"/>
  <c r="L199" i="1"/>
  <c r="F15" i="13"/>
  <c r="D15" i="13" s="1"/>
  <c r="C15" i="13" s="1"/>
  <c r="G15" i="13"/>
  <c r="L200" i="1"/>
  <c r="G639" i="1" s="1"/>
  <c r="L218" i="1"/>
  <c r="G640" i="1" s="1"/>
  <c r="J640" i="1" s="1"/>
  <c r="L236" i="1"/>
  <c r="F17" i="13"/>
  <c r="G17" i="13"/>
  <c r="L243" i="1"/>
  <c r="D17" i="13" s="1"/>
  <c r="C17" i="13" s="1"/>
  <c r="F18" i="13"/>
  <c r="G18" i="13"/>
  <c r="L244" i="1"/>
  <c r="C24" i="10" s="1"/>
  <c r="D18" i="13"/>
  <c r="C18" i="13" s="1"/>
  <c r="F19" i="13"/>
  <c r="G19" i="13"/>
  <c r="L245" i="1"/>
  <c r="D19" i="13"/>
  <c r="C19" i="13" s="1"/>
  <c r="F29" i="13"/>
  <c r="G29" i="13"/>
  <c r="L350" i="1"/>
  <c r="L351" i="1"/>
  <c r="L352" i="1"/>
  <c r="I359" i="1"/>
  <c r="I361" i="1" s="1"/>
  <c r="H624" i="1" s="1"/>
  <c r="D29" i="13"/>
  <c r="C29" i="13" s="1"/>
  <c r="J282" i="1"/>
  <c r="F31" i="13" s="1"/>
  <c r="J301" i="1"/>
  <c r="J320" i="1"/>
  <c r="K282" i="1"/>
  <c r="G31" i="13" s="1"/>
  <c r="K301" i="1"/>
  <c r="K320" i="1"/>
  <c r="L268" i="1"/>
  <c r="L269" i="1"/>
  <c r="L270" i="1"/>
  <c r="L282" i="1" s="1"/>
  <c r="L271" i="1"/>
  <c r="E104" i="2" s="1"/>
  <c r="L273" i="1"/>
  <c r="E110" i="2" s="1"/>
  <c r="L274" i="1"/>
  <c r="E111" i="2" s="1"/>
  <c r="L275" i="1"/>
  <c r="E112" i="2" s="1"/>
  <c r="L276" i="1"/>
  <c r="E113" i="2" s="1"/>
  <c r="L277" i="1"/>
  <c r="L278" i="1"/>
  <c r="L279" i="1"/>
  <c r="L280" i="1"/>
  <c r="L287" i="1"/>
  <c r="L288" i="1"/>
  <c r="L301" i="1" s="1"/>
  <c r="L289" i="1"/>
  <c r="E103" i="2" s="1"/>
  <c r="L290" i="1"/>
  <c r="L292" i="1"/>
  <c r="L293" i="1"/>
  <c r="L294" i="1"/>
  <c r="L295" i="1"/>
  <c r="L296" i="1"/>
  <c r="L297" i="1"/>
  <c r="L298" i="1"/>
  <c r="L299" i="1"/>
  <c r="L306" i="1"/>
  <c r="L307" i="1"/>
  <c r="E102" i="2" s="1"/>
  <c r="L308" i="1"/>
  <c r="L309" i="1"/>
  <c r="L311" i="1"/>
  <c r="L312" i="1"/>
  <c r="L313" i="1"/>
  <c r="L314" i="1"/>
  <c r="L315" i="1"/>
  <c r="L316" i="1"/>
  <c r="L317" i="1"/>
  <c r="L318" i="1"/>
  <c r="L325" i="1"/>
  <c r="E106" i="2" s="1"/>
  <c r="L326" i="1"/>
  <c r="L327" i="1"/>
  <c r="L252" i="1"/>
  <c r="L253" i="1"/>
  <c r="L333" i="1"/>
  <c r="L334" i="1"/>
  <c r="H25" i="13"/>
  <c r="C25" i="13" s="1"/>
  <c r="H33" i="13"/>
  <c r="L247" i="1"/>
  <c r="C122" i="2" s="1"/>
  <c r="L328" i="1"/>
  <c r="C11" i="13"/>
  <c r="C10" i="13"/>
  <c r="C9" i="13"/>
  <c r="L353" i="1"/>
  <c r="L354" i="1"/>
  <c r="C27" i="10" s="1"/>
  <c r="B4" i="12"/>
  <c r="B36" i="12"/>
  <c r="A40" i="12" s="1"/>
  <c r="C36" i="12"/>
  <c r="B40" i="12"/>
  <c r="C40" i="12"/>
  <c r="B27" i="12"/>
  <c r="C27" i="12"/>
  <c r="B31" i="12"/>
  <c r="C31" i="12"/>
  <c r="A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5" i="1" s="1"/>
  <c r="L380" i="1"/>
  <c r="L382" i="1"/>
  <c r="L383" i="1"/>
  <c r="L384" i="1"/>
  <c r="L387" i="1"/>
  <c r="L388" i="1"/>
  <c r="L389" i="1"/>
  <c r="L390" i="1"/>
  <c r="L391" i="1"/>
  <c r="L393" i="1" s="1"/>
  <c r="C131" i="2" s="1"/>
  <c r="L392" i="1"/>
  <c r="L395" i="1"/>
  <c r="L399" i="1" s="1"/>
  <c r="C132" i="2" s="1"/>
  <c r="L396" i="1"/>
  <c r="L397" i="1"/>
  <c r="L398" i="1"/>
  <c r="L258" i="1"/>
  <c r="J52" i="1"/>
  <c r="J104" i="1" s="1"/>
  <c r="J185" i="1" s="1"/>
  <c r="G48" i="2"/>
  <c r="G51" i="2"/>
  <c r="G54" i="2" s="1"/>
  <c r="G53" i="2"/>
  <c r="F2" i="11"/>
  <c r="L603" i="1"/>
  <c r="H653" i="1" s="1"/>
  <c r="L602" i="1"/>
  <c r="G653" i="1" s="1"/>
  <c r="L601" i="1"/>
  <c r="L604" i="1" s="1"/>
  <c r="F653" i="1"/>
  <c r="I653" i="1" s="1"/>
  <c r="C40" i="10"/>
  <c r="F52" i="1"/>
  <c r="C35" i="10" s="1"/>
  <c r="G52" i="1"/>
  <c r="H52" i="1"/>
  <c r="I52" i="1"/>
  <c r="I104" i="1" s="1"/>
  <c r="F71" i="1"/>
  <c r="F86" i="1"/>
  <c r="F103" i="1"/>
  <c r="G103" i="1"/>
  <c r="G104" i="1"/>
  <c r="H71" i="1"/>
  <c r="H104" i="1" s="1"/>
  <c r="H185" i="1" s="1"/>
  <c r="G619" i="1" s="1"/>
  <c r="J619" i="1" s="1"/>
  <c r="H86" i="1"/>
  <c r="E50" i="2" s="1"/>
  <c r="H103" i="1"/>
  <c r="I103" i="1"/>
  <c r="J103" i="1"/>
  <c r="G113" i="1"/>
  <c r="H113" i="1"/>
  <c r="H128" i="1"/>
  <c r="H132" i="1"/>
  <c r="I113" i="1"/>
  <c r="I132" i="1" s="1"/>
  <c r="I128" i="1"/>
  <c r="J113" i="1"/>
  <c r="J132" i="1" s="1"/>
  <c r="J128" i="1"/>
  <c r="F139" i="1"/>
  <c r="F161" i="1" s="1"/>
  <c r="F154" i="1"/>
  <c r="G139" i="1"/>
  <c r="D77" i="2" s="1"/>
  <c r="D83" i="2" s="1"/>
  <c r="G154" i="1"/>
  <c r="G161" i="1"/>
  <c r="H139" i="1"/>
  <c r="H161" i="1" s="1"/>
  <c r="H154" i="1"/>
  <c r="I139" i="1"/>
  <c r="I161" i="1" s="1"/>
  <c r="I154" i="1"/>
  <c r="C18" i="10"/>
  <c r="C19" i="10"/>
  <c r="C21" i="10"/>
  <c r="L242" i="1"/>
  <c r="C23" i="10" s="1"/>
  <c r="L324" i="1"/>
  <c r="E105" i="2" s="1"/>
  <c r="L246" i="1"/>
  <c r="C25" i="10"/>
  <c r="L260" i="1"/>
  <c r="L261" i="1"/>
  <c r="L341" i="1"/>
  <c r="C26" i="10" s="1"/>
  <c r="L342" i="1"/>
  <c r="E135" i="2" s="1"/>
  <c r="I655" i="1"/>
  <c r="I660" i="1"/>
  <c r="F651" i="1"/>
  <c r="I651" i="1" s="1"/>
  <c r="G651" i="1"/>
  <c r="H651" i="1"/>
  <c r="H652" i="1"/>
  <c r="I659" i="1"/>
  <c r="C4" i="10"/>
  <c r="C42" i="10"/>
  <c r="C32" i="10"/>
  <c r="L366" i="1"/>
  <c r="L367" i="1"/>
  <c r="L368" i="1"/>
  <c r="L369" i="1"/>
  <c r="L370" i="1"/>
  <c r="F122" i="2" s="1"/>
  <c r="F136" i="2" s="1"/>
  <c r="L371" i="1"/>
  <c r="L372" i="1"/>
  <c r="B2" i="10"/>
  <c r="L336" i="1"/>
  <c r="L343" i="1" s="1"/>
  <c r="L337" i="1"/>
  <c r="L338" i="1"/>
  <c r="L339" i="1"/>
  <c r="K343" i="1"/>
  <c r="L511" i="1"/>
  <c r="F539" i="1"/>
  <c r="L512" i="1"/>
  <c r="F540" i="1" s="1"/>
  <c r="L513" i="1"/>
  <c r="F541" i="1" s="1"/>
  <c r="L516" i="1"/>
  <c r="G539" i="1"/>
  <c r="L517" i="1"/>
  <c r="G540" i="1" s="1"/>
  <c r="L518" i="1"/>
  <c r="G541" i="1" s="1"/>
  <c r="L521" i="1"/>
  <c r="H539" i="1" s="1"/>
  <c r="H542" i="1" s="1"/>
  <c r="L522" i="1"/>
  <c r="H540" i="1" s="1"/>
  <c r="L523" i="1"/>
  <c r="H541" i="1"/>
  <c r="L526" i="1"/>
  <c r="I539" i="1" s="1"/>
  <c r="I542" i="1" s="1"/>
  <c r="L527" i="1"/>
  <c r="I540" i="1" s="1"/>
  <c r="L528" i="1"/>
  <c r="I541" i="1" s="1"/>
  <c r="L531" i="1"/>
  <c r="J539" i="1" s="1"/>
  <c r="J542" i="1" s="1"/>
  <c r="L532" i="1"/>
  <c r="J540" i="1"/>
  <c r="L533" i="1"/>
  <c r="L534" i="1" s="1"/>
  <c r="J541" i="1"/>
  <c r="E124" i="2"/>
  <c r="E123" i="2"/>
  <c r="K262" i="1"/>
  <c r="J262" i="1"/>
  <c r="I262" i="1"/>
  <c r="H262" i="1"/>
  <c r="G262" i="1"/>
  <c r="L262" i="1" s="1"/>
  <c r="F262" i="1"/>
  <c r="C124" i="2"/>
  <c r="C123" i="2"/>
  <c r="A1" i="2"/>
  <c r="A2" i="2"/>
  <c r="C9" i="2"/>
  <c r="D9" i="2"/>
  <c r="E9" i="2"/>
  <c r="F9" i="2"/>
  <c r="C10" i="2"/>
  <c r="D10" i="2"/>
  <c r="E10" i="2"/>
  <c r="F10" i="2"/>
  <c r="I432" i="1"/>
  <c r="J10" i="1" s="1"/>
  <c r="G10" i="2" s="1"/>
  <c r="C11" i="2"/>
  <c r="C12" i="2"/>
  <c r="D12" i="2"/>
  <c r="E12" i="2"/>
  <c r="E19" i="2" s="1"/>
  <c r="F12" i="2"/>
  <c r="F19" i="2" s="1"/>
  <c r="I433" i="1"/>
  <c r="J12" i="1" s="1"/>
  <c r="G12" i="2" s="1"/>
  <c r="C13" i="2"/>
  <c r="D13" i="2"/>
  <c r="E13" i="2"/>
  <c r="F13" i="2"/>
  <c r="I434" i="1"/>
  <c r="J13" i="1"/>
  <c r="G13" i="2"/>
  <c r="C14" i="2"/>
  <c r="C19" i="2" s="1"/>
  <c r="D14" i="2"/>
  <c r="D19" i="2" s="1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/>
  <c r="G18" i="2"/>
  <c r="C22" i="2"/>
  <c r="D22" i="2"/>
  <c r="E22" i="2"/>
  <c r="F22" i="2"/>
  <c r="I440" i="1"/>
  <c r="I444" i="1" s="1"/>
  <c r="I451" i="1" s="1"/>
  <c r="H632" i="1" s="1"/>
  <c r="J23" i="1"/>
  <c r="G22" i="2"/>
  <c r="C23" i="2"/>
  <c r="C32" i="2" s="1"/>
  <c r="D23" i="2"/>
  <c r="D32" i="2" s="1"/>
  <c r="E23" i="2"/>
  <c r="E32" i="2" s="1"/>
  <c r="F23" i="2"/>
  <c r="F32" i="2" s="1"/>
  <c r="I441" i="1"/>
  <c r="J24" i="1" s="1"/>
  <c r="C24" i="2"/>
  <c r="D24" i="2"/>
  <c r="E24" i="2"/>
  <c r="F24" i="2"/>
  <c r="I442" i="1"/>
  <c r="J25" i="1" s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C42" i="2" s="1"/>
  <c r="C43" i="2" s="1"/>
  <c r="D34" i="2"/>
  <c r="D42" i="2" s="1"/>
  <c r="D43" i="2" s="1"/>
  <c r="E34" i="2"/>
  <c r="E42" i="2" s="1"/>
  <c r="E43" i="2" s="1"/>
  <c r="F34" i="2"/>
  <c r="F42" i="2" s="1"/>
  <c r="F43" i="2" s="1"/>
  <c r="C35" i="2"/>
  <c r="D35" i="2"/>
  <c r="E35" i="2"/>
  <c r="F35" i="2"/>
  <c r="C36" i="2"/>
  <c r="D36" i="2"/>
  <c r="E36" i="2"/>
  <c r="F36" i="2"/>
  <c r="I446" i="1"/>
  <c r="J37" i="1"/>
  <c r="G36" i="2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/>
  <c r="G40" i="2"/>
  <c r="C41" i="2"/>
  <c r="D41" i="2"/>
  <c r="E41" i="2"/>
  <c r="F41" i="2"/>
  <c r="C48" i="2"/>
  <c r="D48" i="2"/>
  <c r="E48" i="2"/>
  <c r="F48" i="2"/>
  <c r="C49" i="2"/>
  <c r="C54" i="2" s="1"/>
  <c r="C50" i="2"/>
  <c r="C51" i="2"/>
  <c r="D51" i="2"/>
  <c r="D54" i="2" s="1"/>
  <c r="D55" i="2" s="1"/>
  <c r="E51" i="2"/>
  <c r="F51" i="2"/>
  <c r="F54" i="2" s="1"/>
  <c r="D52" i="2"/>
  <c r="C53" i="2"/>
  <c r="D53" i="2"/>
  <c r="E53" i="2"/>
  <c r="F53" i="2"/>
  <c r="C58" i="2"/>
  <c r="C62" i="2" s="1"/>
  <c r="C59" i="2"/>
  <c r="C61" i="2"/>
  <c r="D61" i="2"/>
  <c r="E61" i="2"/>
  <c r="F61" i="2"/>
  <c r="G61" i="2"/>
  <c r="D62" i="2"/>
  <c r="E62" i="2"/>
  <c r="F62" i="2"/>
  <c r="G62" i="2"/>
  <c r="C64" i="2"/>
  <c r="F64" i="2"/>
  <c r="F70" i="2" s="1"/>
  <c r="F73" i="2" s="1"/>
  <c r="C65" i="2"/>
  <c r="F65" i="2"/>
  <c r="C66" i="2"/>
  <c r="C67" i="2"/>
  <c r="C68" i="2"/>
  <c r="E68" i="2"/>
  <c r="F68" i="2"/>
  <c r="C69" i="2"/>
  <c r="C70" i="2" s="1"/>
  <c r="C73" i="2" s="1"/>
  <c r="D69" i="2"/>
  <c r="D70" i="2" s="1"/>
  <c r="D73" i="2" s="1"/>
  <c r="E69" i="2"/>
  <c r="E70" i="2" s="1"/>
  <c r="E73" i="2" s="1"/>
  <c r="F69" i="2"/>
  <c r="G69" i="2"/>
  <c r="G70" i="2" s="1"/>
  <c r="G73" i="2" s="1"/>
  <c r="C71" i="2"/>
  <c r="D71" i="2"/>
  <c r="E71" i="2"/>
  <c r="C72" i="2"/>
  <c r="E72" i="2"/>
  <c r="C77" i="2"/>
  <c r="C79" i="2"/>
  <c r="E79" i="2"/>
  <c r="F79" i="2"/>
  <c r="C80" i="2"/>
  <c r="D80" i="2"/>
  <c r="E80" i="2"/>
  <c r="F80" i="2"/>
  <c r="C81" i="2"/>
  <c r="D81" i="2"/>
  <c r="E81" i="2"/>
  <c r="F81" i="2"/>
  <c r="C82" i="2"/>
  <c r="C83" i="2"/>
  <c r="C85" i="2"/>
  <c r="F85" i="2"/>
  <c r="F95" i="2" s="1"/>
  <c r="C86" i="2"/>
  <c r="F86" i="2"/>
  <c r="D88" i="2"/>
  <c r="E88" i="2"/>
  <c r="F88" i="2"/>
  <c r="G88" i="2"/>
  <c r="C89" i="2"/>
  <c r="D89" i="2"/>
  <c r="D95" i="2" s="1"/>
  <c r="E89" i="2"/>
  <c r="E95" i="2" s="1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G95" i="2"/>
  <c r="E101" i="2"/>
  <c r="C102" i="2"/>
  <c r="C104" i="2"/>
  <c r="D107" i="2"/>
  <c r="F107" i="2"/>
  <c r="G107" i="2"/>
  <c r="C110" i="2"/>
  <c r="C111" i="2"/>
  <c r="C114" i="2"/>
  <c r="E114" i="2"/>
  <c r="E115" i="2"/>
  <c r="C116" i="2"/>
  <c r="E116" i="2"/>
  <c r="E117" i="2"/>
  <c r="D119" i="2"/>
  <c r="D120" i="2"/>
  <c r="F120" i="2"/>
  <c r="G120" i="2"/>
  <c r="E122" i="2"/>
  <c r="D126" i="2"/>
  <c r="D136" i="2" s="1"/>
  <c r="E126" i="2"/>
  <c r="F126" i="2"/>
  <c r="K411" i="1"/>
  <c r="K419" i="1"/>
  <c r="K425" i="1"/>
  <c r="K426" i="1"/>
  <c r="G126" i="2"/>
  <c r="G136" i="2" s="1"/>
  <c r="L255" i="1"/>
  <c r="C127" i="2" s="1"/>
  <c r="E127" i="2"/>
  <c r="L256" i="1"/>
  <c r="C128" i="2"/>
  <c r="L257" i="1"/>
  <c r="C129" i="2" s="1"/>
  <c r="E129" i="2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B151" i="2"/>
  <c r="C151" i="2"/>
  <c r="D151" i="2"/>
  <c r="E151" i="2"/>
  <c r="F151" i="2"/>
  <c r="G151" i="2"/>
  <c r="B152" i="2"/>
  <c r="G152" i="2" s="1"/>
  <c r="C152" i="2"/>
  <c r="D152" i="2"/>
  <c r="E152" i="2"/>
  <c r="F152" i="2"/>
  <c r="F490" i="1"/>
  <c r="B153" i="2" s="1"/>
  <c r="G490" i="1"/>
  <c r="C153" i="2"/>
  <c r="H490" i="1"/>
  <c r="D153" i="2"/>
  <c r="I490" i="1"/>
  <c r="K490" i="1" s="1"/>
  <c r="E153" i="2"/>
  <c r="J490" i="1"/>
  <c r="F153" i="2" s="1"/>
  <c r="B154" i="2"/>
  <c r="G154" i="2" s="1"/>
  <c r="C154" i="2"/>
  <c r="D154" i="2"/>
  <c r="E154" i="2"/>
  <c r="F154" i="2"/>
  <c r="B155" i="2"/>
  <c r="C155" i="2"/>
  <c r="G155" i="2" s="1"/>
  <c r="D155" i="2"/>
  <c r="E155" i="2"/>
  <c r="F155" i="2"/>
  <c r="F493" i="1"/>
  <c r="B156" i="2" s="1"/>
  <c r="G493" i="1"/>
  <c r="C156" i="2" s="1"/>
  <c r="H493" i="1"/>
  <c r="D156" i="2" s="1"/>
  <c r="I493" i="1"/>
  <c r="E156" i="2"/>
  <c r="J493" i="1"/>
  <c r="F156" i="2" s="1"/>
  <c r="F19" i="1"/>
  <c r="G607" i="1" s="1"/>
  <c r="G19" i="1"/>
  <c r="G608" i="1" s="1"/>
  <c r="H19" i="1"/>
  <c r="I19" i="1"/>
  <c r="F33" i="1"/>
  <c r="G33" i="1"/>
  <c r="H33" i="1"/>
  <c r="I33" i="1"/>
  <c r="F43" i="1"/>
  <c r="F44" i="1" s="1"/>
  <c r="H607" i="1" s="1"/>
  <c r="G43" i="1"/>
  <c r="G44" i="1" s="1"/>
  <c r="H608" i="1" s="1"/>
  <c r="H43" i="1"/>
  <c r="H44" i="1" s="1"/>
  <c r="H609" i="1" s="1"/>
  <c r="I43" i="1"/>
  <c r="G615" i="1" s="1"/>
  <c r="J615" i="1" s="1"/>
  <c r="F169" i="1"/>
  <c r="F184" i="1" s="1"/>
  <c r="I169" i="1"/>
  <c r="I184" i="1" s="1"/>
  <c r="F175" i="1"/>
  <c r="G175" i="1"/>
  <c r="H175" i="1"/>
  <c r="I175" i="1"/>
  <c r="J175" i="1"/>
  <c r="F180" i="1"/>
  <c r="G180" i="1"/>
  <c r="H180" i="1"/>
  <c r="I180" i="1"/>
  <c r="G184" i="1"/>
  <c r="H184" i="1"/>
  <c r="J184" i="1"/>
  <c r="F203" i="1"/>
  <c r="G203" i="1"/>
  <c r="H203" i="1"/>
  <c r="I203" i="1"/>
  <c r="J203" i="1"/>
  <c r="J249" i="1" s="1"/>
  <c r="K203" i="1"/>
  <c r="F221" i="1"/>
  <c r="G221" i="1"/>
  <c r="G249" i="1" s="1"/>
  <c r="G263" i="1" s="1"/>
  <c r="H221" i="1"/>
  <c r="I221" i="1"/>
  <c r="J221" i="1"/>
  <c r="K221" i="1"/>
  <c r="G239" i="1"/>
  <c r="H239" i="1"/>
  <c r="I239" i="1"/>
  <c r="J239" i="1"/>
  <c r="K239" i="1"/>
  <c r="K249" i="1" s="1"/>
  <c r="K263" i="1" s="1"/>
  <c r="F248" i="1"/>
  <c r="L248" i="1" s="1"/>
  <c r="G248" i="1"/>
  <c r="H248" i="1"/>
  <c r="I248" i="1"/>
  <c r="J248" i="1"/>
  <c r="K248" i="1"/>
  <c r="H249" i="1"/>
  <c r="H263" i="1" s="1"/>
  <c r="I249" i="1"/>
  <c r="I263" i="1" s="1"/>
  <c r="F282" i="1"/>
  <c r="F330" i="1" s="1"/>
  <c r="F344" i="1" s="1"/>
  <c r="G282" i="1"/>
  <c r="G330" i="1" s="1"/>
  <c r="G344" i="1" s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K330" i="1"/>
  <c r="K344" i="1" s="1"/>
  <c r="F354" i="1"/>
  <c r="G354" i="1"/>
  <c r="H354" i="1"/>
  <c r="I354" i="1"/>
  <c r="G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I385" i="1"/>
  <c r="F393" i="1"/>
  <c r="G393" i="1"/>
  <c r="H393" i="1"/>
  <c r="I393" i="1"/>
  <c r="I400" i="1" s="1"/>
  <c r="F399" i="1"/>
  <c r="F400" i="1" s="1"/>
  <c r="H633" i="1" s="1"/>
  <c r="G399" i="1"/>
  <c r="G400" i="1" s="1"/>
  <c r="H635" i="1" s="1"/>
  <c r="H399" i="1"/>
  <c r="I399" i="1"/>
  <c r="L405" i="1"/>
  <c r="L406" i="1"/>
  <c r="L411" i="1" s="1"/>
  <c r="L426" i="1" s="1"/>
  <c r="G628" i="1" s="1"/>
  <c r="J628" i="1" s="1"/>
  <c r="L407" i="1"/>
  <c r="L408" i="1"/>
  <c r="L409" i="1"/>
  <c r="L410" i="1"/>
  <c r="F411" i="1"/>
  <c r="F426" i="1" s="1"/>
  <c r="G411" i="1"/>
  <c r="G426" i="1" s="1"/>
  <c r="H411" i="1"/>
  <c r="H426" i="1" s="1"/>
  <c r="I411" i="1"/>
  <c r="J411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5" i="1" s="1"/>
  <c r="L423" i="1"/>
  <c r="L424" i="1"/>
  <c r="F425" i="1"/>
  <c r="G425" i="1"/>
  <c r="H425" i="1"/>
  <c r="I425" i="1"/>
  <c r="I426" i="1" s="1"/>
  <c r="J425" i="1"/>
  <c r="J426" i="1"/>
  <c r="F438" i="1"/>
  <c r="H438" i="1"/>
  <c r="G631" i="1" s="1"/>
  <c r="J631" i="1" s="1"/>
  <c r="F444" i="1"/>
  <c r="G444" i="1"/>
  <c r="H444" i="1"/>
  <c r="F450" i="1"/>
  <c r="G450" i="1"/>
  <c r="H450" i="1"/>
  <c r="H451" i="1" s="1"/>
  <c r="H631" i="1" s="1"/>
  <c r="I450" i="1"/>
  <c r="F451" i="1"/>
  <c r="G451" i="1"/>
  <c r="F460" i="1"/>
  <c r="G460" i="1"/>
  <c r="H460" i="1"/>
  <c r="I460" i="1"/>
  <c r="J460" i="1"/>
  <c r="J466" i="1" s="1"/>
  <c r="H616" i="1" s="1"/>
  <c r="F464" i="1"/>
  <c r="G464" i="1"/>
  <c r="G466" i="1" s="1"/>
  <c r="H613" i="1" s="1"/>
  <c r="H464" i="1"/>
  <c r="H466" i="1" s="1"/>
  <c r="H614" i="1" s="1"/>
  <c r="I464" i="1"/>
  <c r="I466" i="1" s="1"/>
  <c r="H615" i="1" s="1"/>
  <c r="J464" i="1"/>
  <c r="F466" i="1"/>
  <c r="H612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G535" i="1" s="1"/>
  <c r="H514" i="1"/>
  <c r="H535" i="1" s="1"/>
  <c r="I514" i="1"/>
  <c r="I535" i="1" s="1"/>
  <c r="J514" i="1"/>
  <c r="K514" i="1"/>
  <c r="L514" i="1"/>
  <c r="F519" i="1"/>
  <c r="F535" i="1" s="1"/>
  <c r="G519" i="1"/>
  <c r="H519" i="1"/>
  <c r="I519" i="1"/>
  <c r="J519" i="1"/>
  <c r="K519" i="1"/>
  <c r="F524" i="1"/>
  <c r="G524" i="1"/>
  <c r="H524" i="1"/>
  <c r="I524" i="1"/>
  <c r="J524" i="1"/>
  <c r="K524" i="1"/>
  <c r="K535" i="1" s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J535" i="1"/>
  <c r="L547" i="1"/>
  <c r="L548" i="1"/>
  <c r="L549" i="1"/>
  <c r="F550" i="1"/>
  <c r="F561" i="1" s="1"/>
  <c r="G550" i="1"/>
  <c r="H550" i="1"/>
  <c r="I550" i="1"/>
  <c r="J550" i="1"/>
  <c r="K550" i="1"/>
  <c r="K561" i="1" s="1"/>
  <c r="L550" i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G561" i="1" s="1"/>
  <c r="H560" i="1"/>
  <c r="I560" i="1"/>
  <c r="J560" i="1"/>
  <c r="K560" i="1"/>
  <c r="H561" i="1"/>
  <c r="I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K588" i="1" s="1"/>
  <c r="G637" i="1" s="1"/>
  <c r="J637" i="1" s="1"/>
  <c r="H588" i="1"/>
  <c r="H639" i="1" s="1"/>
  <c r="I588" i="1"/>
  <c r="H640" i="1" s="1"/>
  <c r="J588" i="1"/>
  <c r="K592" i="1"/>
  <c r="K595" i="1" s="1"/>
  <c r="G638" i="1" s="1"/>
  <c r="K593" i="1"/>
  <c r="K594" i="1"/>
  <c r="H595" i="1"/>
  <c r="I595" i="1"/>
  <c r="F604" i="1"/>
  <c r="G604" i="1"/>
  <c r="H604" i="1"/>
  <c r="I604" i="1"/>
  <c r="J604" i="1"/>
  <c r="K604" i="1"/>
  <c r="G609" i="1"/>
  <c r="J609" i="1" s="1"/>
  <c r="G610" i="1"/>
  <c r="G613" i="1"/>
  <c r="G614" i="1"/>
  <c r="H617" i="1"/>
  <c r="H618" i="1"/>
  <c r="H619" i="1"/>
  <c r="H620" i="1"/>
  <c r="H621" i="1"/>
  <c r="H622" i="1"/>
  <c r="H623" i="1"/>
  <c r="G625" i="1"/>
  <c r="J625" i="1" s="1"/>
  <c r="H625" i="1"/>
  <c r="H626" i="1"/>
  <c r="H627" i="1"/>
  <c r="H628" i="1"/>
  <c r="G629" i="1"/>
  <c r="J629" i="1" s="1"/>
  <c r="H629" i="1"/>
  <c r="H630" i="1"/>
  <c r="G633" i="1"/>
  <c r="G634" i="1"/>
  <c r="G635" i="1"/>
  <c r="J635" i="1" s="1"/>
  <c r="H637" i="1"/>
  <c r="G641" i="1"/>
  <c r="J641" i="1" s="1"/>
  <c r="H641" i="1"/>
  <c r="G642" i="1"/>
  <c r="J642" i="1" s="1"/>
  <c r="H642" i="1"/>
  <c r="G643" i="1"/>
  <c r="J643" i="1" s="1"/>
  <c r="H643" i="1"/>
  <c r="G644" i="1"/>
  <c r="H644" i="1"/>
  <c r="J644" i="1"/>
  <c r="G645" i="1"/>
  <c r="J645" i="1" s="1"/>
  <c r="H645" i="1"/>
  <c r="L561" i="1" l="1"/>
  <c r="G137" i="2"/>
  <c r="F55" i="2"/>
  <c r="F96" i="2" s="1"/>
  <c r="K541" i="1"/>
  <c r="G185" i="1"/>
  <c r="G618" i="1" s="1"/>
  <c r="J618" i="1" s="1"/>
  <c r="C136" i="2"/>
  <c r="J639" i="1"/>
  <c r="J614" i="1"/>
  <c r="L535" i="1"/>
  <c r="J624" i="1"/>
  <c r="J608" i="1"/>
  <c r="F137" i="2"/>
  <c r="G42" i="2"/>
  <c r="K540" i="1"/>
  <c r="C120" i="2"/>
  <c r="J613" i="1"/>
  <c r="J607" i="1"/>
  <c r="G153" i="2"/>
  <c r="D137" i="2"/>
  <c r="F542" i="1"/>
  <c r="C55" i="2"/>
  <c r="C96" i="2" s="1"/>
  <c r="G32" i="2"/>
  <c r="E33" i="13"/>
  <c r="D35" i="13" s="1"/>
  <c r="C8" i="13"/>
  <c r="I185" i="1"/>
  <c r="G620" i="1" s="1"/>
  <c r="J620" i="1" s="1"/>
  <c r="G55" i="2"/>
  <c r="G96" i="2" s="1"/>
  <c r="E120" i="2"/>
  <c r="G621" i="1"/>
  <c r="J621" i="1" s="1"/>
  <c r="G636" i="1"/>
  <c r="J263" i="1"/>
  <c r="G156" i="2"/>
  <c r="D96" i="2"/>
  <c r="C36" i="10"/>
  <c r="E107" i="2"/>
  <c r="E137" i="2" s="1"/>
  <c r="L239" i="1"/>
  <c r="C10" i="10"/>
  <c r="J633" i="1"/>
  <c r="C38" i="10"/>
  <c r="C20" i="10"/>
  <c r="C115" i="2"/>
  <c r="L221" i="1"/>
  <c r="G650" i="1" s="1"/>
  <c r="D14" i="13"/>
  <c r="C14" i="13" s="1"/>
  <c r="G23" i="2"/>
  <c r="J33" i="1"/>
  <c r="K539" i="1"/>
  <c r="K542" i="1" s="1"/>
  <c r="C39" i="10"/>
  <c r="C41" i="10" s="1"/>
  <c r="C130" i="2"/>
  <c r="C133" i="2" s="1"/>
  <c r="L400" i="1"/>
  <c r="I438" i="1"/>
  <c r="G632" i="1" s="1"/>
  <c r="J632" i="1" s="1"/>
  <c r="J9" i="1"/>
  <c r="L519" i="1"/>
  <c r="F77" i="2"/>
  <c r="F83" i="2" s="1"/>
  <c r="G652" i="1"/>
  <c r="L203" i="1"/>
  <c r="C17" i="10"/>
  <c r="L320" i="1"/>
  <c r="L330" i="1" s="1"/>
  <c r="L344" i="1" s="1"/>
  <c r="G623" i="1" s="1"/>
  <c r="J623" i="1" s="1"/>
  <c r="D5" i="13"/>
  <c r="G612" i="1"/>
  <c r="J612" i="1" s="1"/>
  <c r="I44" i="1"/>
  <c r="H610" i="1" s="1"/>
  <c r="J610" i="1" s="1"/>
  <c r="E134" i="2"/>
  <c r="E136" i="2" s="1"/>
  <c r="E77" i="2"/>
  <c r="E83" i="2" s="1"/>
  <c r="F652" i="1"/>
  <c r="C16" i="10"/>
  <c r="F104" i="1"/>
  <c r="F185" i="1" s="1"/>
  <c r="G617" i="1" s="1"/>
  <c r="J617" i="1" s="1"/>
  <c r="F239" i="1"/>
  <c r="F249" i="1" s="1"/>
  <c r="F263" i="1" s="1"/>
  <c r="C106" i="2"/>
  <c r="J330" i="1"/>
  <c r="J344" i="1" s="1"/>
  <c r="H385" i="1"/>
  <c r="H400" i="1" s="1"/>
  <c r="H634" i="1" s="1"/>
  <c r="J634" i="1" s="1"/>
  <c r="C105" i="2"/>
  <c r="C107" i="2" s="1"/>
  <c r="C137" i="2" s="1"/>
  <c r="E49" i="2"/>
  <c r="E54" i="2" s="1"/>
  <c r="E55" i="2" s="1"/>
  <c r="E96" i="2" s="1"/>
  <c r="C12" i="10"/>
  <c r="J43" i="1"/>
  <c r="C117" i="2"/>
  <c r="K493" i="1"/>
  <c r="G542" i="1"/>
  <c r="D6" i="13"/>
  <c r="C6" i="13" s="1"/>
  <c r="L374" i="1"/>
  <c r="G626" i="1" s="1"/>
  <c r="J626" i="1" s="1"/>
  <c r="C29" i="10"/>
  <c r="F22" i="13"/>
  <c r="C22" i="13" s="1"/>
  <c r="D37" i="10" l="1"/>
  <c r="D35" i="10"/>
  <c r="D40" i="10"/>
  <c r="D38" i="10"/>
  <c r="G616" i="1"/>
  <c r="J616" i="1" s="1"/>
  <c r="J44" i="1"/>
  <c r="H611" i="1" s="1"/>
  <c r="G627" i="1"/>
  <c r="J627" i="1" s="1"/>
  <c r="H636" i="1"/>
  <c r="J636" i="1" s="1"/>
  <c r="F33" i="13"/>
  <c r="H638" i="1"/>
  <c r="J638" i="1" s="1"/>
  <c r="I652" i="1"/>
  <c r="J19" i="1"/>
  <c r="G611" i="1" s="1"/>
  <c r="G9" i="2"/>
  <c r="G19" i="2" s="1"/>
  <c r="D39" i="10"/>
  <c r="D33" i="13"/>
  <c r="D36" i="13" s="1"/>
  <c r="C5" i="13"/>
  <c r="C28" i="10"/>
  <c r="D20" i="10" s="1"/>
  <c r="D10" i="10"/>
  <c r="H650" i="1"/>
  <c r="H654" i="1" s="1"/>
  <c r="D31" i="13"/>
  <c r="C31" i="13" s="1"/>
  <c r="L249" i="1"/>
  <c r="L263" i="1" s="1"/>
  <c r="G622" i="1" s="1"/>
  <c r="J622" i="1" s="1"/>
  <c r="F650" i="1"/>
  <c r="G43" i="2"/>
  <c r="G654" i="1"/>
  <c r="D36" i="10"/>
  <c r="J611" i="1" l="1"/>
  <c r="H646" i="1"/>
  <c r="D17" i="10"/>
  <c r="D16" i="10"/>
  <c r="H662" i="1"/>
  <c r="C6" i="10" s="1"/>
  <c r="H657" i="1"/>
  <c r="D12" i="10"/>
  <c r="D41" i="10"/>
  <c r="C30" i="10"/>
  <c r="D25" i="10"/>
  <c r="D18" i="10"/>
  <c r="D22" i="10"/>
  <c r="D13" i="10"/>
  <c r="D19" i="10"/>
  <c r="D21" i="10"/>
  <c r="D26" i="10"/>
  <c r="D15" i="10"/>
  <c r="D23" i="10"/>
  <c r="D24" i="10"/>
  <c r="D11" i="10"/>
  <c r="D28" i="10" s="1"/>
  <c r="D27" i="10"/>
  <c r="G657" i="1"/>
  <c r="G662" i="1"/>
  <c r="C5" i="10" s="1"/>
  <c r="I650" i="1"/>
  <c r="I654" i="1" s="1"/>
  <c r="F654" i="1"/>
  <c r="F662" i="1" l="1"/>
  <c r="F657" i="1"/>
  <c r="I662" i="1"/>
  <c r="C7" i="10" s="1"/>
  <c r="I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89E94F96-EAC7-48F3-A887-B127AF3FEBFD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68016F26-3758-4416-ADF5-0099868ADED8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31B1F239-E406-4156-BE84-25869E347BD9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34AD9DF7-EA94-4059-B49A-29FC64375DB8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988BD8E9-DCA6-4EFF-A584-AD510CDDB218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480F69F8-4B95-4AE0-AA23-72D2B9C50BFD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54185AD3-97A4-4C58-A61C-CFF97910EA5A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0FBA0367-C185-4515-81C1-5F893DBF665D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D0974F47-9B28-4449-9317-36C09B4F9016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5D7F9BD5-5DF8-42F0-9041-ACC8BED5469C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8AA04AB1-6434-433A-929F-E4CE018C8C08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ED27529C-6B96-4522-B43B-C3D91FAF0FFB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<sst xmlns="http://schemas.openxmlformats.org/spreadsheetml/2006/main" count="3868" uniqueCount="899">
  <si>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</si>
  <si>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</si>
  <si>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</si>
  <si>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</si>
  <si>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</si>
  <si>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</si>
  <si>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</si>
  <si>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</si>
  <si>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</si>
  <si>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</si>
  <si>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</si>
  <si>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</si>
  <si>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</si>
  <si>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</si>
  <si>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</si>
  <si>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</si>
  <si>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</si>
  <si>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</si>
  <si>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</si>
  <si>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</si>
  <si>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</si>
  <si>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</si>
  <si>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</si>
  <si>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</si>
  <si>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</si>
  <si>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</si>
  <si>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</si>
  <si>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</si>
  <si>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</si>
  <si>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</si>
  <si>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</si>
  <si>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</si>
  <si>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</si>
  <si>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</si>
  <si>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</si>
  <si>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</si>
  <si>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</si>
  <si>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</si>
  <si>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</si>
  <si>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</si>
  <si>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</si>
  <si>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</si>
  <si>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</si>
  <si>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</si>
  <si>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</si>
  <si>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</si>
  <si>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</si>
  <si>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</si>
  <si>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</si>
  <si>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</si>
  <si>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</si>
  <si>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</si>
  <si>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</si>
  <si>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</si>
  <si>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</si>
  <si>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</si>
  <si>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</si>
  <si>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</si>
  <si>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</si>
  <si>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</si>
  <si>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</si>
  <si>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</si>
  <si>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</si>
  <si>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</si>
  <si>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</si>
  <si>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</si>
  <si>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</si>
  <si>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</si>
  <si>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</si>
  <si>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</si>
  <si>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</si>
  <si>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</si>
  <si>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</si>
  <si>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</si>
  <si>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</si>
  <si>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</si>
  <si>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</si>
  <si>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</si>
  <si>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</si>
  <si>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</si>
  <si>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</si>
  <si>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</si>
  <si>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</si>
  <si>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</si>
  <si>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</si>
  <si>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</si>
  <si>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</si>
  <si>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</si>
  <si>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</si>
  <si>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</si>
  <si>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</si>
  <si>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</si>
  <si>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</si>
  <si>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</si>
  <si>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</si>
  <si>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</si>
  <si>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</si>
  <si>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</si>
  <si>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</si>
  <si>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</si>
  <si>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</si>
  <si>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</si>
  <si>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</si>
  <si>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</si>
  <si>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</si>
  <si>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</si>
  <si>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</si>
  <si>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</si>
  <si>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</si>
  <si>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</si>
  <si>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</si>
  <si>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</si>
  <si>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</si>
  <si>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</si>
  <si>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</si>
  <si>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</si>
  <si>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</si>
  <si>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</si>
  <si>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</si>
  <si>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</si>
  <si>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</si>
  <si>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</si>
  <si>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</si>
  <si>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</si>
  <si>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</si>
  <si>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</si>
  <si>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</si>
  <si>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</si>
  <si>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</si>
  <si>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</si>
  <si>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</si>
  <si>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</si>
  <si>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</si>
  <si>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</si>
  <si>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</si>
  <si>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</si>
  <si>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</si>
  <si>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</si>
  <si>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</si>
  <si>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</si>
  <si>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</si>
  <si>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</si>
  <si>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</si>
  <si>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</si>
  <si>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</si>
  <si>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</si>
  <si>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</si>
  <si>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</si>
  <si>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</si>
  <si>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</si>
  <si>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</si>
  <si>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</si>
  <si>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</si>
  <si>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</si>
  <si>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</si>
  <si>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</si>
  <si>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</si>
  <si>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</si>
  <si>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</si>
  <si>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</si>
  <si>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</si>
  <si>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</si>
  <si>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</si>
  <si>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</si>
  <si>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</si>
  <si>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</si>
  <si>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</si>
  <si>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</si>
  <si>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</si>
  <si>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</si>
  <si>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</si>
  <si>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</si>
  <si>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</si>
  <si>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</si>
  <si>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</si>
  <si>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</si>
  <si>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</si>
  <si>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</si>
  <si>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</si>
  <si>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</si>
  <si>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</si>
  <si>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</si>
  <si>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</si>
  <si>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</si>
  <si>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</si>
  <si>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</si>
  <si>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</si>
  <si>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</si>
  <si>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</si>
  <si>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</si>
  <si>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</si>
  <si>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</si>
  <si>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</si>
  <si>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</si>
  <si>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</si>
  <si>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</si>
  <si>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</si>
  <si>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</si>
  <si>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</si>
  <si>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</si>
  <si>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</si>
  <si>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</si>
  <si>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</si>
  <si>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</si>
  <si>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</si>
  <si>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</si>
  <si>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</si>
  <si>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</si>
  <si>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</si>
  <si>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</si>
  <si>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</si>
  <si>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</si>
  <si>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</si>
  <si>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</si>
  <si>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</si>
  <si>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</si>
  <si>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</si>
  <si>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</si>
  <si>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</si>
  <si>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</si>
  <si>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</si>
  <si>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</si>
  <si>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</si>
  <si>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</si>
  <si>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</si>
  <si>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</si>
  <si>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</si>
  <si>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</si>
  <si>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</si>
  <si>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</si>
  <si>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</si>
  <si>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</si>
  <si>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</si>
  <si>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</si>
  <si>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</si>
  <si>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</si>
  <si>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</si>
  <si>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</si>
  <si>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</si>
  <si>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</si>
  <si>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</si>
  <si>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</si>
  <si>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</si>
  <si>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</si>
  <si>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</si>
  <si>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</si>
  <si>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</si>
  <si>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</si>
  <si>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</si>
  <si>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</si>
  <si>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</si>
  <si>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</si>
  <si>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</si>
  <si>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</si>
  <si>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</si>
  <si>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</si>
  <si>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</si>
  <si>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</si>
  <si>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</si>
  <si>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</si>
  <si>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</si>
  <si>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</si>
  <si>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</si>
  <si>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</si>
  <si>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</si>
  <si>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</si>
  <si>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</si>
  <si>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</si>
  <si>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</si>
  <si>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</si>
  <si>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</si>
  <si>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</si>
  <si>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</si>
  <si>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</si>
  <si>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</si>
  <si>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</si>
  <si>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</si>
  <si>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</si>
  <si>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</si>
  <si>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</si>
  <si>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</si>
  <si>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</si>
  <si>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</si>
  <si>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</si>
  <si>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</si>
  <si>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</si>
  <si>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</si>
  <si>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</si>
  <si>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</si>
  <si>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</si>
  <si>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</si>
  <si>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</si>
  <si>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</si>
  <si>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</si>
  <si>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</si>
  <si>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</si>
  <si>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</si>
  <si>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</si>
  <si>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</si>
  <si>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</si>
  <si>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</si>
  <si>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</si>
  <si>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</si>
  <si>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</si>
  <si>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</si>
  <si>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</si>
  <si>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</si>
  <si>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</si>
  <si>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</si>
  <si>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</si>
  <si>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</si>
  <si>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</si>
  <si>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</si>
  <si>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</si>
  <si>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</si>
  <si>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</si>
  <si>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</si>
  <si>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</si>
  <si>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</si>
  <si>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</si>
  <si>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</si>
  <si>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</si>
  <si>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</si>
  <si>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</si>
  <si>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</si>
  <si>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</si>
  <si>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</si>
  <si>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</si>
  <si>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</si>
  <si>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</si>
  <si>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</si>
  <si>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</si>
  <si>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</si>
  <si>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</si>
  <si>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</si>
  <si>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</si>
  <si>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</si>
  <si>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</si>
  <si>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</si>
  <si>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</si>
  <si>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</si>
  <si>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</si>
  <si>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</si>
  <si>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</si>
  <si>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</si>
  <si>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</si>
  <si>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</si>
  <si>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</si>
  <si>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</si>
  <si>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</si>
  <si>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</si>
  <si>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</si>
  <si>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</si>
  <si>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</si>
  <si>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</si>
  <si>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</si>
  <si>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</si>
  <si>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</si>
  <si>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</si>
  <si>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</si>
  <si>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</si>
  <si>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</si>
  <si>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</si>
  <si>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</si>
  <si>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</si>
  <si>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</si>
  <si>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</si>
  <si>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</si>
  <si>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</si>
  <si>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</si>
  <si>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</si>
  <si>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</si>
  <si>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</si>
  <si>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</si>
  <si>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</si>
  <si>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</si>
  <si>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</si>
  <si>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</si>
  <si>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</si>
  <si>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</si>
  <si>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</si>
  <si>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</si>
  <si>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</si>
  <si>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</si>
  <si>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</si>
  <si>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</si>
  <si>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</si>
  <si>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</si>
  <si>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</si>
  <si>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</si>
  <si>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</si>
  <si>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</si>
  <si>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</si>
  <si>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</si>
  <si>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</si>
  <si>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</si>
  <si>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</si>
  <si>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</si>
  <si>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</si>
  <si>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</si>
  <si>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</si>
  <si>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</si>
  <si>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</si>
  <si>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</si>
  <si>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</si>
  <si>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</si>
  <si>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</si>
  <si>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</si>
  <si>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</si>
  <si>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</si>
  <si>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</si>
  <si>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</si>
  <si>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</si>
  <si>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</si>
  <si>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</si>
  <si>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</si>
  <si>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</si>
  <si>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</si>
  <si>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</si>
  <si>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</si>
  <si>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</si>
  <si>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</si>
  <si>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</si>
  <si>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</si>
  <si>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</si>
  <si>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</si>
  <si>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</si>
  <si>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</si>
  <si>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</si>
  <si>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</si>
  <si>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</si>
  <si>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</si>
  <si>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</si>
  <si>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</si>
  <si>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</si>
  <si>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</si>
  <si>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</si>
  <si>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</si>
  <si>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</si>
  <si>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</si>
  <si>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</si>
  <si>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</si>
  <si>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</si>
  <si>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</si>
  <si>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</si>
  <si>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</si>
  <si>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</si>
  <si>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</si>
  <si>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</si>
  <si>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</si>
  <si>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</si>
  <si>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</si>
  <si>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</si>
  <si>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</si>
  <si>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</si>
  <si>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</si>
  <si>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</si>
  <si>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</si>
  <si>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</si>
  <si>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</si>
  <si>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</si>
  <si>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</si>
  <si>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</si>
  <si>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</si>
  <si>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</si>
  <si>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</si>
  <si>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</si>
  <si>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</si>
  <si>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</si>
  <si>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</si>
  <si>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</si>
  <si>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</si>
  <si>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</si>
  <si>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</si>
  <si>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</si>
  <si>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</si>
  <si>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</si>
  <si>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</si>
  <si>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</si>
  <si>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</si>
  <si>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</si>
  <si>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</si>
  <si>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</si>
  <si>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</si>
  <si>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</si>
  <si>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</si>
  <si>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</si>
  <si>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</si>
  <si>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</si>
  <si>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</si>
  <si>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</si>
  <si>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</si>
  <si>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</si>
  <si>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</si>
  <si>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</si>
  <si>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</si>
  <si>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</si>
  <si>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</si>
  <si>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</si>
  <si>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</si>
  <si>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</si>
  <si>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</si>
  <si>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</si>
  <si>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</si>
  <si>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</si>
  <si>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</si>
  <si>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</si>
  <si>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</si>
  <si>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</si>
  <si>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</si>
  <si>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</si>
  <si>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</si>
  <si>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</si>
  <si>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</si>
  <si>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</si>
  <si>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</si>
  <si>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</si>
  <si>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</si>
  <si>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</si>
  <si>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</si>
  <si>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</si>
  <si>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</si>
  <si>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</si>
  <si>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</si>
  <si>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</si>
  <si>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</si>
  <si>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</si>
  <si>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</si>
  <si>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</si>
  <si>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</si>
  <si>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</si>
  <si>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</si>
  <si>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</si>
  <si>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</si>
  <si>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</si>
  <si>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</si>
  <si>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</si>
  <si>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</si>
  <si>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</si>
  <si>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</si>
  <si>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</si>
  <si>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</si>
  <si>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</si>
  <si>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</si>
  <si>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</si>
  <si>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</si>
  <si>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</si>
  <si>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</si>
  <si>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</si>
  <si>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</si>
  <si>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</si>
  <si>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</si>
  <si>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</si>
  <si>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</si>
  <si>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</si>
  <si>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</si>
  <si>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</si>
  <si>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</si>
  <si>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</si>
  <si>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</si>
  <si>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</si>
  <si>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</si>
  <si>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</si>
  <si>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</si>
  <si>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</si>
  <si>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</si>
  <si>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</si>
  <si>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</si>
  <si>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</si>
  <si>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</si>
  <si>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</si>
  <si>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</si>
  <si>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</si>
  <si>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</si>
  <si>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</si>
  <si>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</si>
  <si>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</si>
  <si>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</si>
  <si>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</si>
  <si>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</si>
  <si>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</si>
  <si>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</si>
  <si>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</si>
  <si>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</si>
  <si>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</si>
  <si>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</si>
  <si>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</si>
  <si>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</si>
  <si>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</si>
  <si>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</si>
  <si>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</si>
  <si>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</si>
  <si>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</si>
  <si>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</si>
  <si>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</si>
  <si>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</si>
  <si>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</si>
  <si>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</si>
  <si>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</si>
  <si>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</si>
  <si>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</si>
  <si>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</si>
  <si>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</si>
  <si>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</si>
  <si>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</si>
  <si>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</si>
  <si>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</si>
  <si>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</si>
  <si>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</si>
  <si>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</si>
  <si>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</si>
  <si>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</si>
  <si>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</si>
  <si>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</si>
  <si>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</si>
  <si>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</si>
  <si>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</si>
  <si>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</si>
  <si>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</si>
  <si>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</si>
  <si>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</si>
  <si>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</si>
  <si>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</si>
  <si>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</si>
  <si>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</si>
  <si>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</si>
  <si>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</si>
  <si>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</si>
  <si>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</si>
  <si>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</si>
  <si>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</si>
  <si>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</si>
  <si>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</si>
  <si>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</si>
  <si>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</si>
  <si>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</si>
  <si>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</si>
  <si>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</si>
  <si>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</si>
  <si>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</si>
  <si>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</si>
  <si>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</si>
  <si>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</si>
  <si>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</si>
  <si>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</si>
  <si>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</si>
  <si>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</si>
  <si>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</si>
  <si>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</si>
  <si>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</si>
  <si>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</si>
  <si>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</si>
  <si>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</si>
  <si>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</si>
  <si>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</si>
  <si>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</si>
  <si>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</si>
  <si>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</si>
  <si>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</si>
  <si>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</si>
  <si>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</si>
  <si>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</si>
  <si>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</si>
  <si>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</si>
  <si>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</si>
  <si>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</si>
  <si>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</si>
  <si>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</si>
  <si>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</si>
  <si>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</si>
  <si>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</si>
  <si>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</si>
  <si>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</si>
  <si>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</si>
  <si>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</si>
  <si>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</si>
  <si>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</si>
  <si>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</si>
  <si>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</si>
  <si>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</si>
  <si>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</si>
  <si>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</si>
  <si>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</si>
  <si>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</si>
  <si>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</si>
  <si>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</si>
  <si>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</si>
  <si>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</si>
  <si>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</si>
  <si>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</si>
  <si>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</si>
  <si>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</si>
  <si>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</si>
  <si>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</si>
  <si>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</si>
  <si>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</si>
  <si>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</si>
  <si>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</si>
  <si>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</si>
  <si>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</si>
  <si>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</si>
  <si>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</si>
  <si>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</si>
  <si>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</si>
  <si>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</si>
  <si>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</si>
  <si>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</si>
  <si>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</si>
  <si>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</si>
  <si>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</si>
  <si>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</si>
  <si>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</si>
  <si>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</si>
  <si>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</si>
  <si>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</si>
  <si>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</si>
  <si>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</si>
  <si>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</si>
  <si>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</si>
  <si>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</si>
  <si>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</si>
  <si>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</si>
  <si>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</si>
  <si>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</si>
  <si>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</si>
  <si>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</si>
  <si>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</si>
  <si>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</si>
  <si>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</si>
  <si>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</si>
  <si>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</si>
  <si>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</si>
  <si>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</si>
  <si>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</si>
  <si>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</si>
  <si>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</si>
  <si>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</si>
  <si>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</si>
  <si>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</si>
  <si>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</si>
  <si>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</si>
  <si>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</si>
  <si>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</si>
  <si>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</si>
  <si>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</si>
  <si>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</si>
  <si>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</si>
  <si>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</si>
  <si>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</si>
  <si>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</si>
  <si>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</si>
  <si>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</si>
  <si>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</si>
  <si>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</si>
  <si>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</si>
  <si>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</si>
  <si>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</si>
  <si>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</si>
  <si>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</si>
  <si>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</si>
  <si>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</si>
  <si>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</si>
  <si>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</si>
  <si>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</si>
  <si>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</si>
  <si>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</si>
  <si>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</si>
  <si>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</si>
  <si>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</si>
  <si>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</si>
  <si>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</si>
  <si>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</si>
  <si>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</si>
  <si>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</si>
  <si>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</si>
  <si>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</si>
  <si>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</si>
  <si>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</si>
  <si>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</si>
  <si>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</si>
  <si>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</si>
  <si>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</si>
  <si>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</si>
  <si>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</si>
  <si>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</si>
  <si>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</si>
  <si>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</si>
  <si>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</si>
  <si>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</si>
  <si>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</si>
  <si>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</si>
  <si>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</si>
  <si>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</si>
  <si>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</si>
  <si>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</si>
  <si>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</si>
  <si>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</si>
  <si>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</si>
  <si>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</si>
  <si>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</si>
  <si>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</si>
  <si>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</si>
  <si>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</si>
  <si>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</si>
  <si>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</si>
  <si>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</si>
  <si>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</si>
  <si>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</si>
  <si>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</si>
  <si>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</si>
  <si>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</si>
  <si>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</si>
  <si>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</si>
  <si>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</si>
  <si>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</si>
  <si>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</si>
  <si>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</si>
  <si>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</si>
  <si>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</si>
  <si>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</si>
  <si>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</si>
  <si>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</si>
  <si>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</si>
  <si>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</si>
  <si>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</si>
  <si>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</si>
  <si>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</si>
  <si>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</si>
  <si>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</si>
  <si>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</si>
  <si>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</si>
  <si>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</si>
  <si>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</si>
  <si>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</si>
  <si>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</si>
  <si>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</si>
  <si>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</si>
  <si>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</si>
  <si>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</si>
  <si>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</si>
  <si>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</si>
  <si>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</si>
  <si>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</si>
  <si>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</si>
  <si>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</si>
  <si>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</si>
  <si>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</si>
  <si>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</si>
  <si>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</si>
  <si>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</si>
  <si>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</si>
  <si>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</si>
  <si>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</si>
  <si>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</si>
  <si>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</si>
  <si>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</si>
  <si>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</si>
  <si>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</si>
  <si>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</si>
  <si>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</si>
  <si>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</si>
  <si>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</si>
  <si>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</si>
  <si>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</si>
  <si>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</si>
  <si>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</si>
  <si>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</si>
  <si>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</si>
  <si>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</si>
  <si>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</si>
  <si>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</si>
  <si>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</si>
  <si>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</si>
  <si>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</si>
  <si>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</si>
  <si>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</si>
  <si>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</si>
  <si>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</si>
  <si>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</si>
  <si>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</si>
  <si>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</si>
  <si>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</si>
  <si>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</si>
  <si>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</si>
  <si>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</si>
  <si>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</si>
  <si>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</si>
  <si>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</si>
  <si>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</si>
  <si>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</si>
  <si>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</si>
  <si>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</si>
  <si>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</si>
  <si>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</si>
  <si>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01/97</t>
  </si>
  <si>
    <t>08/03</t>
  </si>
  <si>
    <t>01/17</t>
  </si>
  <si>
    <t>08/23</t>
  </si>
  <si>
    <t>Exeter Region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</si>
</sst>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BB5F-F4DC-4D05-8856-854DF5D714A4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898</v>
      </c>
      <c r="B2" s="21">
        <v>172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864274.2</v>
      </c>
      <c r="G9" s="18" t="s">
        <v>310</v>
      </c>
      <c r="H9" s="18">
        <v>260869.4</v>
      </c>
      <c r="I9" s="18"/>
      <c r="J9" s="67">
        <f>SUM(I431)</f>
        <v>1191230.6499999999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164557.23000000001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75011.64</v>
      </c>
      <c r="G12" s="18">
        <v>283691.62</v>
      </c>
      <c r="H12" s="18">
        <v>179205.35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74244.13</v>
      </c>
      <c r="G13" s="18">
        <v>241756.09</v>
      </c>
      <c r="H13" s="18">
        <v>118972.86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1951944.33</v>
      </c>
      <c r="G14" s="18">
        <v>99602.28</v>
      </c>
      <c r="H14" s="18">
        <v>4390.46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14544.63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3144576.1599999997</v>
      </c>
      <c r="G19" s="41">
        <f>SUM(G9:G18)</f>
        <v>625049.99</v>
      </c>
      <c r="H19" s="41">
        <f>SUM(H9:H18)</f>
        <v>563438.06999999995</v>
      </c>
      <c r="I19" s="41">
        <f>SUM(I9:I18)</f>
        <v>0</v>
      </c>
      <c r="J19" s="41">
        <f>SUM(J9:J18)</f>
        <v>1191230.6499999999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420509.67</v>
      </c>
      <c r="G23" s="18"/>
      <c r="H23" s="18">
        <v>116837.19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536445.66</v>
      </c>
      <c r="G24" s="18">
        <v>241756.09</v>
      </c>
      <c r="H24" s="18">
        <v>9426.3799999999992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908032.07</v>
      </c>
      <c r="G25" s="18">
        <v>140.59</v>
      </c>
      <c r="H25" s="18">
        <v>8272.4</v>
      </c>
      <c r="I25" s="18">
        <v>23917.23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197808.41</v>
      </c>
      <c r="G29" s="18">
        <v>8093.46</v>
      </c>
      <c r="H29" s="18">
        <v>2456.36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900</v>
      </c>
      <c r="G31" s="18"/>
      <c r="H31" s="18">
        <v>2600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2063695.8099999998</v>
      </c>
      <c r="G33" s="41">
        <f>SUM(G23:G32)</f>
        <v>249990.13999999998</v>
      </c>
      <c r="H33" s="41">
        <f>SUM(H23:H32)</f>
        <v>139592.32999999999</v>
      </c>
      <c r="I33" s="41">
        <f>SUM(I23:I32)</f>
        <v>23917.23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 t="s">
        <v>310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 t="s">
        <v>310</v>
      </c>
      <c r="G41" s="18">
        <v>375059.85</v>
      </c>
      <c r="H41" s="18">
        <v>423845.74</v>
      </c>
      <c r="I41" s="18">
        <v>-23917.23</v>
      </c>
      <c r="J41" s="13">
        <f>SUM(I449)</f>
        <v>1191230.6499999999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1080880.3500000001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1080880.3500000001</v>
      </c>
      <c r="G43" s="41">
        <f>SUM(G35:G42)</f>
        <v>375059.85</v>
      </c>
      <c r="H43" s="41">
        <f>SUM(H35:H42)</f>
        <v>423845.74</v>
      </c>
      <c r="I43" s="41">
        <f>SUM(I35:I42)</f>
        <v>-23917.23</v>
      </c>
      <c r="J43" s="41">
        <f>SUM(J35:J42)</f>
        <v>1191230.6499999999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3144576.16</v>
      </c>
      <c r="G44" s="41">
        <f>G43+G33</f>
        <v>625049.99</v>
      </c>
      <c r="H44" s="41">
        <f>H43+H33</f>
        <v>563438.06999999995</v>
      </c>
      <c r="I44" s="41">
        <f>I43+I33</f>
        <v>0</v>
      </c>
      <c r="J44" s="41">
        <f>J43+J33</f>
        <v>1191230.6499999999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29471046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29471046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35581.72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3510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75408.570000000007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1037022.5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1151522.79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>
        <v>118888.76</v>
      </c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118888.76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10177.049999999999</v>
      </c>
      <c r="G88" s="18"/>
      <c r="H88" s="18"/>
      <c r="I88" s="18"/>
      <c r="J88" s="18">
        <v>4665.09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742569.82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>
        <v>700556.77</v>
      </c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>
        <v>59748.12</v>
      </c>
      <c r="H91" s="18">
        <v>284050.34000000003</v>
      </c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125886.05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1100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211002.49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120454.05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467519.63999999996</v>
      </c>
      <c r="G103" s="41">
        <f>SUM(G88:G102)</f>
        <v>802317.94</v>
      </c>
      <c r="H103" s="41">
        <f>SUM(H88:H102)</f>
        <v>985707.1100000001</v>
      </c>
      <c r="I103" s="41">
        <f>SUM(I88:I102)</f>
        <v>0</v>
      </c>
      <c r="J103" s="41">
        <f>SUM(J88:J102)</f>
        <v>4665.09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31090088.43</v>
      </c>
      <c r="G104" s="41">
        <f>G52+G103</f>
        <v>802317.94</v>
      </c>
      <c r="H104" s="41">
        <f>H52+H71+H86+H103</f>
        <v>1104595.8700000001</v>
      </c>
      <c r="I104" s="41">
        <f>I52+I103</f>
        <v>0</v>
      </c>
      <c r="J104" s="41">
        <f>J52+J103</f>
        <v>4665.09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4495528.45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5257163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163051.54999999999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9915743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2135132.54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193199.08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1179622.5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8522.02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19200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3527154.12</v>
      </c>
      <c r="G128" s="41">
        <f>SUM(G115:G127)</f>
        <v>8522.02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13442897.120000001</v>
      </c>
      <c r="G132" s="41">
        <f>G113+SUM(G128:G129)</f>
        <v>8522.02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v>80032.08</v>
      </c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80032.08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52462.03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339034.08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161620.13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209990.55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209990.55</v>
      </c>
      <c r="G154" s="41">
        <f>SUM(G142:G153)</f>
        <v>161620.13</v>
      </c>
      <c r="H154" s="41">
        <f>SUM(H142:H153)</f>
        <v>391496.11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290022.63</v>
      </c>
      <c r="G161" s="41">
        <f>G139+G154+SUM(G155:G160)</f>
        <v>161620.13</v>
      </c>
      <c r="H161" s="41">
        <f>H139+H154+SUM(H155:H160)</f>
        <v>391496.11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>
        <v>185792.75</v>
      </c>
      <c r="J171" s="18">
        <v>180000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>
        <v>40.56</v>
      </c>
      <c r="H174" s="18" t="s">
        <v>310</v>
      </c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40.56</v>
      </c>
      <c r="H175" s="41">
        <f>SUM(H171:H174)</f>
        <v>0</v>
      </c>
      <c r="I175" s="41">
        <f>SUM(I171:I174)</f>
        <v>185792.75</v>
      </c>
      <c r="J175" s="41">
        <f>SUM(J171:J174)</f>
        <v>180000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>
        <v>0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22728.78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22728.78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22728.78</v>
      </c>
      <c r="G184" s="41">
        <f>G175+SUM(G180:G183)</f>
        <v>40.56</v>
      </c>
      <c r="H184" s="41">
        <f>+H175+SUM(H180:H183)</f>
        <v>0</v>
      </c>
      <c r="I184" s="41">
        <f>I169+I175+SUM(I180:I183)</f>
        <v>185792.75</v>
      </c>
      <c r="J184" s="41">
        <f>J175</f>
        <v>180000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44845736.960000001</v>
      </c>
      <c r="G185" s="47">
        <f>G104+G132+G161+G184</f>
        <v>972500.65</v>
      </c>
      <c r="H185" s="47">
        <f>H104+H132+H161+H184</f>
        <v>1496091.98</v>
      </c>
      <c r="I185" s="47">
        <f>I104+I132+I161+I184</f>
        <v>185792.75</v>
      </c>
      <c r="J185" s="47">
        <f>J104+J132+J184</f>
        <v>184665.09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/>
      <c r="I189" s="18"/>
      <c r="J189" s="18"/>
      <c r="K189" s="18"/>
      <c r="L189" s="19">
        <f>SUM(F189:K189)</f>
        <v>0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/>
      <c r="I190" s="18"/>
      <c r="J190" s="18"/>
      <c r="K190" s="18"/>
      <c r="L190" s="19">
        <f>SUM(F190:K190)</f>
        <v>0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/>
      <c r="I194" s="18"/>
      <c r="J194" s="18"/>
      <c r="K194" s="18"/>
      <c r="L194" s="19">
        <f t="shared" ref="L194:L200" si="0">SUM(F194:K194)</f>
        <v>0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/>
      <c r="I196" s="18"/>
      <c r="J196" s="18"/>
      <c r="K196" s="18"/>
      <c r="L196" s="19">
        <f t="shared" si="0"/>
        <v>0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/>
      <c r="I200" s="18"/>
      <c r="J200" s="18"/>
      <c r="K200" s="18"/>
      <c r="L200" s="19">
        <f t="shared" si="0"/>
        <v>0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0</v>
      </c>
      <c r="G203" s="41">
        <f t="shared" si="1"/>
        <v>0</v>
      </c>
      <c r="H203" s="41">
        <f t="shared" si="1"/>
        <v>0</v>
      </c>
      <c r="I203" s="41">
        <f t="shared" si="1"/>
        <v>0</v>
      </c>
      <c r="J203" s="41">
        <f t="shared" si="1"/>
        <v>0</v>
      </c>
      <c r="K203" s="41">
        <f t="shared" si="1"/>
        <v>0</v>
      </c>
      <c r="L203" s="41">
        <f t="shared" si="1"/>
        <v>0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5682318.69+198384.92</f>
        <v>5880703.6100000003</v>
      </c>
      <c r="G207" s="18">
        <v>2496261.2599999998</v>
      </c>
      <c r="H207" s="18">
        <v>92957.64</v>
      </c>
      <c r="I207" s="18">
        <v>207724.65</v>
      </c>
      <c r="J207" s="18">
        <v>2491.21</v>
      </c>
      <c r="K207" s="18"/>
      <c r="L207" s="19">
        <f>SUM(F207:K207)</f>
        <v>8680138.370000001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1235302.83</v>
      </c>
      <c r="G208" s="18">
        <v>553195.25</v>
      </c>
      <c r="H208" s="18">
        <v>163939.21</v>
      </c>
      <c r="I208" s="18">
        <v>15888.9</v>
      </c>
      <c r="J208" s="18">
        <v>4870</v>
      </c>
      <c r="K208" s="18"/>
      <c r="L208" s="19">
        <f>SUM(F208:K208)</f>
        <v>1973196.19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>
        <v>0.01</v>
      </c>
      <c r="H209" s="18"/>
      <c r="I209" s="18"/>
      <c r="J209" s="18"/>
      <c r="K209" s="18"/>
      <c r="L209" s="19">
        <f>SUM(F209:K209)</f>
        <v>0.01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146531.99</v>
      </c>
      <c r="G210" s="18">
        <v>68466.850000000006</v>
      </c>
      <c r="H210" s="18">
        <v>17500</v>
      </c>
      <c r="I210" s="18">
        <v>15480.09</v>
      </c>
      <c r="J210" s="18"/>
      <c r="K210" s="18"/>
      <c r="L210" s="19">
        <f>SUM(F210:K210)</f>
        <v>247978.93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763244.16</v>
      </c>
      <c r="G212" s="18">
        <v>346114.56</v>
      </c>
      <c r="H212" s="18">
        <v>15936.21</v>
      </c>
      <c r="I212" s="18">
        <v>6308.31</v>
      </c>
      <c r="J212" s="18"/>
      <c r="K212" s="18"/>
      <c r="L212" s="19">
        <f t="shared" ref="L212:L218" si="2">SUM(F212:K212)</f>
        <v>1131603.24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134013.95000000001</v>
      </c>
      <c r="G213" s="18">
        <v>56285.61</v>
      </c>
      <c r="H213" s="18">
        <v>21351.97</v>
      </c>
      <c r="I213" s="18">
        <v>21934.45</v>
      </c>
      <c r="J213" s="18"/>
      <c r="K213" s="18"/>
      <c r="L213" s="19">
        <f t="shared" si="2"/>
        <v>233585.98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76558.63</v>
      </c>
      <c r="G214" s="18">
        <v>31503.15</v>
      </c>
      <c r="H214" s="18">
        <v>540376.84</v>
      </c>
      <c r="I214" s="18"/>
      <c r="J214" s="18"/>
      <c r="K214" s="18"/>
      <c r="L214" s="19">
        <f t="shared" si="2"/>
        <v>648438.62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610368.35</v>
      </c>
      <c r="G215" s="18">
        <v>315451.49</v>
      </c>
      <c r="H215" s="18">
        <v>90810.23</v>
      </c>
      <c r="I215" s="18">
        <v>50875.4</v>
      </c>
      <c r="J215" s="18">
        <v>7205.83</v>
      </c>
      <c r="K215" s="18">
        <v>7600.32</v>
      </c>
      <c r="L215" s="19">
        <f t="shared" si="2"/>
        <v>1082311.6200000001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>
        <v>0</v>
      </c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739009.44-198384.92</f>
        <v>540624.5199999999</v>
      </c>
      <c r="G217" s="18">
        <v>326792.65000000002</v>
      </c>
      <c r="H217" s="18">
        <v>251463.04000000001</v>
      </c>
      <c r="I217" s="18">
        <v>385900.12</v>
      </c>
      <c r="J217" s="18">
        <v>3892</v>
      </c>
      <c r="K217" s="18"/>
      <c r="L217" s="19">
        <f t="shared" si="2"/>
        <v>1508672.33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13127.78</v>
      </c>
      <c r="G218" s="18">
        <v>6720.67</v>
      </c>
      <c r="H218" s="18">
        <v>691967.91</v>
      </c>
      <c r="I218" s="18"/>
      <c r="J218" s="18"/>
      <c r="K218" s="18"/>
      <c r="L218" s="19">
        <f t="shared" si="2"/>
        <v>711816.36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9400475.8200000003</v>
      </c>
      <c r="G221" s="41">
        <f>SUM(G207:G220)</f>
        <v>4200791.5</v>
      </c>
      <c r="H221" s="41">
        <f>SUM(H207:H220)</f>
        <v>1886303.0499999998</v>
      </c>
      <c r="I221" s="41">
        <f>SUM(I207:I220)</f>
        <v>704111.91999999993</v>
      </c>
      <c r="J221" s="41">
        <f>SUM(J207:J220)</f>
        <v>18459.04</v>
      </c>
      <c r="K221" s="41">
        <f t="shared" si="3"/>
        <v>7600.32</v>
      </c>
      <c r="L221" s="41">
        <f t="shared" si="3"/>
        <v>16217741.65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6708719.53+198384.93</f>
        <v>6907104.46</v>
      </c>
      <c r="G225" s="18">
        <v>2689712.32</v>
      </c>
      <c r="H225" s="18">
        <v>90885.759999999995</v>
      </c>
      <c r="I225" s="18">
        <v>323110.83</v>
      </c>
      <c r="J225" s="18">
        <v>8780.56</v>
      </c>
      <c r="K225" s="18"/>
      <c r="L225" s="19">
        <f>SUM(F225:K225)</f>
        <v>10019593.93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1471098.08</v>
      </c>
      <c r="G226" s="18">
        <v>565930.74</v>
      </c>
      <c r="H226" s="18">
        <v>838183.68</v>
      </c>
      <c r="I226" s="18">
        <v>19560.95</v>
      </c>
      <c r="J226" s="18">
        <v>5029.95</v>
      </c>
      <c r="K226" s="18"/>
      <c r="L226" s="19">
        <f>SUM(F226:K226)</f>
        <v>2899803.4000000004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1498069.44</v>
      </c>
      <c r="G227" s="18">
        <v>525915.43999999994</v>
      </c>
      <c r="H227" s="18">
        <v>34905.120000000003</v>
      </c>
      <c r="I227" s="18">
        <v>103682.09</v>
      </c>
      <c r="J227" s="18">
        <v>9913.5400000000009</v>
      </c>
      <c r="K227" s="18">
        <v>22974.04</v>
      </c>
      <c r="L227" s="19">
        <f>SUM(F227:K227)</f>
        <v>2195459.67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361652.85</v>
      </c>
      <c r="G228" s="18">
        <v>136675.65</v>
      </c>
      <c r="H228" s="18">
        <v>120455.75</v>
      </c>
      <c r="I228" s="18">
        <v>67170.53</v>
      </c>
      <c r="J228" s="18"/>
      <c r="K228" s="18">
        <v>3060.6</v>
      </c>
      <c r="L228" s="19">
        <f>SUM(F228:K228)</f>
        <v>689015.38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944407.85</v>
      </c>
      <c r="G230" s="18">
        <v>429887.35</v>
      </c>
      <c r="H230" s="18">
        <v>79392.509999999995</v>
      </c>
      <c r="I230" s="18">
        <v>28015.71</v>
      </c>
      <c r="J230" s="18"/>
      <c r="K230" s="18"/>
      <c r="L230" s="19">
        <f t="shared" ref="L230:L236" si="4">SUM(F230:K230)</f>
        <v>1481703.42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136669.39000000001</v>
      </c>
      <c r="G231" s="18">
        <v>52487.6</v>
      </c>
      <c r="H231" s="18">
        <v>20117.41</v>
      </c>
      <c r="I231" s="18">
        <v>30271.27</v>
      </c>
      <c r="J231" s="18"/>
      <c r="K231" s="18"/>
      <c r="L231" s="19">
        <f t="shared" si="4"/>
        <v>239545.67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76558.63</v>
      </c>
      <c r="G232" s="18">
        <v>27542.99</v>
      </c>
      <c r="H232" s="18">
        <v>535795.21</v>
      </c>
      <c r="I232" s="18"/>
      <c r="J232" s="18"/>
      <c r="K232" s="18"/>
      <c r="L232" s="19">
        <f t="shared" si="4"/>
        <v>639896.82999999996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833444.75</v>
      </c>
      <c r="G233" s="18">
        <v>359618.08</v>
      </c>
      <c r="H233" s="18">
        <v>80143.75</v>
      </c>
      <c r="I233" s="18">
        <v>120767.76</v>
      </c>
      <c r="J233" s="18"/>
      <c r="K233" s="18">
        <v>10981.02</v>
      </c>
      <c r="L233" s="19">
        <f t="shared" si="4"/>
        <v>1404955.36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>
        <v>0.01</v>
      </c>
      <c r="H234" s="18"/>
      <c r="I234" s="18"/>
      <c r="J234" s="18"/>
      <c r="K234" s="18"/>
      <c r="L234" s="19">
        <f t="shared" si="4"/>
        <v>0.01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1179626.12-198384.93</f>
        <v>981241.19000000018</v>
      </c>
      <c r="G235" s="18">
        <v>447963.55</v>
      </c>
      <c r="H235" s="18">
        <v>789027.24</v>
      </c>
      <c r="I235" s="18">
        <v>1406472.36</v>
      </c>
      <c r="J235" s="18">
        <v>866.1</v>
      </c>
      <c r="K235" s="18"/>
      <c r="L235" s="19">
        <f t="shared" si="4"/>
        <v>3625570.4400000009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13127.78</v>
      </c>
      <c r="G236" s="18">
        <v>6236.15</v>
      </c>
      <c r="H236" s="18">
        <v>964539.39</v>
      </c>
      <c r="I236" s="18"/>
      <c r="J236" s="18"/>
      <c r="K236" s="18"/>
      <c r="L236" s="19">
        <f t="shared" si="4"/>
        <v>983903.32000000007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13223374.42</v>
      </c>
      <c r="G239" s="41">
        <f t="shared" si="5"/>
        <v>5241969.879999999</v>
      </c>
      <c r="H239" s="41">
        <f t="shared" si="5"/>
        <v>3553445.82</v>
      </c>
      <c r="I239" s="41">
        <f t="shared" si="5"/>
        <v>2099051.5</v>
      </c>
      <c r="J239" s="41">
        <f t="shared" si="5"/>
        <v>24590.149999999998</v>
      </c>
      <c r="K239" s="41">
        <f t="shared" si="5"/>
        <v>37015.660000000003</v>
      </c>
      <c r="L239" s="41">
        <f t="shared" si="5"/>
        <v>24179447.430000003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105314.9</v>
      </c>
      <c r="G243" s="18"/>
      <c r="H243" s="18"/>
      <c r="I243" s="18">
        <v>22989.200000000001</v>
      </c>
      <c r="J243" s="18"/>
      <c r="K243" s="18"/>
      <c r="L243" s="19">
        <f t="shared" si="6"/>
        <v>128304.09999999999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105314.9</v>
      </c>
      <c r="G248" s="41">
        <f t="shared" si="7"/>
        <v>0</v>
      </c>
      <c r="H248" s="41">
        <f t="shared" si="7"/>
        <v>0</v>
      </c>
      <c r="I248" s="41">
        <f t="shared" si="7"/>
        <v>22989.200000000001</v>
      </c>
      <c r="J248" s="41">
        <f t="shared" si="7"/>
        <v>0</v>
      </c>
      <c r="K248" s="41">
        <f t="shared" si="7"/>
        <v>0</v>
      </c>
      <c r="L248" s="41">
        <f>SUM(F248:K248)</f>
        <v>128304.09999999999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22729165.140000001</v>
      </c>
      <c r="G249" s="41">
        <f t="shared" si="8"/>
        <v>9442761.379999999</v>
      </c>
      <c r="H249" s="41">
        <f t="shared" si="8"/>
        <v>5439748.8699999992</v>
      </c>
      <c r="I249" s="41">
        <f t="shared" si="8"/>
        <v>2826152.62</v>
      </c>
      <c r="J249" s="41">
        <f t="shared" si="8"/>
        <v>43049.19</v>
      </c>
      <c r="K249" s="41">
        <f t="shared" si="8"/>
        <v>44615.98</v>
      </c>
      <c r="L249" s="41">
        <f t="shared" si="8"/>
        <v>40525493.180000007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2932540.8</v>
      </c>
      <c r="L252" s="19">
        <f>SUM(F252:K252)</f>
        <v>2932540.8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1626161.7</v>
      </c>
      <c r="L253" s="19">
        <f>SUM(F253:K253)</f>
        <v>1626161.7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 t="s">
        <v>310</v>
      </c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185792.75</v>
      </c>
      <c r="L257" s="19">
        <f t="shared" si="9"/>
        <v>185792.75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180000</v>
      </c>
      <c r="L258" s="19">
        <f t="shared" si="9"/>
        <v>180000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431295</v>
      </c>
      <c r="L260" s="19">
        <f t="shared" si="9"/>
        <v>431295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5355790.25</v>
      </c>
      <c r="L262" s="41">
        <f t="shared" si="9"/>
        <v>5355790.25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22729165.140000001</v>
      </c>
      <c r="G263" s="42">
        <f t="shared" si="11"/>
        <v>9442761.379999999</v>
      </c>
      <c r="H263" s="42">
        <f t="shared" si="11"/>
        <v>5439748.8699999992</v>
      </c>
      <c r="I263" s="42">
        <f t="shared" si="11"/>
        <v>2826152.62</v>
      </c>
      <c r="J263" s="42">
        <f t="shared" si="11"/>
        <v>43049.19</v>
      </c>
      <c r="K263" s="42">
        <f t="shared" si="11"/>
        <v>5400406.2300000004</v>
      </c>
      <c r="L263" s="42">
        <f t="shared" si="11"/>
        <v>45881283.430000007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>
        <v>222796.42</v>
      </c>
      <c r="L292" s="19">
        <f t="shared" ref="L292:L298" si="14">SUM(F292:K292)</f>
        <v>222796.42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222796.42</v>
      </c>
      <c r="L301" s="41">
        <f t="shared" si="15"/>
        <v>222796.42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6750</v>
      </c>
      <c r="G308" s="18">
        <v>1021.96</v>
      </c>
      <c r="H308" s="18"/>
      <c r="I308" s="18">
        <v>98104.66</v>
      </c>
      <c r="J308" s="18"/>
      <c r="K308" s="18"/>
      <c r="L308" s="19">
        <f>SUM(F308:K308)</f>
        <v>105876.62000000001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>
        <v>8384</v>
      </c>
      <c r="J311" s="18"/>
      <c r="K311" s="18">
        <v>446628.41</v>
      </c>
      <c r="L311" s="19">
        <f t="shared" ref="L311:L317" si="16">SUM(F311:K311)</f>
        <v>455012.41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6750</v>
      </c>
      <c r="G320" s="42">
        <f t="shared" si="17"/>
        <v>1021.96</v>
      </c>
      <c r="H320" s="42">
        <f t="shared" si="17"/>
        <v>0</v>
      </c>
      <c r="I320" s="42">
        <f t="shared" si="17"/>
        <v>106488.66</v>
      </c>
      <c r="J320" s="42">
        <f t="shared" si="17"/>
        <v>0</v>
      </c>
      <c r="K320" s="42">
        <f t="shared" si="17"/>
        <v>446628.41</v>
      </c>
      <c r="L320" s="41">
        <f t="shared" si="17"/>
        <v>560889.03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230860.84</v>
      </c>
      <c r="G325" s="18">
        <v>47073.57</v>
      </c>
      <c r="H325" s="18">
        <v>29860.46</v>
      </c>
      <c r="I325" s="18">
        <v>25009.34</v>
      </c>
      <c r="J325" s="18">
        <v>18974</v>
      </c>
      <c r="K325" s="18">
        <v>15722.12</v>
      </c>
      <c r="L325" s="19">
        <f t="shared" si="18"/>
        <v>367500.33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>
        <v>71957.62</v>
      </c>
      <c r="G326" s="18">
        <v>20923.36</v>
      </c>
      <c r="H326" s="18">
        <v>12981.92</v>
      </c>
      <c r="I326" s="18">
        <v>29422.59</v>
      </c>
      <c r="J326" s="18"/>
      <c r="K326" s="18">
        <v>234362.8</v>
      </c>
      <c r="L326" s="19">
        <f t="shared" si="18"/>
        <v>369648.29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302818.45999999996</v>
      </c>
      <c r="G329" s="41">
        <f t="shared" si="19"/>
        <v>67996.929999999993</v>
      </c>
      <c r="H329" s="41">
        <f t="shared" si="19"/>
        <v>42842.38</v>
      </c>
      <c r="I329" s="41">
        <f t="shared" si="19"/>
        <v>54431.93</v>
      </c>
      <c r="J329" s="41">
        <f t="shared" si="19"/>
        <v>18974</v>
      </c>
      <c r="K329" s="41">
        <f t="shared" si="19"/>
        <v>250084.91999999998</v>
      </c>
      <c r="L329" s="41">
        <f t="shared" si="18"/>
        <v>737148.61999999988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309568.45999999996</v>
      </c>
      <c r="G330" s="41">
        <f t="shared" si="20"/>
        <v>69018.89</v>
      </c>
      <c r="H330" s="41">
        <f t="shared" si="20"/>
        <v>42842.38</v>
      </c>
      <c r="I330" s="41">
        <f t="shared" si="20"/>
        <v>160920.59</v>
      </c>
      <c r="J330" s="41">
        <f t="shared" si="20"/>
        <v>18974</v>
      </c>
      <c r="K330" s="41">
        <f t="shared" si="20"/>
        <v>919509.75</v>
      </c>
      <c r="L330" s="41">
        <f t="shared" si="20"/>
        <v>1520834.0699999998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309568.45999999996</v>
      </c>
      <c r="G344" s="41">
        <f>G330</f>
        <v>69018.89</v>
      </c>
      <c r="H344" s="41">
        <f>H330</f>
        <v>42842.38</v>
      </c>
      <c r="I344" s="41">
        <f>I330</f>
        <v>160920.59</v>
      </c>
      <c r="J344" s="41">
        <f>J330</f>
        <v>18974</v>
      </c>
      <c r="K344" s="47">
        <f>K330+K343</f>
        <v>919509.75</v>
      </c>
      <c r="L344" s="41">
        <f>L330+L343</f>
        <v>1520834.0699999998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151751.85</v>
      </c>
      <c r="G351" s="18">
        <v>32042.16</v>
      </c>
      <c r="H351" s="18">
        <v>2655.22</v>
      </c>
      <c r="I351" s="18">
        <v>152429.07999999999</v>
      </c>
      <c r="J351" s="18">
        <v>11326.89</v>
      </c>
      <c r="K351" s="18">
        <v>3261.68</v>
      </c>
      <c r="L351" s="19">
        <f>SUM(F351:K351)</f>
        <v>353466.88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196787.89</v>
      </c>
      <c r="G352" s="18">
        <v>73575.839999999997</v>
      </c>
      <c r="H352" s="18">
        <v>7496.57</v>
      </c>
      <c r="I352" s="18">
        <v>262569.09000000003</v>
      </c>
      <c r="J352" s="18">
        <v>11879.46</v>
      </c>
      <c r="K352" s="18">
        <v>4584.49</v>
      </c>
      <c r="L352" s="19">
        <f>SUM(F352:K352)</f>
        <v>556893.34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348539.74</v>
      </c>
      <c r="G354" s="47">
        <f t="shared" si="22"/>
        <v>105618</v>
      </c>
      <c r="H354" s="47">
        <f t="shared" si="22"/>
        <v>10151.789999999999</v>
      </c>
      <c r="I354" s="47">
        <f t="shared" si="22"/>
        <v>414998.17000000004</v>
      </c>
      <c r="J354" s="47">
        <f t="shared" si="22"/>
        <v>23206.35</v>
      </c>
      <c r="K354" s="47">
        <f t="shared" si="22"/>
        <v>7846.17</v>
      </c>
      <c r="L354" s="47">
        <f t="shared" si="22"/>
        <v>910360.22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>
        <v>144996.85</v>
      </c>
      <c r="H359" s="18">
        <v>241042.11</v>
      </c>
      <c r="I359" s="56">
        <f>SUM(F359:H359)</f>
        <v>386038.95999999996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>
        <v>7432.23</v>
      </c>
      <c r="H360" s="63">
        <v>21526.98</v>
      </c>
      <c r="I360" s="56">
        <f>SUM(F360:H360)</f>
        <v>28959.21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152429.08000000002</v>
      </c>
      <c r="H361" s="47">
        <f>SUM(H359:H360)</f>
        <v>262569.08999999997</v>
      </c>
      <c r="I361" s="47">
        <f>SUM(I359:I360)</f>
        <v>414998.17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>
        <v>40.56</v>
      </c>
      <c r="L373" s="13">
        <f t="shared" si="23"/>
        <v>40.56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40.56</v>
      </c>
      <c r="L374" s="47">
        <f t="shared" si="24"/>
        <v>40.56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f>1810.13+20.22</f>
        <v>1830.3500000000001</v>
      </c>
      <c r="I381" s="18"/>
      <c r="J381" s="24" t="s">
        <v>312</v>
      </c>
      <c r="K381" s="24" t="s">
        <v>312</v>
      </c>
      <c r="L381" s="56">
        <f t="shared" si="25"/>
        <v>1830.3500000000001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1830.3500000000001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1830.3500000000001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80000</v>
      </c>
      <c r="H388" s="18">
        <v>955.72</v>
      </c>
      <c r="I388" s="18"/>
      <c r="J388" s="24" t="s">
        <v>312</v>
      </c>
      <c r="K388" s="24" t="s">
        <v>312</v>
      </c>
      <c r="L388" s="56">
        <f t="shared" si="26"/>
        <v>80955.72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100000</v>
      </c>
      <c r="H389" s="18">
        <v>1879.02</v>
      </c>
      <c r="I389" s="18"/>
      <c r="J389" s="24" t="s">
        <v>312</v>
      </c>
      <c r="K389" s="24" t="s">
        <v>312</v>
      </c>
      <c r="L389" s="56">
        <f t="shared" si="26"/>
        <v>101879.02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180000</v>
      </c>
      <c r="H393" s="47">
        <f>SUM(H387:H392)</f>
        <v>2834.74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182834.74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180000</v>
      </c>
      <c r="H400" s="47">
        <f>H385+H393+H399</f>
        <v>4665.09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184665.09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>
        <v>22728.78</v>
      </c>
      <c r="L407" s="56">
        <f t="shared" si="27"/>
        <v>22728.78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22728.78</v>
      </c>
      <c r="L411" s="47">
        <f t="shared" si="28"/>
        <v>22728.78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22728.78</v>
      </c>
      <c r="L426" s="47">
        <f t="shared" si="32"/>
        <v>22728.78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f>378799.49+718.76</f>
        <v>379518.25</v>
      </c>
      <c r="G431" s="18">
        <f>323449.14+488263.26</f>
        <v>811712.4</v>
      </c>
      <c r="H431" s="18"/>
      <c r="I431" s="56">
        <f t="shared" ref="I431:I437" si="33">SUM(F431:H431)</f>
        <v>1191230.6499999999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379518.25</v>
      </c>
      <c r="G438" s="13">
        <f>SUM(G431:G437)</f>
        <v>811712.4</v>
      </c>
      <c r="H438" s="13">
        <f>SUM(H431:H437)</f>
        <v>0</v>
      </c>
      <c r="I438" s="13">
        <f>SUM(I431:I437)</f>
        <v>1191230.6499999999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379518.25</v>
      </c>
      <c r="G449" s="18">
        <v>811712.4</v>
      </c>
      <c r="H449" s="18"/>
      <c r="I449" s="56">
        <f>SUM(F449:H449)</f>
        <v>1191230.6499999999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379518.25</v>
      </c>
      <c r="G450" s="83">
        <f>SUM(G446:G449)</f>
        <v>811712.4</v>
      </c>
      <c r="H450" s="83">
        <f>SUM(H446:H449)</f>
        <v>0</v>
      </c>
      <c r="I450" s="83">
        <f>SUM(I446:I449)</f>
        <v>1191230.6499999999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379518.25</v>
      </c>
      <c r="G451" s="42">
        <f>G444+G450</f>
        <v>811712.4</v>
      </c>
      <c r="H451" s="42">
        <f>H444+H450</f>
        <v>0</v>
      </c>
      <c r="I451" s="42">
        <f>I444+I450</f>
        <v>1191230.6499999999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2116426.8199999998</v>
      </c>
      <c r="G455" s="18">
        <v>312919.42</v>
      </c>
      <c r="H455" s="18">
        <v>448587.83</v>
      </c>
      <c r="I455" s="18">
        <v>-209669.42</v>
      </c>
      <c r="J455" s="18">
        <v>1029294.34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44845736.960000001</v>
      </c>
      <c r="G458" s="18">
        <v>972500.65</v>
      </c>
      <c r="H458" s="18">
        <v>1496091.98</v>
      </c>
      <c r="I458" s="18">
        <v>185792.75</v>
      </c>
      <c r="J458" s="18">
        <v>184665.09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 t="s">
        <v>310</v>
      </c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44845736.960000001</v>
      </c>
      <c r="G460" s="53">
        <f>SUM(G458:G459)</f>
        <v>972500.65</v>
      </c>
      <c r="H460" s="53">
        <f>SUM(H458:H459)</f>
        <v>1496091.98</v>
      </c>
      <c r="I460" s="53">
        <f>SUM(I458:I459)</f>
        <v>185792.75</v>
      </c>
      <c r="J460" s="53">
        <f>SUM(J458:J459)</f>
        <v>184665.09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45881283.43</v>
      </c>
      <c r="G462" s="18">
        <v>910360.22</v>
      </c>
      <c r="H462" s="18">
        <v>1520834.07</v>
      </c>
      <c r="I462" s="18">
        <v>40.56</v>
      </c>
      <c r="J462" s="18">
        <v>22728.78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45881283.43</v>
      </c>
      <c r="G464" s="53">
        <f>SUM(G462:G463)</f>
        <v>910360.22</v>
      </c>
      <c r="H464" s="53">
        <f>SUM(H462:H463)</f>
        <v>1520834.07</v>
      </c>
      <c r="I464" s="53">
        <f>SUM(I462:I463)</f>
        <v>40.56</v>
      </c>
      <c r="J464" s="53">
        <f>SUM(J462:J463)</f>
        <v>22728.78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1080880.3500000015</v>
      </c>
      <c r="G466" s="53">
        <f>(G455+G460)- G464</f>
        <v>375059.85000000009</v>
      </c>
      <c r="H466" s="53">
        <f>(H455+H460)- H464</f>
        <v>423845.74</v>
      </c>
      <c r="I466" s="53">
        <f>(I455+I460)- I464</f>
        <v>-23917.230000000014</v>
      </c>
      <c r="J466" s="53">
        <f>(J455+J460)- J464</f>
        <v>1191230.6499999999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20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895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 t="s">
        <v>897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15600000</v>
      </c>
      <c r="G483" s="18">
        <v>42695000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5.46</v>
      </c>
      <c r="G484" s="18">
        <v>3.7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3404457.62</v>
      </c>
      <c r="G485" s="18">
        <v>27156023.309999999</v>
      </c>
      <c r="H485" s="18"/>
      <c r="I485" s="18"/>
      <c r="J485" s="18"/>
      <c r="K485" s="53">
        <f>SUM(F485:J485)</f>
        <v>30560480.93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579839.46</v>
      </c>
      <c r="G487" s="18">
        <v>2352702.34</v>
      </c>
      <c r="H487" s="18"/>
      <c r="I487" s="18"/>
      <c r="J487" s="18"/>
      <c r="K487" s="53">
        <f t="shared" si="34"/>
        <v>2932541.8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2824619.16</v>
      </c>
      <c r="G488" s="205">
        <v>24803320.969999999</v>
      </c>
      <c r="H488" s="205"/>
      <c r="I488" s="205"/>
      <c r="J488" s="205"/>
      <c r="K488" s="206">
        <f t="shared" si="34"/>
        <v>27627940.129999999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5012483.34</v>
      </c>
      <c r="G489" s="18">
        <v>19609561</v>
      </c>
      <c r="H489" s="18"/>
      <c r="I489" s="18"/>
      <c r="J489" s="18"/>
      <c r="K489" s="53">
        <f t="shared" si="34"/>
        <v>24622044.34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7837102.5</v>
      </c>
      <c r="G490" s="42">
        <f>SUM(G488:G489)</f>
        <v>44412881.969999999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52249984.469999999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545119.87</v>
      </c>
      <c r="G491" s="205">
        <v>2250437.79</v>
      </c>
      <c r="H491" s="205"/>
      <c r="I491" s="205"/>
      <c r="J491" s="205"/>
      <c r="K491" s="206">
        <f t="shared" si="34"/>
        <v>2795557.66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758282.63</v>
      </c>
      <c r="G492" s="18">
        <v>939153.21</v>
      </c>
      <c r="H492" s="18"/>
      <c r="I492" s="18"/>
      <c r="J492" s="18"/>
      <c r="K492" s="53">
        <f t="shared" si="34"/>
        <v>1697435.8399999999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1303402.5</v>
      </c>
      <c r="G493" s="42">
        <f>SUM(G491:G492)</f>
        <v>3189591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4492993.5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/>
      <c r="I511" s="18"/>
      <c r="J511" s="18"/>
      <c r="K511" s="18"/>
      <c r="L511" s="88">
        <f>SUM(F511:K511)</f>
        <v>0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1235302.83</v>
      </c>
      <c r="G512" s="18">
        <v>553195.25</v>
      </c>
      <c r="H512" s="18">
        <v>163939.21</v>
      </c>
      <c r="I512" s="18">
        <v>15888.9</v>
      </c>
      <c r="J512" s="18">
        <v>4870</v>
      </c>
      <c r="K512" s="18"/>
      <c r="L512" s="88">
        <f>SUM(F512:K512)</f>
        <v>1973196.19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1471098.08</v>
      </c>
      <c r="G513" s="18">
        <v>565930.74</v>
      </c>
      <c r="H513" s="18">
        <v>838183.68</v>
      </c>
      <c r="I513" s="18">
        <v>19560.95</v>
      </c>
      <c r="J513" s="18">
        <v>5029.95</v>
      </c>
      <c r="K513" s="18"/>
      <c r="L513" s="88">
        <f>SUM(F513:K513)</f>
        <v>2899803.4000000004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2706400.91</v>
      </c>
      <c r="G514" s="108">
        <f t="shared" ref="G514:L514" si="35">SUM(G511:G513)</f>
        <v>1119125.99</v>
      </c>
      <c r="H514" s="108">
        <f t="shared" si="35"/>
        <v>1002122.89</v>
      </c>
      <c r="I514" s="108">
        <f t="shared" si="35"/>
        <v>35449.85</v>
      </c>
      <c r="J514" s="108">
        <f t="shared" si="35"/>
        <v>9899.9500000000007</v>
      </c>
      <c r="K514" s="108">
        <f t="shared" si="35"/>
        <v>0</v>
      </c>
      <c r="L514" s="89">
        <f t="shared" si="35"/>
        <v>4872999.59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73199+5364.84+136824</f>
        <v>215387.84</v>
      </c>
      <c r="G517" s="18">
        <v>80279.210000000006</v>
      </c>
      <c r="H517" s="18">
        <f>1095+11315+1273</f>
        <v>13683</v>
      </c>
      <c r="I517" s="18"/>
      <c r="J517" s="18"/>
      <c r="K517" s="18"/>
      <c r="L517" s="88">
        <f>SUM(F517:K517)</f>
        <v>309350.05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75823.56+73199</f>
        <v>149022.56</v>
      </c>
      <c r="G518" s="18">
        <v>64004.56</v>
      </c>
      <c r="H518" s="18">
        <f>370+11315+12629.11</f>
        <v>24314.11</v>
      </c>
      <c r="I518" s="18"/>
      <c r="J518" s="18"/>
      <c r="K518" s="18"/>
      <c r="L518" s="88">
        <f>SUM(F518:K518)</f>
        <v>237341.22999999998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364410.4</v>
      </c>
      <c r="G519" s="89">
        <f t="shared" ref="G519:L519" si="36">SUM(G516:G518)</f>
        <v>144283.77000000002</v>
      </c>
      <c r="H519" s="89">
        <f t="shared" si="36"/>
        <v>37997.11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546691.28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69158.63</v>
      </c>
      <c r="G522" s="18">
        <v>10445.709999999999</v>
      </c>
      <c r="H522" s="18"/>
      <c r="I522" s="18"/>
      <c r="J522" s="18"/>
      <c r="K522" s="18"/>
      <c r="L522" s="88">
        <f>SUM(F522:K522)</f>
        <v>79604.34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69158.63</v>
      </c>
      <c r="G523" s="18">
        <v>10445.709999999999</v>
      </c>
      <c r="H523" s="18"/>
      <c r="I523" s="18"/>
      <c r="J523" s="18"/>
      <c r="K523" s="18"/>
      <c r="L523" s="88">
        <f>SUM(F523:K523)</f>
        <v>79604.34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138317.26</v>
      </c>
      <c r="G524" s="89">
        <f t="shared" ref="G524:L524" si="37">SUM(G521:G523)</f>
        <v>20891.419999999998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159208.68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125121.4</v>
      </c>
      <c r="I532" s="18"/>
      <c r="J532" s="18"/>
      <c r="K532" s="18"/>
      <c r="L532" s="88">
        <f>SUM(F532:K532)</f>
        <v>125121.4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243081.98</v>
      </c>
      <c r="I533" s="18"/>
      <c r="J533" s="18"/>
      <c r="K533" s="18"/>
      <c r="L533" s="88">
        <f>SUM(F533:K533)</f>
        <v>243081.98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368203.38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368203.38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3209128.5700000003</v>
      </c>
      <c r="G535" s="89">
        <f t="shared" ref="G535:L535" si="40">G514+G519+G524+G529+G534</f>
        <v>1284301.18</v>
      </c>
      <c r="H535" s="89">
        <f t="shared" si="40"/>
        <v>1408323.38</v>
      </c>
      <c r="I535" s="89">
        <f t="shared" si="40"/>
        <v>35449.85</v>
      </c>
      <c r="J535" s="89">
        <f t="shared" si="40"/>
        <v>9899.9500000000007</v>
      </c>
      <c r="K535" s="89">
        <f t="shared" si="40"/>
        <v>0</v>
      </c>
      <c r="L535" s="89">
        <f t="shared" si="40"/>
        <v>5947102.9299999997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0</v>
      </c>
      <c r="G539" s="87">
        <f>L516</f>
        <v>0</v>
      </c>
      <c r="H539" s="87">
        <f>L521</f>
        <v>0</v>
      </c>
      <c r="I539" s="87">
        <f>L526</f>
        <v>0</v>
      </c>
      <c r="J539" s="87">
        <f>L531</f>
        <v>0</v>
      </c>
      <c r="K539" s="87">
        <f>SUM(F539:J539)</f>
        <v>0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1973196.19</v>
      </c>
      <c r="G540" s="87">
        <f>L517</f>
        <v>309350.05</v>
      </c>
      <c r="H540" s="87">
        <f>L522</f>
        <v>79604.34</v>
      </c>
      <c r="I540" s="87">
        <f>L527</f>
        <v>0</v>
      </c>
      <c r="J540" s="87">
        <f>L532</f>
        <v>125121.4</v>
      </c>
      <c r="K540" s="87">
        <f>SUM(F540:J540)</f>
        <v>2487271.9799999995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2899803.4000000004</v>
      </c>
      <c r="G541" s="87">
        <f>L518</f>
        <v>237341.22999999998</v>
      </c>
      <c r="H541" s="87">
        <f>L523</f>
        <v>79604.34</v>
      </c>
      <c r="I541" s="87">
        <f>L528</f>
        <v>0</v>
      </c>
      <c r="J541" s="87">
        <f>L533</f>
        <v>243081.98</v>
      </c>
      <c r="K541" s="87">
        <f>SUM(F541:J541)</f>
        <v>3459830.95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4872999.59</v>
      </c>
      <c r="G542" s="89">
        <f t="shared" si="41"/>
        <v>546691.28</v>
      </c>
      <c r="H542" s="89">
        <f t="shared" si="41"/>
        <v>159208.68</v>
      </c>
      <c r="I542" s="89">
        <f t="shared" si="41"/>
        <v>0</v>
      </c>
      <c r="J542" s="89">
        <f t="shared" si="41"/>
        <v>368203.38</v>
      </c>
      <c r="K542" s="89">
        <f t="shared" si="41"/>
        <v>5947102.9299999997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>
        <v>1284.78</v>
      </c>
      <c r="H568" s="18">
        <v>1633.24</v>
      </c>
      <c r="I568" s="87">
        <f t="shared" si="46"/>
        <v>2918.02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>
        <v>872.04</v>
      </c>
      <c r="H569" s="18">
        <v>14141.86</v>
      </c>
      <c r="I569" s="87">
        <f t="shared" si="46"/>
        <v>15013.900000000001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>
        <v>116417.17</v>
      </c>
      <c r="H572" s="18">
        <v>775730.17</v>
      </c>
      <c r="I572" s="87">
        <f t="shared" si="46"/>
        <v>892147.34000000008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/>
      <c r="I581" s="18">
        <v>563447.35</v>
      </c>
      <c r="J581" s="18">
        <v>567287.03</v>
      </c>
      <c r="K581" s="104">
        <f t="shared" ref="K581:K587" si="47">SUM(H581:J581)</f>
        <v>1130734.3799999999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>
        <v>125121.4</v>
      </c>
      <c r="J582" s="18">
        <v>243081.98</v>
      </c>
      <c r="K582" s="104">
        <f t="shared" si="47"/>
        <v>368203.38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84579.98</v>
      </c>
      <c r="K583" s="104">
        <f t="shared" si="47"/>
        <v>84579.98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16780.43</v>
      </c>
      <c r="J584" s="18">
        <v>82487.149999999994</v>
      </c>
      <c r="K584" s="104">
        <f t="shared" si="47"/>
        <v>99267.579999999987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>
        <v>6467.18</v>
      </c>
      <c r="J587" s="18">
        <v>6467.18</v>
      </c>
      <c r="K587" s="104">
        <f t="shared" si="47"/>
        <v>12934.36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0</v>
      </c>
      <c r="I588" s="108">
        <f>SUM(I581:I587)</f>
        <v>711816.3600000001</v>
      </c>
      <c r="J588" s="108">
        <f>SUM(J581:J587)</f>
        <v>983903.32000000007</v>
      </c>
      <c r="K588" s="108">
        <f>SUM(K581:K587)</f>
        <v>1695719.68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>
        <v>18459.04</v>
      </c>
      <c r="J594" s="18">
        <f>24590.15+18974</f>
        <v>43564.15</v>
      </c>
      <c r="K594" s="104">
        <f>SUM(H594:J594)</f>
        <v>62023.19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18459.04</v>
      </c>
      <c r="J595" s="108">
        <f>SUM(J592:J594)</f>
        <v>43564.15</v>
      </c>
      <c r="K595" s="108">
        <f>SUM(K592:K594)</f>
        <v>62023.19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3144576.1599999997</v>
      </c>
      <c r="H607" s="109">
        <f>SUM(F44)</f>
        <v>3144576.16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625049.99</v>
      </c>
      <c r="H608" s="109">
        <f>SUM(G44)</f>
        <v>625049.99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563438.06999999995</v>
      </c>
      <c r="H609" s="109">
        <f>SUM(H44)</f>
        <v>563438.06999999995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1191230.6499999999</v>
      </c>
      <c r="H611" s="109">
        <f>SUM(J44)</f>
        <v>1191230.6499999999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1080880.3500000001</v>
      </c>
      <c r="H612" s="109">
        <f>F466</f>
        <v>1080880.3500000015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375059.85</v>
      </c>
      <c r="H613" s="109">
        <f>G466</f>
        <v>375059.85000000009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423845.74</v>
      </c>
      <c r="H614" s="109">
        <f>H466</f>
        <v>423845.74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-23917.23</v>
      </c>
      <c r="H615" s="109">
        <f>I466</f>
        <v>-23917.230000000014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1191230.6499999999</v>
      </c>
      <c r="H616" s="109">
        <f>J466</f>
        <v>1191230.6499999999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44845736.960000001</v>
      </c>
      <c r="H617" s="104">
        <f>SUM(F458)</f>
        <v>44845736.960000001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972500.65</v>
      </c>
      <c r="H618" s="104">
        <f>SUM(G458)</f>
        <v>972500.65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1496091.98</v>
      </c>
      <c r="H619" s="104">
        <f>SUM(H458)</f>
        <v>1496091.98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185792.75</v>
      </c>
      <c r="H620" s="104">
        <f>SUM(I458)</f>
        <v>185792.75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184665.09</v>
      </c>
      <c r="H621" s="104">
        <f>SUM(J458)</f>
        <v>184665.09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45881283.430000007</v>
      </c>
      <c r="H622" s="104">
        <f>SUM(F462)</f>
        <v>45881283.43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1520834.0699999998</v>
      </c>
      <c r="H623" s="104">
        <f>SUM(H462)</f>
        <v>1520834.07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414998.17000000004</v>
      </c>
      <c r="H624" s="104">
        <f>I361</f>
        <v>414998.17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910360.22</v>
      </c>
      <c r="H625" s="104">
        <f>SUM(G462)</f>
        <v>910360.22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40.56</v>
      </c>
      <c r="H626" s="104">
        <f>SUM(I462)</f>
        <v>40.56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184665.09</v>
      </c>
      <c r="H627" s="164">
        <f>SUM(J458)</f>
        <v>184665.09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22728.78</v>
      </c>
      <c r="H628" s="164">
        <f>SUM(J462)</f>
        <v>22728.78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379518.25</v>
      </c>
      <c r="H629" s="104">
        <f>SUM(F451)</f>
        <v>379518.25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811712.4</v>
      </c>
      <c r="H630" s="104">
        <f>SUM(G451)</f>
        <v>811712.4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1191230.6499999999</v>
      </c>
      <c r="H632" s="104">
        <f>SUM(I451)</f>
        <v>1191230.6499999999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4665.09</v>
      </c>
      <c r="H634" s="104">
        <f>H400</f>
        <v>4665.09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180000</v>
      </c>
      <c r="H635" s="104">
        <f>G400</f>
        <v>180000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184665.09</v>
      </c>
      <c r="H636" s="104">
        <f>L400</f>
        <v>184665.09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1695719.68</v>
      </c>
      <c r="H637" s="104">
        <f>L200+L218+L236</f>
        <v>1695719.6800000002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62023.19</v>
      </c>
      <c r="H638" s="104">
        <f>(J249+J330)-(J247+J328)</f>
        <v>62023.19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0</v>
      </c>
      <c r="H639" s="104">
        <f>H588</f>
        <v>0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711816.36</v>
      </c>
      <c r="H640" s="104">
        <f>I588</f>
        <v>711816.3600000001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983903.32000000007</v>
      </c>
      <c r="H641" s="104">
        <f>J588</f>
        <v>983903.32000000007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185792.75</v>
      </c>
      <c r="H644" s="104">
        <f>K257+K338</f>
        <v>185792.75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180000</v>
      </c>
      <c r="H645" s="104">
        <f>K258+K339</f>
        <v>180000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0</v>
      </c>
      <c r="G650" s="19">
        <f>(L221+L301+L351)</f>
        <v>16794004.949999999</v>
      </c>
      <c r="H650" s="19">
        <f>(L239+L320+L352)</f>
        <v>25297229.800000004</v>
      </c>
      <c r="I650" s="19">
        <f>SUM(F650:H650)</f>
        <v>42091234.75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311517.14759661531</v>
      </c>
      <c r="H651" s="19">
        <f>(L352/IF(SUM(L350:L352)=0,1,SUM(L350:L352))*(SUM(G89:G102)))</f>
        <v>490800.79240338464</v>
      </c>
      <c r="I651" s="19">
        <f>SUM(F651:H651)</f>
        <v>802317.94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0</v>
      </c>
      <c r="G652" s="19">
        <f>(L218+L298)-(J218+J298)</f>
        <v>711816.36</v>
      </c>
      <c r="H652" s="19">
        <f>(L236+L317)-(J236+J317)</f>
        <v>983903.32000000007</v>
      </c>
      <c r="I652" s="19">
        <f>SUM(F652:H652)</f>
        <v>1695719.6800000002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0</v>
      </c>
      <c r="G653" s="200">
        <f>SUM(G565:G577)+SUM(I592:I594)+L602</f>
        <v>137033.03</v>
      </c>
      <c r="H653" s="200">
        <f>SUM(H565:H577)+SUM(J592:J594)+L603</f>
        <v>835069.42</v>
      </c>
      <c r="I653" s="19">
        <f>SUM(F653:H653)</f>
        <v>972102.45000000007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0</v>
      </c>
      <c r="G654" s="19">
        <f>G650-SUM(G651:G653)</f>
        <v>15633638.412403384</v>
      </c>
      <c r="H654" s="19">
        <f>H650-SUM(H651:H653)</f>
        <v>22987456.267596621</v>
      </c>
      <c r="I654" s="19">
        <f>I650-SUM(I651:I653)</f>
        <v>38621094.68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>
        <v>1340.39</v>
      </c>
      <c r="H655" s="249">
        <v>1644.07</v>
      </c>
      <c r="I655" s="19">
        <f>SUM(F655:H655)</f>
        <v>2984.46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>
        <f>ROUND(G654/G655,2)</f>
        <v>11663.5</v>
      </c>
      <c r="H657" s="19">
        <f>ROUND(H654/H655,2)</f>
        <v>13982.04</v>
      </c>
      <c r="I657" s="19">
        <f>ROUND(I654/I655,2)</f>
        <v>12940.73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152.72999999999999</v>
      </c>
      <c r="I660" s="19">
        <f>SUM(F660:H660)</f>
        <v>152.72999999999999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>
        <f>ROUND((G654+G659)/(G655+G660),2)</f>
        <v>11663.5</v>
      </c>
      <c r="H662" s="19">
        <f>ROUND((H654+H659)/(H655+H660),2)</f>
        <v>12793.55</v>
      </c>
      <c r="I662" s="19">
        <f>ROUND((I654+I659)/(I655+I660),2)</f>
        <v>12310.73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E0141-6275-4F88-A337-5D39D819E639}">
  <sheetPr>
    <tabColor indexed="20"/>
  </sheetPr>
  <dimension ref="A1:C52"/>
  <sheetViews>
    <sheetView topLeftCell="A9" workbookViewId="0">
      <selection activeCell="C35" sqref="C3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Exeter Region SD</v>
      </c>
      <c r="C1" s="239" t="s">
        <v>870</v>
      </c>
    </row>
    <row r="2" spans="1:3" x14ac:dyDescent="0.2">
      <c r="A2" s="234"/>
      <c r="B2" s="233"/>
    </row>
    <row r="3" spans="1:3" x14ac:dyDescent="0.2">
      <c r="A3" s="271" t="s">
        <v>815</v>
      </c>
      <c r="B3" s="271"/>
      <c r="C3" s="271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814</v>
      </c>
      <c r="C6" s="272"/>
    </row>
    <row r="7" spans="1:3" x14ac:dyDescent="0.2">
      <c r="A7" s="240" t="s">
        <v>817</v>
      </c>
      <c r="B7" s="273" t="s">
        <v>813</v>
      </c>
      <c r="C7" s="274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12787808.07</v>
      </c>
      <c r="C9" s="230">
        <f>'DOE25'!G189+'DOE25'!G207+'DOE25'!G225+'DOE25'!G268+'DOE25'!G287+'DOE25'!G306</f>
        <v>5185973.58</v>
      </c>
    </row>
    <row r="10" spans="1:3" x14ac:dyDescent="0.2">
      <c r="A10" t="s">
        <v>810</v>
      </c>
      <c r="B10" s="241">
        <v>11664110.4</v>
      </c>
      <c r="C10" s="241">
        <v>4730314.18</v>
      </c>
    </row>
    <row r="11" spans="1:3" x14ac:dyDescent="0.2">
      <c r="A11" t="s">
        <v>811</v>
      </c>
      <c r="B11" s="241">
        <v>543829.81999999995</v>
      </c>
      <c r="C11" s="241">
        <v>220522.99</v>
      </c>
    </row>
    <row r="12" spans="1:3" x14ac:dyDescent="0.2">
      <c r="A12" t="s">
        <v>812</v>
      </c>
      <c r="B12" s="241">
        <v>579867.85</v>
      </c>
      <c r="C12" s="241">
        <v>235136.41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12787808.07</v>
      </c>
      <c r="C13" s="232">
        <f>SUM(C10:C12)</f>
        <v>5185973.58</v>
      </c>
    </row>
    <row r="14" spans="1:3" x14ac:dyDescent="0.2">
      <c r="B14" s="231"/>
      <c r="C14" s="231"/>
    </row>
    <row r="15" spans="1:3" x14ac:dyDescent="0.2">
      <c r="B15" s="272" t="s">
        <v>814</v>
      </c>
      <c r="C15" s="272"/>
    </row>
    <row r="16" spans="1:3" x14ac:dyDescent="0.2">
      <c r="A16" s="240" t="s">
        <v>818</v>
      </c>
      <c r="B16" s="273" t="s">
        <v>738</v>
      </c>
      <c r="C16" s="274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2706400.91</v>
      </c>
      <c r="C18" s="230">
        <f>'DOE25'!G190+'DOE25'!G208+'DOE25'!G226+'DOE25'!G269+'DOE25'!G288+'DOE25'!G307</f>
        <v>1119125.99</v>
      </c>
    </row>
    <row r="19" spans="1:3" x14ac:dyDescent="0.2">
      <c r="A19" t="s">
        <v>810</v>
      </c>
      <c r="B19" s="241">
        <v>1513600.06</v>
      </c>
      <c r="C19" s="241">
        <v>625902.85</v>
      </c>
    </row>
    <row r="20" spans="1:3" x14ac:dyDescent="0.2">
      <c r="A20" t="s">
        <v>811</v>
      </c>
      <c r="B20" s="241">
        <v>1023825.85</v>
      </c>
      <c r="C20" s="241">
        <v>423351.98</v>
      </c>
    </row>
    <row r="21" spans="1:3" x14ac:dyDescent="0.2">
      <c r="A21" t="s">
        <v>812</v>
      </c>
      <c r="B21" s="241">
        <v>168975</v>
      </c>
      <c r="C21" s="241">
        <v>69871.16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2706400.91</v>
      </c>
      <c r="C22" s="232">
        <f>SUM(C19:C21)</f>
        <v>1119125.99</v>
      </c>
    </row>
    <row r="23" spans="1:3" x14ac:dyDescent="0.2">
      <c r="B23" s="231"/>
      <c r="C23" s="231"/>
    </row>
    <row r="24" spans="1:3" x14ac:dyDescent="0.2">
      <c r="B24" s="272" t="s">
        <v>814</v>
      </c>
      <c r="C24" s="272"/>
    </row>
    <row r="25" spans="1:3" x14ac:dyDescent="0.2">
      <c r="A25" s="240" t="s">
        <v>819</v>
      </c>
      <c r="B25" s="273" t="s">
        <v>739</v>
      </c>
      <c r="C25" s="274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1504819.44</v>
      </c>
      <c r="C27" s="235">
        <f>'DOE25'!G191+'DOE25'!G209+'DOE25'!G227+'DOE25'!G270+'DOE25'!G289+'DOE25'!G308</f>
        <v>526937.40999999992</v>
      </c>
    </row>
    <row r="28" spans="1:3" x14ac:dyDescent="0.2">
      <c r="A28" t="s">
        <v>810</v>
      </c>
      <c r="B28" s="241">
        <v>1039827.91</v>
      </c>
      <c r="C28" s="241">
        <v>364360.59</v>
      </c>
    </row>
    <row r="29" spans="1:3" x14ac:dyDescent="0.2">
      <c r="A29" t="s">
        <v>811</v>
      </c>
      <c r="B29" s="241">
        <v>117282.49</v>
      </c>
      <c r="C29" s="241">
        <v>41060.6</v>
      </c>
    </row>
    <row r="30" spans="1:3" x14ac:dyDescent="0.2">
      <c r="A30" t="s">
        <v>812</v>
      </c>
      <c r="B30" s="241">
        <v>347709.04</v>
      </c>
      <c r="C30" s="241">
        <v>121516.22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1504819.4400000002</v>
      </c>
      <c r="C31" s="232">
        <f>SUM(C28:C30)</f>
        <v>526937.41</v>
      </c>
    </row>
    <row r="33" spans="1:3" x14ac:dyDescent="0.2">
      <c r="B33" s="272" t="s">
        <v>814</v>
      </c>
      <c r="C33" s="272"/>
    </row>
    <row r="34" spans="1:3" x14ac:dyDescent="0.2">
      <c r="A34" s="240" t="s">
        <v>820</v>
      </c>
      <c r="B34" s="273" t="s">
        <v>740</v>
      </c>
      <c r="C34" s="274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508184.83999999997</v>
      </c>
      <c r="C36" s="236">
        <f>'DOE25'!G192+'DOE25'!G210+'DOE25'!G228+'DOE25'!G271+'DOE25'!G290+'DOE25'!G309</f>
        <v>205142.5</v>
      </c>
    </row>
    <row r="37" spans="1:3" x14ac:dyDescent="0.2">
      <c r="A37" t="s">
        <v>810</v>
      </c>
      <c r="B37" s="241">
        <v>422238.84</v>
      </c>
      <c r="C37" s="241">
        <v>170453.84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85946</v>
      </c>
      <c r="C39" s="241">
        <v>34688.660000000003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508184.84</v>
      </c>
      <c r="C40" s="232">
        <f>SUM(C37:C39)</f>
        <v>205142.5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15B0-9535-4E40-A74D-029080871926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Exeter Region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26705185.880000003</v>
      </c>
      <c r="D5" s="20">
        <f>SUM('DOE25'!L189:L192)+SUM('DOE25'!L207:L210)+SUM('DOE25'!L225:L228)-F5-G5</f>
        <v>26648065.98</v>
      </c>
      <c r="E5" s="244"/>
      <c r="F5" s="256">
        <f>SUM('DOE25'!J189:J192)+SUM('DOE25'!J207:J210)+SUM('DOE25'!J225:J228)</f>
        <v>31085.26</v>
      </c>
      <c r="G5" s="53">
        <f>SUM('DOE25'!K189:K192)+SUM('DOE25'!K207:K210)+SUM('DOE25'!K225:K228)</f>
        <v>26034.639999999999</v>
      </c>
      <c r="H5" s="260"/>
    </row>
    <row r="6" spans="1:9" x14ac:dyDescent="0.2">
      <c r="A6" s="32">
        <v>2100</v>
      </c>
      <c r="B6" t="s">
        <v>832</v>
      </c>
      <c r="C6" s="246">
        <f t="shared" si="0"/>
        <v>2613306.66</v>
      </c>
      <c r="D6" s="20">
        <f>'DOE25'!L194+'DOE25'!L212+'DOE25'!L230-F6-G6</f>
        <v>2613306.66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473131.65</v>
      </c>
      <c r="D7" s="20">
        <f>'DOE25'!L195+'DOE25'!L213+'DOE25'!L231-F7-G7</f>
        <v>473131.65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1078325.2</v>
      </c>
      <c r="D8" s="244"/>
      <c r="E8" s="20">
        <f>'DOE25'!L196+'DOE25'!L214+'DOE25'!L232-F8-G8-D9-D11</f>
        <v>1078325.2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849</v>
      </c>
      <c r="C9" s="246">
        <f t="shared" si="0"/>
        <v>65444.05</v>
      </c>
      <c r="D9" s="245">
        <v>65444.05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25783.5</v>
      </c>
      <c r="D10" s="244"/>
      <c r="E10" s="245">
        <f>9783.5+16000</f>
        <v>25783.5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144566.20000000001</v>
      </c>
      <c r="D11" s="245">
        <v>144566.20000000001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2487266.9800000004</v>
      </c>
      <c r="D12" s="20">
        <f>'DOE25'!L197+'DOE25'!L215+'DOE25'!L233-F12-G12</f>
        <v>2461479.8100000005</v>
      </c>
      <c r="E12" s="244"/>
      <c r="F12" s="256">
        <f>'DOE25'!J197+'DOE25'!J215+'DOE25'!J233</f>
        <v>7205.83</v>
      </c>
      <c r="G12" s="53">
        <f>'DOE25'!K197+'DOE25'!K215+'DOE25'!K233</f>
        <v>18581.34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0.01</v>
      </c>
      <c r="D13" s="244"/>
      <c r="E13" s="20">
        <f>'DOE25'!L198+'DOE25'!L216+'DOE25'!L234-F13-G13</f>
        <v>0.01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5134242.7700000014</v>
      </c>
      <c r="D14" s="20">
        <f>'DOE25'!L199+'DOE25'!L217+'DOE25'!L235-F14-G14</f>
        <v>5129484.6700000018</v>
      </c>
      <c r="E14" s="244"/>
      <c r="F14" s="256">
        <f>'DOE25'!J199+'DOE25'!J217+'DOE25'!J235</f>
        <v>4758.1000000000004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1695719.6800000002</v>
      </c>
      <c r="D15" s="20">
        <f>'DOE25'!L200+'DOE25'!L218+'DOE25'!L236-F15-G15</f>
        <v>1695719.6800000002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128304.09999999999</v>
      </c>
      <c r="D17" s="20">
        <f>'DOE25'!L243-F17-G17</f>
        <v>128304.09999999999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4558702.5</v>
      </c>
      <c r="D25" s="244"/>
      <c r="E25" s="244"/>
      <c r="F25" s="259"/>
      <c r="G25" s="257"/>
      <c r="H25" s="258">
        <f>'DOE25'!L252+'DOE25'!L253+'DOE25'!L333+'DOE25'!L334</f>
        <v>4558702.5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524321.26</v>
      </c>
      <c r="D29" s="20">
        <f>'DOE25'!L350+'DOE25'!L351+'DOE25'!L352-'DOE25'!I359-F29-G29</f>
        <v>493268.74000000005</v>
      </c>
      <c r="E29" s="244"/>
      <c r="F29" s="256">
        <f>'DOE25'!J350+'DOE25'!J351+'DOE25'!J352</f>
        <v>23206.35</v>
      </c>
      <c r="G29" s="53">
        <f>'DOE25'!K350+'DOE25'!K351+'DOE25'!K352</f>
        <v>7846.17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1520834.07</v>
      </c>
      <c r="D31" s="20">
        <f>'DOE25'!L282+'DOE25'!L301+'DOE25'!L320+'DOE25'!L325+'DOE25'!L326+'DOE25'!L327-F31-G31</f>
        <v>582350.32000000007</v>
      </c>
      <c r="E31" s="244"/>
      <c r="F31" s="256">
        <f>'DOE25'!J282+'DOE25'!J301+'DOE25'!J320+'DOE25'!J325+'DOE25'!J326+'DOE25'!J327</f>
        <v>18974</v>
      </c>
      <c r="G31" s="53">
        <f>'DOE25'!K282+'DOE25'!K301+'DOE25'!K320+'DOE25'!K325+'DOE25'!K326+'DOE25'!K327</f>
        <v>919509.75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40435121.860000007</v>
      </c>
      <c r="E33" s="247">
        <f>SUM(E5:E31)</f>
        <v>1104108.71</v>
      </c>
      <c r="F33" s="247">
        <f>SUM(F5:F31)</f>
        <v>85229.54</v>
      </c>
      <c r="G33" s="247">
        <f>SUM(G5:G31)</f>
        <v>971971.9</v>
      </c>
      <c r="H33" s="247">
        <f>SUM(H5:H31)</f>
        <v>4558702.5</v>
      </c>
    </row>
    <row r="35" spans="2:8" ht="12" thickBot="1" x14ac:dyDescent="0.25">
      <c r="B35" s="254" t="s">
        <v>878</v>
      </c>
      <c r="D35" s="255">
        <f>E33</f>
        <v>1104108.71</v>
      </c>
      <c r="E35" s="250"/>
    </row>
    <row r="36" spans="2:8" ht="12" thickTop="1" x14ac:dyDescent="0.2">
      <c r="B36" t="s">
        <v>846</v>
      </c>
      <c r="D36" s="20">
        <f>D33</f>
        <v>40435121.860000007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77A0-F182-4FEC-A419-AE28B042288E}">
  <sheetPr transitionEvaluation="1" codeName="Sheet2">
    <tabColor indexed="10"/>
  </sheetPr>
  <dimension ref="A1:I156"/>
  <sheetViews>
    <sheetView zoomScale="75" workbookViewId="0">
      <pane ySplit="2" topLeftCell="A39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Exeter Region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864274.2</v>
      </c>
      <c r="D9" s="95" t="str">
        <f>'DOE25'!G9</f>
        <v xml:space="preserve"> </v>
      </c>
      <c r="E9" s="95">
        <f>'DOE25'!H9</f>
        <v>260869.4</v>
      </c>
      <c r="F9" s="95">
        <f>'DOE25'!I9</f>
        <v>0</v>
      </c>
      <c r="G9" s="95">
        <f>'DOE25'!J9</f>
        <v>1191230.6499999999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164557.23000000001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75011.64</v>
      </c>
      <c r="D12" s="95">
        <f>'DOE25'!G12</f>
        <v>283691.62</v>
      </c>
      <c r="E12" s="95">
        <f>'DOE25'!H12</f>
        <v>179205.35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74244.13</v>
      </c>
      <c r="D13" s="95">
        <f>'DOE25'!G13</f>
        <v>241756.09</v>
      </c>
      <c r="E13" s="95">
        <f>'DOE25'!H13</f>
        <v>118972.86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1951944.33</v>
      </c>
      <c r="D14" s="95">
        <f>'DOE25'!G14</f>
        <v>99602.28</v>
      </c>
      <c r="E14" s="95">
        <f>'DOE25'!H14</f>
        <v>4390.46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14544.63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3144576.1599999997</v>
      </c>
      <c r="D19" s="41">
        <f>SUM(D9:D18)</f>
        <v>625049.99</v>
      </c>
      <c r="E19" s="41">
        <f>SUM(E9:E18)</f>
        <v>563438.06999999995</v>
      </c>
      <c r="F19" s="41">
        <f>SUM(F9:F18)</f>
        <v>0</v>
      </c>
      <c r="G19" s="41">
        <f>SUM(G9:G18)</f>
        <v>1191230.6499999999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420509.67</v>
      </c>
      <c r="D22" s="95">
        <f>'DOE25'!G23</f>
        <v>0</v>
      </c>
      <c r="E22" s="95">
        <f>'DOE25'!H23</f>
        <v>116837.19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536445.66</v>
      </c>
      <c r="D23" s="95">
        <f>'DOE25'!G24</f>
        <v>241756.09</v>
      </c>
      <c r="E23" s="95">
        <f>'DOE25'!H24</f>
        <v>9426.3799999999992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908032.07</v>
      </c>
      <c r="D24" s="95">
        <f>'DOE25'!G25</f>
        <v>140.59</v>
      </c>
      <c r="E24" s="95">
        <f>'DOE25'!H25</f>
        <v>8272.4</v>
      </c>
      <c r="F24" s="95">
        <f>'DOE25'!I25</f>
        <v>23917.23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197808.41</v>
      </c>
      <c r="D28" s="95">
        <f>'DOE25'!G29</f>
        <v>8093.46</v>
      </c>
      <c r="E28" s="95">
        <f>'DOE25'!H29</f>
        <v>2456.36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900</v>
      </c>
      <c r="D30" s="95">
        <f>'DOE25'!G31</f>
        <v>0</v>
      </c>
      <c r="E30" s="95">
        <f>'DOE25'!H31</f>
        <v>2600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2063695.8099999998</v>
      </c>
      <c r="D32" s="41">
        <f>SUM(D22:D31)</f>
        <v>249990.13999999998</v>
      </c>
      <c r="E32" s="41">
        <f>SUM(E22:E31)</f>
        <v>139592.32999999999</v>
      </c>
      <c r="F32" s="41">
        <f>SUM(F22:F31)</f>
        <v>23917.23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 t="str">
        <f>'DOE25'!F37</f>
        <v xml:space="preserve"> 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 t="str">
        <f>'DOE25'!F41</f>
        <v xml:space="preserve"> </v>
      </c>
      <c r="D40" s="95">
        <f>'DOE25'!G41</f>
        <v>375059.85</v>
      </c>
      <c r="E40" s="95">
        <f>'DOE25'!H41</f>
        <v>423845.74</v>
      </c>
      <c r="F40" s="95">
        <f>'DOE25'!I41</f>
        <v>-23917.23</v>
      </c>
      <c r="G40" s="95">
        <f>'DOE25'!J41</f>
        <v>1191230.6499999999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1080880.3500000001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1080880.3500000001</v>
      </c>
      <c r="D42" s="41">
        <f>SUM(D34:D41)</f>
        <v>375059.85</v>
      </c>
      <c r="E42" s="41">
        <f>SUM(E34:E41)</f>
        <v>423845.74</v>
      </c>
      <c r="F42" s="41">
        <f>SUM(F34:F41)</f>
        <v>-23917.23</v>
      </c>
      <c r="G42" s="41">
        <f>SUM(G34:G41)</f>
        <v>1191230.6499999999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3144576.16</v>
      </c>
      <c r="D43" s="41">
        <f>D42+D32</f>
        <v>625049.99</v>
      </c>
      <c r="E43" s="41">
        <f>E42+E32</f>
        <v>563438.06999999995</v>
      </c>
      <c r="F43" s="41">
        <f>F42+F32</f>
        <v>0</v>
      </c>
      <c r="G43" s="41">
        <f>G42+G32</f>
        <v>1191230.6499999999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29471046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1151522.79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118888.76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10177.049999999999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4665.09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742569.82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457342.58999999997</v>
      </c>
      <c r="D53" s="95">
        <f>SUM('DOE25'!G90:G102)</f>
        <v>59748.12</v>
      </c>
      <c r="E53" s="95">
        <f>SUM('DOE25'!H90:H102)</f>
        <v>985707.1100000001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1619042.4300000002</v>
      </c>
      <c r="D54" s="130">
        <f>SUM(D49:D53)</f>
        <v>802317.94</v>
      </c>
      <c r="E54" s="130">
        <f>SUM(E49:E53)</f>
        <v>1104595.8700000001</v>
      </c>
      <c r="F54" s="130">
        <f>SUM(F49:F53)</f>
        <v>0</v>
      </c>
      <c r="G54" s="130">
        <f>SUM(G49:G53)</f>
        <v>4665.09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31090088.43</v>
      </c>
      <c r="D55" s="22">
        <f>D48+D54</f>
        <v>802317.94</v>
      </c>
      <c r="E55" s="22">
        <f>E48+E54</f>
        <v>1104595.8700000001</v>
      </c>
      <c r="F55" s="22">
        <f>F48+F54</f>
        <v>0</v>
      </c>
      <c r="G55" s="22">
        <f>G48+G54</f>
        <v>4665.09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4495528.45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5257163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163051.54999999999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9915743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2135132.54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193199.08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1179622.5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19200</v>
      </c>
      <c r="D69" s="95">
        <f>SUM('DOE25'!G123:G127)</f>
        <v>8522.02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3527154.12</v>
      </c>
      <c r="D70" s="130">
        <f>SUM(D64:D69)</f>
        <v>8522.02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13442897.120000001</v>
      </c>
      <c r="D73" s="130">
        <f>SUM(D71:D72)+D70+D62</f>
        <v>8522.02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80032.08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209990.55</v>
      </c>
      <c r="D80" s="95">
        <f>SUM('DOE25'!G145:G153)</f>
        <v>161620.13</v>
      </c>
      <c r="E80" s="95">
        <f>SUM('DOE25'!H145:H153)</f>
        <v>391496.11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290022.63</v>
      </c>
      <c r="D83" s="131">
        <f>SUM(D77:D82)</f>
        <v>161620.13</v>
      </c>
      <c r="E83" s="131">
        <f>SUM(E77:E82)</f>
        <v>391496.11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185792.75</v>
      </c>
      <c r="G88" s="95">
        <f>'DOE25'!J171</f>
        <v>180000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40.56</v>
      </c>
      <c r="E90" s="95" t="str">
        <f>'DOE25'!H174</f>
        <v xml:space="preserve"> 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22728.78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22728.78</v>
      </c>
      <c r="D95" s="86">
        <f>SUM(D85:D94)</f>
        <v>40.56</v>
      </c>
      <c r="E95" s="86">
        <f>SUM(E85:E94)</f>
        <v>0</v>
      </c>
      <c r="F95" s="86">
        <f>SUM(F85:F94)</f>
        <v>185792.75</v>
      </c>
      <c r="G95" s="86">
        <f>SUM(G85:G94)</f>
        <v>180000</v>
      </c>
    </row>
    <row r="96" spans="1:7" ht="12.75" thickTop="1" thickBot="1" x14ac:dyDescent="0.25">
      <c r="A96" s="33" t="s">
        <v>796</v>
      </c>
      <c r="C96" s="86">
        <f>C55+C73+C83+C95</f>
        <v>44845736.960000001</v>
      </c>
      <c r="D96" s="86">
        <f>D55+D73+D83+D95</f>
        <v>972500.65</v>
      </c>
      <c r="E96" s="86">
        <f>E55+E73+E83+E95</f>
        <v>1496091.98</v>
      </c>
      <c r="F96" s="86">
        <f>F55+F73+F83+F95</f>
        <v>185792.75</v>
      </c>
      <c r="G96" s="86">
        <f>G55+G73+G95</f>
        <v>184665.09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18699732.300000001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4872999.59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2195459.6799999997</v>
      </c>
      <c r="D103" s="24" t="s">
        <v>312</v>
      </c>
      <c r="E103" s="95">
        <f>('DOE25'!L270)+('DOE25'!L289)+('DOE25'!L308)</f>
        <v>105876.62000000001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936994.31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128304.09999999999</v>
      </c>
      <c r="D106" s="24" t="s">
        <v>312</v>
      </c>
      <c r="E106" s="95">
        <f>+ SUM('DOE25'!L325:L327)</f>
        <v>737148.62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26833489.98</v>
      </c>
      <c r="D107" s="86">
        <f>SUM(D101:D106)</f>
        <v>0</v>
      </c>
      <c r="E107" s="86">
        <f>SUM(E101:E106)</f>
        <v>843025.24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2613306.66</v>
      </c>
      <c r="D110" s="24" t="s">
        <v>312</v>
      </c>
      <c r="E110" s="95">
        <f>+('DOE25'!L273)+('DOE25'!L292)+('DOE25'!L311)</f>
        <v>677808.83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473131.65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1288335.45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2487266.9800000004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0.01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5134242.7700000014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1695719.6800000002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910360.22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13692003.200000001</v>
      </c>
      <c r="D120" s="86">
        <f>SUM(D110:D119)</f>
        <v>910360.22</v>
      </c>
      <c r="E120" s="86">
        <f>SUM(E110:E119)</f>
        <v>677808.83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2932540.8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1626161.7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40.56</v>
      </c>
      <c r="G126" s="95">
        <f>'DOE25'!K426</f>
        <v>22728.78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185792.75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1830.3500000000001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182834.74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-4665.0899999999965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431295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5355790.25</v>
      </c>
      <c r="D136" s="141">
        <f>SUM(D122:D135)</f>
        <v>0</v>
      </c>
      <c r="E136" s="141">
        <f>SUM(E122:E135)</f>
        <v>0</v>
      </c>
      <c r="F136" s="141">
        <f>SUM(F122:F135)</f>
        <v>40.56</v>
      </c>
      <c r="G136" s="141">
        <f>SUM(G122:G135)</f>
        <v>22728.78</v>
      </c>
    </row>
    <row r="137" spans="1:9" ht="12.75" thickTop="1" thickBot="1" x14ac:dyDescent="0.25">
      <c r="A137" s="33" t="s">
        <v>267</v>
      </c>
      <c r="C137" s="86">
        <f>(C107+C120+C136)</f>
        <v>45881283.43</v>
      </c>
      <c r="D137" s="86">
        <f>(D107+D120+D136)</f>
        <v>910360.22</v>
      </c>
      <c r="E137" s="86">
        <f>(E107+E120+E136)</f>
        <v>1520834.0699999998</v>
      </c>
      <c r="F137" s="86">
        <f>(F107+F120+F136)</f>
        <v>40.56</v>
      </c>
      <c r="G137" s="86">
        <f>(G107+G120+G136)</f>
        <v>22728.78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20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01/97</v>
      </c>
      <c r="C144" s="152" t="str">
        <f>'DOE25'!G481</f>
        <v>08/03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01/17</v>
      </c>
      <c r="C145" s="152" t="str">
        <f>'DOE25'!G482</f>
        <v>08/23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15600000</v>
      </c>
      <c r="C146" s="137">
        <f>'DOE25'!G483</f>
        <v>42695000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5.46</v>
      </c>
      <c r="C147" s="137">
        <f>'DOE25'!G484</f>
        <v>3.7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3404457.62</v>
      </c>
      <c r="C148" s="137">
        <f>'DOE25'!G485</f>
        <v>27156023.309999999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30560480.93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579839.46</v>
      </c>
      <c r="C150" s="137">
        <f>'DOE25'!G487</f>
        <v>2352702.34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2932541.8</v>
      </c>
    </row>
    <row r="151" spans="1:7" x14ac:dyDescent="0.2">
      <c r="A151" s="22" t="s">
        <v>35</v>
      </c>
      <c r="B151" s="137">
        <f>'DOE25'!F488</f>
        <v>2824619.16</v>
      </c>
      <c r="C151" s="137">
        <f>'DOE25'!G488</f>
        <v>24803320.969999999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27627940.129999999</v>
      </c>
    </row>
    <row r="152" spans="1:7" x14ac:dyDescent="0.2">
      <c r="A152" s="22" t="s">
        <v>36</v>
      </c>
      <c r="B152" s="137">
        <f>'DOE25'!F489</f>
        <v>5012483.34</v>
      </c>
      <c r="C152" s="137">
        <f>'DOE25'!G489</f>
        <v>19609561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24622044.34</v>
      </c>
    </row>
    <row r="153" spans="1:7" x14ac:dyDescent="0.2">
      <c r="A153" s="22" t="s">
        <v>37</v>
      </c>
      <c r="B153" s="137">
        <f>'DOE25'!F490</f>
        <v>7837102.5</v>
      </c>
      <c r="C153" s="137">
        <f>'DOE25'!G490</f>
        <v>44412881.969999999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52249984.469999999</v>
      </c>
    </row>
    <row r="154" spans="1:7" x14ac:dyDescent="0.2">
      <c r="A154" s="22" t="s">
        <v>38</v>
      </c>
      <c r="B154" s="137">
        <f>'DOE25'!F491</f>
        <v>545119.87</v>
      </c>
      <c r="C154" s="137">
        <f>'DOE25'!G491</f>
        <v>2250437.79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2795557.66</v>
      </c>
    </row>
    <row r="155" spans="1:7" x14ac:dyDescent="0.2">
      <c r="A155" s="22" t="s">
        <v>39</v>
      </c>
      <c r="B155" s="137">
        <f>'DOE25'!F492</f>
        <v>758282.63</v>
      </c>
      <c r="C155" s="137">
        <f>'DOE25'!G492</f>
        <v>939153.21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1697435.8399999999</v>
      </c>
    </row>
    <row r="156" spans="1:7" x14ac:dyDescent="0.2">
      <c r="A156" s="22" t="s">
        <v>269</v>
      </c>
      <c r="B156" s="137">
        <f>'DOE25'!F493</f>
        <v>1303402.5</v>
      </c>
      <c r="C156" s="137">
        <f>'DOE25'!G493</f>
        <v>3189591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4492993.5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2AEAE-670D-4440-BB87-1667F248B667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Exeter Region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11664</v>
      </c>
    </row>
    <row r="6" spans="1:4" x14ac:dyDescent="0.2">
      <c r="B6" t="s">
        <v>62</v>
      </c>
      <c r="C6" s="179">
        <f>IF('DOE25'!H655+'DOE25'!H660=0,0,ROUND('DOE25'!H662,0))</f>
        <v>12794</v>
      </c>
    </row>
    <row r="7" spans="1:4" x14ac:dyDescent="0.2">
      <c r="B7" t="s">
        <v>736</v>
      </c>
      <c r="C7" s="179">
        <f>IF('DOE25'!I655+'DOE25'!I660=0,0,ROUND('DOE25'!I662,0))</f>
        <v>12311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18699732</v>
      </c>
      <c r="D10" s="182">
        <f>ROUND((C10/$C$28)*100,1)</f>
        <v>42.3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4873000</v>
      </c>
      <c r="D11" s="182">
        <f>ROUND((C11/$C$28)*100,1)</f>
        <v>11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2301336</v>
      </c>
      <c r="D12" s="182">
        <f>ROUND((C12/$C$28)*100,1)</f>
        <v>5.2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936994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3291115</v>
      </c>
      <c r="D15" s="182">
        <f t="shared" ref="D15:D27" si="0">ROUND((C15/$C$28)*100,1)</f>
        <v>7.4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473132</v>
      </c>
      <c r="D16" s="182">
        <f t="shared" si="0"/>
        <v>1.1000000000000001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1288335</v>
      </c>
      <c r="D17" s="182">
        <f t="shared" si="0"/>
        <v>2.9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2487267</v>
      </c>
      <c r="D18" s="182">
        <f t="shared" si="0"/>
        <v>5.6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5134243</v>
      </c>
      <c r="D20" s="182">
        <f t="shared" si="0"/>
        <v>11.6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1695720</v>
      </c>
      <c r="D21" s="182">
        <f t="shared" si="0"/>
        <v>3.8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865453</v>
      </c>
      <c r="D24" s="182">
        <f t="shared" si="0"/>
        <v>2</v>
      </c>
    </row>
    <row r="25" spans="1:4" x14ac:dyDescent="0.2">
      <c r="A25">
        <v>5120</v>
      </c>
      <c r="B25" t="s">
        <v>751</v>
      </c>
      <c r="C25" s="179">
        <f>ROUND('DOE25'!L253+'DOE25'!L334,0)</f>
        <v>1626162</v>
      </c>
      <c r="D25" s="182">
        <f t="shared" si="0"/>
        <v>3.7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431295</v>
      </c>
      <c r="D26" s="182">
        <f t="shared" si="0"/>
        <v>1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108042.06000000006</v>
      </c>
      <c r="D27" s="182">
        <f t="shared" si="0"/>
        <v>0.2</v>
      </c>
    </row>
    <row r="28" spans="1:4" x14ac:dyDescent="0.2">
      <c r="B28" s="187" t="s">
        <v>754</v>
      </c>
      <c r="C28" s="180">
        <f>SUM(C10:C27)</f>
        <v>44211826.060000002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44211826.060000002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2932541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29471046</v>
      </c>
      <c r="D35" s="182">
        <f t="shared" ref="D35:D40" si="1">ROUND((C35/$C$41)*100,1)</f>
        <v>63.4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2728303.3900000006</v>
      </c>
      <c r="D36" s="182">
        <f t="shared" si="1"/>
        <v>5.9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9915743</v>
      </c>
      <c r="D37" s="182">
        <f t="shared" si="1"/>
        <v>21.3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3535676</v>
      </c>
      <c r="D38" s="182">
        <f t="shared" si="1"/>
        <v>7.6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843139</v>
      </c>
      <c r="D39" s="182">
        <f t="shared" si="1"/>
        <v>1.8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46493907.390000001</v>
      </c>
      <c r="D41" s="184">
        <f>SUM(D35:D40)</f>
        <v>99.999999999999986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F3D01-94B0-496D-B7AB-A1D2764BA0F1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Exeter Region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2011-10-20T18:48:15Z</cp:lastPrinted>
  <dcterms:created xsi:type="dcterms:W3CDTF">1997-12-04T19:04:30Z</dcterms:created>
  <dcterms:modified xsi:type="dcterms:W3CDTF">2025-01-09T20:40:29Z</dcterms:modified>
</cp:coreProperties>
</file>