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4666B749-42F0-4F7F-BFF2-1FC30C5D1CD5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AC727A9D-4022-436C-AAE5-B14A5F0B1E4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6" i="1" l="1"/>
  <c r="H190" i="1"/>
  <c r="L190" i="1" s="1"/>
  <c r="G511" i="1"/>
  <c r="F511" i="1"/>
  <c r="G518" i="1"/>
  <c r="G516" i="1"/>
  <c r="L516" i="1" s="1"/>
  <c r="F518" i="1"/>
  <c r="F516" i="1"/>
  <c r="F523" i="1"/>
  <c r="F521" i="1"/>
  <c r="H511" i="1"/>
  <c r="L511" i="1" s="1"/>
  <c r="I511" i="1"/>
  <c r="I514" i="1" s="1"/>
  <c r="I535" i="1" s="1"/>
  <c r="F601" i="1"/>
  <c r="D11" i="13"/>
  <c r="C11" i="13" s="1"/>
  <c r="B39" i="12"/>
  <c r="B40" i="12" s="1"/>
  <c r="B22" i="12"/>
  <c r="C13" i="12"/>
  <c r="B13" i="12"/>
  <c r="J585" i="1"/>
  <c r="J584" i="1"/>
  <c r="J583" i="1"/>
  <c r="J581" i="1"/>
  <c r="H581" i="1"/>
  <c r="H588" i="1" s="1"/>
  <c r="H639" i="1" s="1"/>
  <c r="H585" i="1"/>
  <c r="K585" i="1" s="1"/>
  <c r="H584" i="1"/>
  <c r="H572" i="1"/>
  <c r="H569" i="1"/>
  <c r="F572" i="1"/>
  <c r="F570" i="1"/>
  <c r="F569" i="1"/>
  <c r="J513" i="1"/>
  <c r="J511" i="1"/>
  <c r="I513" i="1"/>
  <c r="H513" i="1"/>
  <c r="G513" i="1"/>
  <c r="G514" i="1" s="1"/>
  <c r="G535" i="1" s="1"/>
  <c r="F513" i="1"/>
  <c r="F514" i="1" s="1"/>
  <c r="F535" i="1" s="1"/>
  <c r="H518" i="1"/>
  <c r="H516" i="1"/>
  <c r="F492" i="1"/>
  <c r="J455" i="1"/>
  <c r="J458" i="1"/>
  <c r="G315" i="1"/>
  <c r="F315" i="1"/>
  <c r="L315" i="1" s="1"/>
  <c r="G277" i="1"/>
  <c r="F277" i="1"/>
  <c r="F455" i="1"/>
  <c r="J462" i="1"/>
  <c r="J464" i="1" s="1"/>
  <c r="J466" i="1" s="1"/>
  <c r="H616" i="1" s="1"/>
  <c r="H147" i="1"/>
  <c r="H154" i="1" s="1"/>
  <c r="H13" i="1"/>
  <c r="F268" i="1"/>
  <c r="G432" i="1"/>
  <c r="F432" i="1"/>
  <c r="H387" i="1"/>
  <c r="L387" i="1" s="1"/>
  <c r="L393" i="1" s="1"/>
  <c r="C131" i="2" s="1"/>
  <c r="H381" i="1"/>
  <c r="H371" i="1"/>
  <c r="H368" i="1"/>
  <c r="F192" i="1"/>
  <c r="G189" i="1"/>
  <c r="F189" i="1"/>
  <c r="L189" i="1" s="1"/>
  <c r="G89" i="1"/>
  <c r="D52" i="2" s="1"/>
  <c r="D54" i="2" s="1"/>
  <c r="D55" i="2" s="1"/>
  <c r="H12" i="1"/>
  <c r="E12" i="2" s="1"/>
  <c r="E19" i="2" s="1"/>
  <c r="F17" i="1"/>
  <c r="C17" i="2" s="1"/>
  <c r="C19" i="2" s="1"/>
  <c r="F14" i="1"/>
  <c r="F9" i="1"/>
  <c r="K232" i="1"/>
  <c r="K230" i="1"/>
  <c r="G6" i="13" s="1"/>
  <c r="K196" i="1"/>
  <c r="G8" i="13" s="1"/>
  <c r="K194" i="1"/>
  <c r="J195" i="1"/>
  <c r="J194" i="1"/>
  <c r="J230" i="1"/>
  <c r="F6" i="13" s="1"/>
  <c r="J231" i="1"/>
  <c r="L231" i="1" s="1"/>
  <c r="I232" i="1"/>
  <c r="I231" i="1"/>
  <c r="I230" i="1"/>
  <c r="F113" i="1"/>
  <c r="F128" i="1"/>
  <c r="F132" i="1"/>
  <c r="G128" i="1"/>
  <c r="H128" i="1"/>
  <c r="C37" i="10"/>
  <c r="C60" i="2"/>
  <c r="B2" i="13"/>
  <c r="F8" i="13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G5" i="13"/>
  <c r="L191" i="1"/>
  <c r="L192" i="1"/>
  <c r="L207" i="1"/>
  <c r="L208" i="1"/>
  <c r="L209" i="1"/>
  <c r="L210" i="1"/>
  <c r="L225" i="1"/>
  <c r="L226" i="1"/>
  <c r="L227" i="1"/>
  <c r="C12" i="10" s="1"/>
  <c r="L228" i="1"/>
  <c r="L194" i="1"/>
  <c r="L212" i="1"/>
  <c r="G7" i="13"/>
  <c r="L195" i="1"/>
  <c r="L213" i="1"/>
  <c r="L221" i="1" s="1"/>
  <c r="G650" i="1" s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D15" i="13" s="1"/>
  <c r="C15" i="13" s="1"/>
  <c r="L218" i="1"/>
  <c r="G652" i="1" s="1"/>
  <c r="L236" i="1"/>
  <c r="H652" i="1" s="1"/>
  <c r="F17" i="13"/>
  <c r="G17" i="13"/>
  <c r="L243" i="1"/>
  <c r="C106" i="2" s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I359" i="1"/>
  <c r="J282" i="1"/>
  <c r="J301" i="1"/>
  <c r="F31" i="13" s="1"/>
  <c r="J320" i="1"/>
  <c r="K282" i="1"/>
  <c r="K301" i="1"/>
  <c r="K320" i="1"/>
  <c r="G31" i="13"/>
  <c r="L268" i="1"/>
  <c r="E101" i="2" s="1"/>
  <c r="E107" i="2" s="1"/>
  <c r="L269" i="1"/>
  <c r="E102" i="2" s="1"/>
  <c r="L270" i="1"/>
  <c r="L271" i="1"/>
  <c r="L273" i="1"/>
  <c r="L274" i="1"/>
  <c r="L275" i="1"/>
  <c r="L276" i="1"/>
  <c r="L277" i="1"/>
  <c r="L278" i="1"/>
  <c r="L279" i="1"/>
  <c r="L280" i="1"/>
  <c r="E117" i="2" s="1"/>
  <c r="L282" i="1"/>
  <c r="L287" i="1"/>
  <c r="L288" i="1"/>
  <c r="L289" i="1"/>
  <c r="L290" i="1"/>
  <c r="L292" i="1"/>
  <c r="L293" i="1"/>
  <c r="L294" i="1"/>
  <c r="L295" i="1"/>
  <c r="L296" i="1"/>
  <c r="L297" i="1"/>
  <c r="L298" i="1"/>
  <c r="L301" i="1" s="1"/>
  <c r="L299" i="1"/>
  <c r="L306" i="1"/>
  <c r="L307" i="1"/>
  <c r="L308" i="1"/>
  <c r="L309" i="1"/>
  <c r="L311" i="1"/>
  <c r="L312" i="1"/>
  <c r="L313" i="1"/>
  <c r="L314" i="1"/>
  <c r="L316" i="1"/>
  <c r="E115" i="2" s="1"/>
  <c r="L317" i="1"/>
  <c r="L318" i="1"/>
  <c r="L325" i="1"/>
  <c r="L326" i="1"/>
  <c r="L327" i="1"/>
  <c r="L252" i="1"/>
  <c r="L253" i="1"/>
  <c r="C124" i="2" s="1"/>
  <c r="L333" i="1"/>
  <c r="C32" i="10" s="1"/>
  <c r="L334" i="1"/>
  <c r="E124" i="2" s="1"/>
  <c r="L247" i="1"/>
  <c r="L328" i="1"/>
  <c r="F22" i="13"/>
  <c r="C22" i="13"/>
  <c r="C10" i="13"/>
  <c r="C9" i="13"/>
  <c r="L353" i="1"/>
  <c r="B4" i="12"/>
  <c r="B36" i="12"/>
  <c r="A40" i="12" s="1"/>
  <c r="C36" i="12"/>
  <c r="C40" i="12"/>
  <c r="B27" i="12"/>
  <c r="A31" i="12" s="1"/>
  <c r="C27" i="12"/>
  <c r="B31" i="12"/>
  <c r="C31" i="12"/>
  <c r="C9" i="12"/>
  <c r="B18" i="12"/>
  <c r="A22" i="12" s="1"/>
  <c r="C18" i="12"/>
  <c r="C22" i="12"/>
  <c r="B1" i="12"/>
  <c r="L379" i="1"/>
  <c r="L385" i="1" s="1"/>
  <c r="L380" i="1"/>
  <c r="L381" i="1"/>
  <c r="L382" i="1"/>
  <c r="L383" i="1"/>
  <c r="L384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 s="1"/>
  <c r="G55" i="2" s="1"/>
  <c r="G51" i="2"/>
  <c r="G54" i="2" s="1"/>
  <c r="G53" i="2"/>
  <c r="F2" i="11"/>
  <c r="L603" i="1"/>
  <c r="H653" i="1" s="1"/>
  <c r="L602" i="1"/>
  <c r="G653" i="1" s="1"/>
  <c r="L601" i="1"/>
  <c r="F653" i="1"/>
  <c r="C40" i="10"/>
  <c r="F52" i="1"/>
  <c r="C35" i="10" s="1"/>
  <c r="G52" i="1"/>
  <c r="H52" i="1"/>
  <c r="I52" i="1"/>
  <c r="F71" i="1"/>
  <c r="F86" i="1"/>
  <c r="F103" i="1"/>
  <c r="H71" i="1"/>
  <c r="H104" i="1" s="1"/>
  <c r="H86" i="1"/>
  <c r="H103" i="1"/>
  <c r="I103" i="1"/>
  <c r="I104" i="1"/>
  <c r="J103" i="1"/>
  <c r="G113" i="1"/>
  <c r="G132" i="1" s="1"/>
  <c r="C38" i="10" s="1"/>
  <c r="H113" i="1"/>
  <c r="H132" i="1" s="1"/>
  <c r="I113" i="1"/>
  <c r="I132" i="1" s="1"/>
  <c r="I128" i="1"/>
  <c r="J113" i="1"/>
  <c r="J132" i="1" s="1"/>
  <c r="J128" i="1"/>
  <c r="F139" i="1"/>
  <c r="F161" i="1" s="1"/>
  <c r="F154" i="1"/>
  <c r="G139" i="1"/>
  <c r="G154" i="1"/>
  <c r="G161" i="1"/>
  <c r="H139" i="1"/>
  <c r="I139" i="1"/>
  <c r="I161" i="1" s="1"/>
  <c r="I154" i="1"/>
  <c r="C13" i="10"/>
  <c r="C20" i="10"/>
  <c r="L242" i="1"/>
  <c r="C23" i="10" s="1"/>
  <c r="L324" i="1"/>
  <c r="L246" i="1"/>
  <c r="L260" i="1"/>
  <c r="L261" i="1"/>
  <c r="L341" i="1"/>
  <c r="L342" i="1"/>
  <c r="E135" i="2" s="1"/>
  <c r="C26" i="10"/>
  <c r="I655" i="1"/>
  <c r="I660" i="1"/>
  <c r="I659" i="1"/>
  <c r="C5" i="10"/>
  <c r="C42" i="10"/>
  <c r="L366" i="1"/>
  <c r="L374" i="1" s="1"/>
  <c r="G626" i="1" s="1"/>
  <c r="J626" i="1" s="1"/>
  <c r="L367" i="1"/>
  <c r="L368" i="1"/>
  <c r="L369" i="1"/>
  <c r="L370" i="1"/>
  <c r="L371" i="1"/>
  <c r="C29" i="10" s="1"/>
  <c r="L372" i="1"/>
  <c r="F122" i="2" s="1"/>
  <c r="F136" i="2" s="1"/>
  <c r="F137" i="2" s="1"/>
  <c r="B2" i="10"/>
  <c r="L336" i="1"/>
  <c r="L337" i="1"/>
  <c r="L338" i="1"/>
  <c r="L339" i="1"/>
  <c r="K343" i="1"/>
  <c r="L512" i="1"/>
  <c r="F540" i="1" s="1"/>
  <c r="L517" i="1"/>
  <c r="G540" i="1"/>
  <c r="L518" i="1"/>
  <c r="G541" i="1" s="1"/>
  <c r="L521" i="1"/>
  <c r="H539" i="1" s="1"/>
  <c r="H542" i="1" s="1"/>
  <c r="L522" i="1"/>
  <c r="H540" i="1" s="1"/>
  <c r="L523" i="1"/>
  <c r="H541" i="1"/>
  <c r="L526" i="1"/>
  <c r="L529" i="1" s="1"/>
  <c r="I539" i="1"/>
  <c r="L527" i="1"/>
  <c r="I540" i="1" s="1"/>
  <c r="L528" i="1"/>
  <c r="I541" i="1"/>
  <c r="L531" i="1"/>
  <c r="J539" i="1" s="1"/>
  <c r="J542" i="1" s="1"/>
  <c r="L532" i="1"/>
  <c r="J540" i="1"/>
  <c r="L533" i="1"/>
  <c r="J541" i="1"/>
  <c r="K262" i="1"/>
  <c r="J262" i="1"/>
  <c r="I262" i="1"/>
  <c r="H262" i="1"/>
  <c r="G262" i="1"/>
  <c r="F262" i="1"/>
  <c r="L262" i="1" s="1"/>
  <c r="C123" i="2"/>
  <c r="A1" i="2"/>
  <c r="A2" i="2"/>
  <c r="C9" i="2"/>
  <c r="D9" i="2"/>
  <c r="E9" i="2"/>
  <c r="F9" i="2"/>
  <c r="I431" i="1"/>
  <c r="J9" i="1"/>
  <c r="G9" i="2"/>
  <c r="C10" i="2"/>
  <c r="D10" i="2"/>
  <c r="E10" i="2"/>
  <c r="F10" i="2"/>
  <c r="I432" i="1"/>
  <c r="J10" i="1" s="1"/>
  <c r="C11" i="2"/>
  <c r="C12" i="2"/>
  <c r="D12" i="2"/>
  <c r="F12" i="2"/>
  <c r="F19" i="2" s="1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D19" i="2" s="1"/>
  <c r="E14" i="2"/>
  <c r="F14" i="2"/>
  <c r="I435" i="1"/>
  <c r="J14" i="1"/>
  <c r="G14" i="2"/>
  <c r="F15" i="2"/>
  <c r="C16" i="2"/>
  <c r="D16" i="2"/>
  <c r="E16" i="2"/>
  <c r="F16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E32" i="2" s="1"/>
  <c r="F23" i="2"/>
  <c r="I441" i="1"/>
  <c r="J24" i="1" s="1"/>
  <c r="C24" i="2"/>
  <c r="D24" i="2"/>
  <c r="E24" i="2"/>
  <c r="F24" i="2"/>
  <c r="I442" i="1"/>
  <c r="I444" i="1" s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F32" i="2"/>
  <c r="C34" i="2"/>
  <c r="D34" i="2"/>
  <c r="D42" i="2" s="1"/>
  <c r="E34" i="2"/>
  <c r="E42" i="2" s="1"/>
  <c r="F34" i="2"/>
  <c r="F42" i="2" s="1"/>
  <c r="F43" i="2" s="1"/>
  <c r="C35" i="2"/>
  <c r="D35" i="2"/>
  <c r="E35" i="2"/>
  <c r="F35" i="2"/>
  <c r="C36" i="2"/>
  <c r="D36" i="2"/>
  <c r="F36" i="2"/>
  <c r="I446" i="1"/>
  <c r="J37" i="1"/>
  <c r="G36" i="2"/>
  <c r="C37" i="2"/>
  <c r="C42" i="2" s="1"/>
  <c r="D37" i="2"/>
  <c r="E37" i="2"/>
  <c r="F37" i="2"/>
  <c r="I447" i="1"/>
  <c r="J38" i="1" s="1"/>
  <c r="C38" i="2"/>
  <c r="D38" i="2"/>
  <c r="E38" i="2"/>
  <c r="F38" i="2"/>
  <c r="I448" i="1"/>
  <c r="I450" i="1" s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D48" i="2"/>
  <c r="E48" i="2"/>
  <c r="F48" i="2"/>
  <c r="F55" i="2" s="1"/>
  <c r="F96" i="2" s="1"/>
  <c r="C49" i="2"/>
  <c r="C54" i="2" s="1"/>
  <c r="E49" i="2"/>
  <c r="C50" i="2"/>
  <c r="E50" i="2"/>
  <c r="C51" i="2"/>
  <c r="D51" i="2"/>
  <c r="E51" i="2"/>
  <c r="F51" i="2"/>
  <c r="F54" i="2" s="1"/>
  <c r="C53" i="2"/>
  <c r="D53" i="2"/>
  <c r="E53" i="2"/>
  <c r="E54" i="2" s="1"/>
  <c r="F53" i="2"/>
  <c r="C58" i="2"/>
  <c r="C59" i="2"/>
  <c r="C62" i="2" s="1"/>
  <c r="C61" i="2"/>
  <c r="D61" i="2"/>
  <c r="D62" i="2" s="1"/>
  <c r="E61" i="2"/>
  <c r="E62" i="2" s="1"/>
  <c r="E73" i="2" s="1"/>
  <c r="F61" i="2"/>
  <c r="G61" i="2"/>
  <c r="G62" i="2" s="1"/>
  <c r="F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E69" i="2"/>
  <c r="F69" i="2"/>
  <c r="G69" i="2"/>
  <c r="G70" i="2" s="1"/>
  <c r="C70" i="2"/>
  <c r="C73" i="2" s="1"/>
  <c r="E70" i="2"/>
  <c r="C71" i="2"/>
  <c r="D71" i="2"/>
  <c r="E71" i="2"/>
  <c r="C72" i="2"/>
  <c r="E72" i="2"/>
  <c r="C77" i="2"/>
  <c r="C83" i="2" s="1"/>
  <c r="D77" i="2"/>
  <c r="F77" i="2"/>
  <c r="F83" i="2" s="1"/>
  <c r="C79" i="2"/>
  <c r="E79" i="2"/>
  <c r="F79" i="2"/>
  <c r="C80" i="2"/>
  <c r="D80" i="2"/>
  <c r="D83" i="2" s="1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E103" i="2"/>
  <c r="C104" i="2"/>
  <c r="E104" i="2"/>
  <c r="C105" i="2"/>
  <c r="E105" i="2"/>
  <c r="E106" i="2"/>
  <c r="D107" i="2"/>
  <c r="F107" i="2"/>
  <c r="G107" i="2"/>
  <c r="E110" i="2"/>
  <c r="E111" i="2"/>
  <c r="E112" i="2"/>
  <c r="C113" i="2"/>
  <c r="E113" i="2"/>
  <c r="C116" i="2"/>
  <c r="E116" i="2"/>
  <c r="C117" i="2"/>
  <c r="F120" i="2"/>
  <c r="G120" i="2"/>
  <c r="C122" i="2"/>
  <c r="E122" i="2"/>
  <c r="D126" i="2"/>
  <c r="D136" i="2" s="1"/>
  <c r="E126" i="2"/>
  <c r="F126" i="2"/>
  <c r="K411" i="1"/>
  <c r="K426" i="1" s="1"/>
  <c r="G126" i="2" s="1"/>
  <c r="G136" i="2" s="1"/>
  <c r="K419" i="1"/>
  <c r="K425" i="1"/>
  <c r="L255" i="1"/>
  <c r="C127" i="2" s="1"/>
  <c r="E127" i="2"/>
  <c r="L256" i="1"/>
  <c r="C128" i="2"/>
  <c r="L257" i="1"/>
  <c r="C129" i="2" s="1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G149" i="2" s="1"/>
  <c r="C149" i="2"/>
  <c r="D149" i="2"/>
  <c r="E149" i="2"/>
  <c r="F149" i="2"/>
  <c r="B150" i="2"/>
  <c r="C150" i="2"/>
  <c r="D150" i="2"/>
  <c r="E150" i="2"/>
  <c r="F150" i="2"/>
  <c r="G150" i="2"/>
  <c r="B151" i="2"/>
  <c r="G151" i="2" s="1"/>
  <c r="C151" i="2"/>
  <c r="D151" i="2"/>
  <c r="E151" i="2"/>
  <c r="F151" i="2"/>
  <c r="B152" i="2"/>
  <c r="C152" i="2"/>
  <c r="D152" i="2"/>
  <c r="E152" i="2"/>
  <c r="F152" i="2"/>
  <c r="G152" i="2"/>
  <c r="F490" i="1"/>
  <c r="B153" i="2" s="1"/>
  <c r="G153" i="2" s="1"/>
  <c r="G490" i="1"/>
  <c r="C153" i="2"/>
  <c r="H490" i="1"/>
  <c r="D153" i="2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493" i="1"/>
  <c r="C156" i="2" s="1"/>
  <c r="H493" i="1"/>
  <c r="D156" i="2" s="1"/>
  <c r="I493" i="1"/>
  <c r="E156" i="2" s="1"/>
  <c r="J493" i="1"/>
  <c r="F156" i="2" s="1"/>
  <c r="F19" i="1"/>
  <c r="G19" i="1"/>
  <c r="G608" i="1" s="1"/>
  <c r="J608" i="1" s="1"/>
  <c r="H19" i="1"/>
  <c r="G609" i="1" s="1"/>
  <c r="I19" i="1"/>
  <c r="G610" i="1" s="1"/>
  <c r="F33" i="1"/>
  <c r="G33" i="1"/>
  <c r="H33" i="1"/>
  <c r="I33" i="1"/>
  <c r="F43" i="1"/>
  <c r="G43" i="1"/>
  <c r="I43" i="1"/>
  <c r="I44" i="1" s="1"/>
  <c r="H610" i="1" s="1"/>
  <c r="F44" i="1"/>
  <c r="G44" i="1"/>
  <c r="F169" i="1"/>
  <c r="I169" i="1"/>
  <c r="I184" i="1" s="1"/>
  <c r="F175" i="1"/>
  <c r="G175" i="1"/>
  <c r="G184" i="1" s="1"/>
  <c r="H175" i="1"/>
  <c r="I175" i="1"/>
  <c r="J175" i="1"/>
  <c r="J184" i="1" s="1"/>
  <c r="F180" i="1"/>
  <c r="F184" i="1" s="1"/>
  <c r="G180" i="1"/>
  <c r="H180" i="1"/>
  <c r="H184" i="1" s="1"/>
  <c r="I180" i="1"/>
  <c r="G203" i="1"/>
  <c r="H203" i="1"/>
  <c r="H249" i="1" s="1"/>
  <c r="H263" i="1" s="1"/>
  <c r="I203" i="1"/>
  <c r="J203" i="1"/>
  <c r="K203" i="1"/>
  <c r="F221" i="1"/>
  <c r="G221" i="1"/>
  <c r="H221" i="1"/>
  <c r="I221" i="1"/>
  <c r="I249" i="1" s="1"/>
  <c r="I263" i="1" s="1"/>
  <c r="J221" i="1"/>
  <c r="K221" i="1"/>
  <c r="F239" i="1"/>
  <c r="G239" i="1"/>
  <c r="H239" i="1"/>
  <c r="I239" i="1"/>
  <c r="K239" i="1"/>
  <c r="F248" i="1"/>
  <c r="L248" i="1" s="1"/>
  <c r="G248" i="1"/>
  <c r="H248" i="1"/>
  <c r="I248" i="1"/>
  <c r="J248" i="1"/>
  <c r="K248" i="1"/>
  <c r="G249" i="1"/>
  <c r="K249" i="1"/>
  <c r="K263" i="1" s="1"/>
  <c r="G263" i="1"/>
  <c r="F282" i="1"/>
  <c r="G282" i="1"/>
  <c r="H282" i="1"/>
  <c r="H330" i="1" s="1"/>
  <c r="H344" i="1" s="1"/>
  <c r="I282" i="1"/>
  <c r="F301" i="1"/>
  <c r="G301" i="1"/>
  <c r="G330" i="1" s="1"/>
  <c r="G344" i="1" s="1"/>
  <c r="H301" i="1"/>
  <c r="I301" i="1"/>
  <c r="F320" i="1"/>
  <c r="G320" i="1"/>
  <c r="H320" i="1"/>
  <c r="I320" i="1"/>
  <c r="F329" i="1"/>
  <c r="G329" i="1"/>
  <c r="H329" i="1"/>
  <c r="I329" i="1"/>
  <c r="J329" i="1"/>
  <c r="K329" i="1"/>
  <c r="K330" i="1" s="1"/>
  <c r="K344" i="1" s="1"/>
  <c r="L329" i="1"/>
  <c r="F330" i="1"/>
  <c r="I330" i="1"/>
  <c r="J330" i="1"/>
  <c r="F344" i="1"/>
  <c r="I344" i="1"/>
  <c r="J344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G400" i="1" s="1"/>
  <c r="H635" i="1" s="1"/>
  <c r="H385" i="1"/>
  <c r="I385" i="1"/>
  <c r="F393" i="1"/>
  <c r="F400" i="1" s="1"/>
  <c r="H633" i="1" s="1"/>
  <c r="J633" i="1" s="1"/>
  <c r="G393" i="1"/>
  <c r="H393" i="1"/>
  <c r="I393" i="1"/>
  <c r="F399" i="1"/>
  <c r="G399" i="1"/>
  <c r="H399" i="1"/>
  <c r="I399" i="1"/>
  <c r="H400" i="1"/>
  <c r="H634" i="1" s="1"/>
  <c r="I400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H411" i="1"/>
  <c r="H426" i="1" s="1"/>
  <c r="I411" i="1"/>
  <c r="I426" i="1" s="1"/>
  <c r="J411" i="1"/>
  <c r="J426" i="1" s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G426" i="1" s="1"/>
  <c r="H425" i="1"/>
  <c r="I425" i="1"/>
  <c r="J425" i="1"/>
  <c r="L425" i="1"/>
  <c r="F426" i="1"/>
  <c r="F438" i="1"/>
  <c r="G438" i="1"/>
  <c r="G630" i="1" s="1"/>
  <c r="H438" i="1"/>
  <c r="F444" i="1"/>
  <c r="F451" i="1" s="1"/>
  <c r="H629" i="1" s="1"/>
  <c r="J629" i="1" s="1"/>
  <c r="G444" i="1"/>
  <c r="G451" i="1" s="1"/>
  <c r="H630" i="1" s="1"/>
  <c r="H444" i="1"/>
  <c r="H451" i="1" s="1"/>
  <c r="H631" i="1" s="1"/>
  <c r="F450" i="1"/>
  <c r="G450" i="1"/>
  <c r="H450" i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I464" i="1"/>
  <c r="H466" i="1"/>
  <c r="H614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J514" i="1"/>
  <c r="K514" i="1"/>
  <c r="K535" i="1" s="1"/>
  <c r="F519" i="1"/>
  <c r="G519" i="1"/>
  <c r="H519" i="1"/>
  <c r="I519" i="1"/>
  <c r="J519" i="1"/>
  <c r="J535" i="1" s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L547" i="1"/>
  <c r="L548" i="1"/>
  <c r="L549" i="1"/>
  <c r="L550" i="1" s="1"/>
  <c r="F550" i="1"/>
  <c r="F561" i="1" s="1"/>
  <c r="G550" i="1"/>
  <c r="H550" i="1"/>
  <c r="H561" i="1" s="1"/>
  <c r="I550" i="1"/>
  <c r="I561" i="1" s="1"/>
  <c r="J550" i="1"/>
  <c r="J561" i="1" s="1"/>
  <c r="K550" i="1"/>
  <c r="L552" i="1"/>
  <c r="L553" i="1"/>
  <c r="L555" i="1" s="1"/>
  <c r="L554" i="1"/>
  <c r="F555" i="1"/>
  <c r="G555" i="1"/>
  <c r="G561" i="1" s="1"/>
  <c r="H555" i="1"/>
  <c r="I555" i="1"/>
  <c r="J555" i="1"/>
  <c r="K555" i="1"/>
  <c r="L557" i="1"/>
  <c r="L558" i="1"/>
  <c r="L559" i="1"/>
  <c r="F560" i="1"/>
  <c r="G560" i="1"/>
  <c r="H560" i="1"/>
  <c r="I560" i="1"/>
  <c r="J560" i="1"/>
  <c r="K560" i="1"/>
  <c r="L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6" i="1"/>
  <c r="K587" i="1"/>
  <c r="I588" i="1"/>
  <c r="J588" i="1"/>
  <c r="H641" i="1" s="1"/>
  <c r="J641" i="1" s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L604" i="1"/>
  <c r="G607" i="1"/>
  <c r="J607" i="1" s="1"/>
  <c r="H607" i="1"/>
  <c r="H608" i="1"/>
  <c r="G612" i="1"/>
  <c r="G613" i="1"/>
  <c r="H617" i="1"/>
  <c r="H618" i="1"/>
  <c r="H619" i="1"/>
  <c r="H620" i="1"/>
  <c r="H621" i="1"/>
  <c r="H622" i="1"/>
  <c r="H623" i="1"/>
  <c r="G624" i="1"/>
  <c r="J624" i="1" s="1"/>
  <c r="H624" i="1"/>
  <c r="H625" i="1"/>
  <c r="H626" i="1"/>
  <c r="H627" i="1"/>
  <c r="H628" i="1"/>
  <c r="G629" i="1"/>
  <c r="G631" i="1"/>
  <c r="G633" i="1"/>
  <c r="G634" i="1"/>
  <c r="J634" i="1" s="1"/>
  <c r="H637" i="1"/>
  <c r="G639" i="1"/>
  <c r="G640" i="1"/>
  <c r="J640" i="1" s="1"/>
  <c r="H640" i="1"/>
  <c r="G641" i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E36" i="2"/>
  <c r="H43" i="1"/>
  <c r="H44" i="1" s="1"/>
  <c r="H609" i="1" s="1"/>
  <c r="G614" i="1"/>
  <c r="J614" i="1" s="1"/>
  <c r="F539" i="1" l="1"/>
  <c r="J631" i="1"/>
  <c r="J610" i="1"/>
  <c r="E120" i="2"/>
  <c r="G23" i="2"/>
  <c r="J33" i="1"/>
  <c r="J19" i="1"/>
  <c r="G611" i="1" s="1"/>
  <c r="G10" i="2"/>
  <c r="L400" i="1"/>
  <c r="C130" i="2"/>
  <c r="C133" i="2" s="1"/>
  <c r="J609" i="1"/>
  <c r="C43" i="2"/>
  <c r="E43" i="2"/>
  <c r="I653" i="1"/>
  <c r="D31" i="13"/>
  <c r="C31" i="13" s="1"/>
  <c r="D43" i="2"/>
  <c r="K540" i="1"/>
  <c r="H185" i="1"/>
  <c r="G619" i="1" s="1"/>
  <c r="J619" i="1" s="1"/>
  <c r="C10" i="10"/>
  <c r="C101" i="2"/>
  <c r="J613" i="1"/>
  <c r="G137" i="2"/>
  <c r="L320" i="1"/>
  <c r="E114" i="2"/>
  <c r="J612" i="1"/>
  <c r="E55" i="2"/>
  <c r="E96" i="2" s="1"/>
  <c r="G654" i="1"/>
  <c r="L519" i="1"/>
  <c r="G539" i="1"/>
  <c r="G542" i="1" s="1"/>
  <c r="G73" i="2"/>
  <c r="G32" i="2"/>
  <c r="G19" i="2"/>
  <c r="I542" i="1"/>
  <c r="C111" i="2"/>
  <c r="I185" i="1"/>
  <c r="G620" i="1" s="1"/>
  <c r="J620" i="1" s="1"/>
  <c r="G96" i="2"/>
  <c r="L561" i="1"/>
  <c r="J630" i="1"/>
  <c r="I451" i="1"/>
  <c r="H632" i="1" s="1"/>
  <c r="G33" i="13"/>
  <c r="J639" i="1"/>
  <c r="G156" i="2"/>
  <c r="D73" i="2"/>
  <c r="D96" i="2" s="1"/>
  <c r="D5" i="13"/>
  <c r="C11" i="10"/>
  <c r="C102" i="2"/>
  <c r="L239" i="1"/>
  <c r="H650" i="1" s="1"/>
  <c r="G37" i="2"/>
  <c r="G42" i="2" s="1"/>
  <c r="G43" i="2" s="1"/>
  <c r="J43" i="1"/>
  <c r="H161" i="1"/>
  <c r="C39" i="10" s="1"/>
  <c r="K493" i="1"/>
  <c r="I438" i="1"/>
  <c r="G632" i="1" s="1"/>
  <c r="J632" i="1" s="1"/>
  <c r="C103" i="2"/>
  <c r="C18" i="10"/>
  <c r="F104" i="1"/>
  <c r="F185" i="1" s="1"/>
  <c r="G617" i="1" s="1"/>
  <c r="J617" i="1" s="1"/>
  <c r="G103" i="1"/>
  <c r="G104" i="1" s="1"/>
  <c r="G185" i="1" s="1"/>
  <c r="G618" i="1" s="1"/>
  <c r="J618" i="1" s="1"/>
  <c r="C115" i="2"/>
  <c r="C48" i="2"/>
  <c r="C55" i="2" s="1"/>
  <c r="C96" i="2" s="1"/>
  <c r="F7" i="13"/>
  <c r="D7" i="13" s="1"/>
  <c r="C7" i="13" s="1"/>
  <c r="E80" i="2"/>
  <c r="C19" i="10"/>
  <c r="G635" i="1"/>
  <c r="J635" i="1" s="1"/>
  <c r="G615" i="1"/>
  <c r="J615" i="1" s="1"/>
  <c r="L343" i="1"/>
  <c r="F652" i="1"/>
  <c r="I652" i="1" s="1"/>
  <c r="C16" i="10"/>
  <c r="J104" i="1"/>
  <c r="J185" i="1" s="1"/>
  <c r="K581" i="1"/>
  <c r="K588" i="1" s="1"/>
  <c r="G637" i="1" s="1"/>
  <c r="J637" i="1" s="1"/>
  <c r="K490" i="1"/>
  <c r="L330" i="1"/>
  <c r="C114" i="2"/>
  <c r="C25" i="10"/>
  <c r="L230" i="1"/>
  <c r="J239" i="1"/>
  <c r="J249" i="1" s="1"/>
  <c r="E123" i="2"/>
  <c r="E136" i="2" s="1"/>
  <c r="E137" i="2" s="1"/>
  <c r="L513" i="1"/>
  <c r="F541" i="1" s="1"/>
  <c r="K541" i="1" s="1"/>
  <c r="H651" i="1"/>
  <c r="C24" i="10"/>
  <c r="H514" i="1"/>
  <c r="H535" i="1" s="1"/>
  <c r="E77" i="2"/>
  <c r="E83" i="2" s="1"/>
  <c r="L196" i="1"/>
  <c r="F651" i="1"/>
  <c r="I651" i="1" s="1"/>
  <c r="B9" i="12"/>
  <c r="A13" i="12" s="1"/>
  <c r="L354" i="1"/>
  <c r="D119" i="2"/>
  <c r="D120" i="2" s="1"/>
  <c r="D137" i="2" s="1"/>
  <c r="F203" i="1"/>
  <c r="F249" i="1" s="1"/>
  <c r="F263" i="1" s="1"/>
  <c r="H25" i="13"/>
  <c r="C21" i="10"/>
  <c r="J263" i="1" l="1"/>
  <c r="H638" i="1"/>
  <c r="J638" i="1" s="1"/>
  <c r="C5" i="13"/>
  <c r="G627" i="1"/>
  <c r="J627" i="1" s="1"/>
  <c r="H636" i="1"/>
  <c r="C15" i="10"/>
  <c r="C110" i="2"/>
  <c r="C136" i="2"/>
  <c r="D6" i="13"/>
  <c r="C6" i="13" s="1"/>
  <c r="H33" i="13"/>
  <c r="C25" i="13"/>
  <c r="C27" i="10"/>
  <c r="G625" i="1"/>
  <c r="J625" i="1" s="1"/>
  <c r="F33" i="13"/>
  <c r="C36" i="10"/>
  <c r="J611" i="1"/>
  <c r="C112" i="2"/>
  <c r="E8" i="13"/>
  <c r="C17" i="10"/>
  <c r="L344" i="1"/>
  <c r="G623" i="1" s="1"/>
  <c r="J623" i="1" s="1"/>
  <c r="L203" i="1"/>
  <c r="J44" i="1"/>
  <c r="H611" i="1" s="1"/>
  <c r="G616" i="1"/>
  <c r="C107" i="2"/>
  <c r="G621" i="1"/>
  <c r="J621" i="1" s="1"/>
  <c r="G636" i="1"/>
  <c r="J636" i="1" s="1"/>
  <c r="H654" i="1"/>
  <c r="G662" i="1"/>
  <c r="G657" i="1"/>
  <c r="L514" i="1"/>
  <c r="L535" i="1" s="1"/>
  <c r="K539" i="1"/>
  <c r="K542" i="1" s="1"/>
  <c r="F542" i="1"/>
  <c r="C8" i="13" l="1"/>
  <c r="E33" i="13"/>
  <c r="D35" i="13" s="1"/>
  <c r="C28" i="10"/>
  <c r="C120" i="2"/>
  <c r="C137" i="2" s="1"/>
  <c r="D36" i="10"/>
  <c r="C41" i="10"/>
  <c r="D33" i="13"/>
  <c r="D36" i="13" s="1"/>
  <c r="J616" i="1"/>
  <c r="H662" i="1"/>
  <c r="C6" i="10" s="1"/>
  <c r="H657" i="1"/>
  <c r="L249" i="1"/>
  <c r="L263" i="1" s="1"/>
  <c r="G622" i="1" s="1"/>
  <c r="J622" i="1" s="1"/>
  <c r="F650" i="1"/>
  <c r="I650" i="1" l="1"/>
  <c r="I654" i="1" s="1"/>
  <c r="F654" i="1"/>
  <c r="H646" i="1"/>
  <c r="D35" i="10"/>
  <c r="D37" i="10"/>
  <c r="D38" i="10"/>
  <c r="D40" i="10"/>
  <c r="D39" i="10"/>
  <c r="C30" i="10"/>
  <c r="D22" i="10"/>
  <c r="D23" i="10"/>
  <c r="D12" i="10"/>
  <c r="D26" i="10"/>
  <c r="D20" i="10"/>
  <c r="D13" i="10"/>
  <c r="D25" i="10"/>
  <c r="D19" i="10"/>
  <c r="D21" i="10"/>
  <c r="D11" i="10"/>
  <c r="D24" i="10"/>
  <c r="D10" i="10"/>
  <c r="D28" i="10" s="1"/>
  <c r="D16" i="10"/>
  <c r="D18" i="10"/>
  <c r="D15" i="10"/>
  <c r="D27" i="10"/>
  <c r="D17" i="10"/>
  <c r="D41" i="10" l="1"/>
  <c r="F662" i="1"/>
  <c r="C4" i="10" s="1"/>
  <c r="F657" i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C768B81E-8AD4-4D7D-B097-4160262BF48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7A124EF-AD3E-43DA-A73C-BD1B305A33B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A580D29-E140-4CA4-BD8D-96576F22A3F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D845DFB-84F1-4A53-AA38-1D5AB559CF3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CAF578D-89C5-43F4-97B0-6DCF466E5AF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DBB526E-532A-46CE-9C7E-AF868F31B84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C2123EC-F30C-47B9-99FA-B4BC11489BA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7AFD496-1FC1-4AF1-9FFA-A7A386047550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7C06A9B-96CA-4E28-AF12-8D6539658145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EB87159-D668-4286-8EB8-7F3999B4BDA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AC8196B2-AE99-4010-AEC2-854E38D9ADC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D6CADD9-18D9-44A9-A536-3FCE644563F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<sst xmlns="http://schemas.openxmlformats.org/spreadsheetml/2006/main" count="3866" uniqueCount="903">
  <si>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</si>
  <si>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</si>
  <si>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</si>
  <si>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</si>
  <si>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</si>
  <si>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</si>
  <si>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</si>
  <si>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</si>
  <si>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</si>
  <si>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</si>
  <si>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</si>
  <si>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</si>
  <si>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</si>
  <si>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</si>
  <si>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</si>
  <si>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</si>
  <si>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</si>
  <si>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</si>
  <si>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</si>
  <si>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</si>
  <si>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</si>
  <si>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</si>
  <si>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</si>
  <si>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</si>
  <si>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</si>
  <si>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</si>
  <si>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</si>
  <si>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</si>
  <si>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</si>
  <si>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</si>
  <si>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</si>
  <si>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</si>
  <si>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</si>
  <si>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</si>
  <si>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</si>
  <si>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</si>
  <si>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</si>
  <si>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</si>
  <si>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</si>
  <si>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</si>
  <si>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</si>
  <si>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</si>
  <si>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</si>
  <si>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</si>
  <si>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</si>
  <si>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</si>
  <si>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</si>
  <si>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</si>
  <si>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</si>
  <si>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</si>
  <si>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</si>
  <si>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</si>
  <si>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</si>
  <si>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</si>
  <si>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</si>
  <si>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</si>
  <si>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</si>
  <si>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</si>
  <si>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</si>
  <si>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</si>
  <si>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</si>
  <si>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</si>
  <si>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</si>
  <si>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</si>
  <si>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</si>
  <si>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</si>
  <si>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</si>
  <si>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</si>
  <si>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</si>
  <si>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</si>
  <si>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</si>
  <si>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</si>
  <si>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</si>
  <si>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</si>
  <si>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</si>
  <si>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</si>
  <si>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</si>
  <si>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</si>
  <si>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</si>
  <si>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</si>
  <si>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</si>
  <si>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</si>
  <si>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</si>
  <si>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</si>
  <si>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</si>
  <si>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</si>
  <si>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</si>
  <si>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</si>
  <si>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</si>
  <si>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</si>
  <si>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</si>
  <si>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</si>
  <si>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</si>
  <si>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</si>
  <si>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</si>
  <si>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</si>
  <si>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</si>
  <si>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</si>
  <si>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</si>
  <si>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</si>
  <si>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</si>
  <si>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</si>
  <si>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</si>
  <si>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</si>
  <si>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</si>
  <si>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</si>
  <si>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</si>
  <si>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</si>
  <si>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</si>
  <si>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</si>
  <si>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</si>
  <si>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</si>
  <si>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</si>
  <si>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</si>
  <si>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</si>
  <si>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</si>
  <si>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</si>
  <si>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</si>
  <si>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</si>
  <si>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</si>
  <si>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</si>
  <si>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</si>
  <si>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</si>
  <si>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</si>
  <si>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</si>
  <si>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</si>
  <si>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</si>
  <si>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</si>
  <si>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</si>
  <si>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</si>
  <si>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</si>
  <si>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</si>
  <si>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</si>
  <si>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</si>
  <si>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</si>
  <si>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</si>
  <si>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</si>
  <si>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</si>
  <si>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</si>
  <si>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</si>
  <si>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</si>
  <si>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</si>
  <si>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</si>
  <si>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</si>
  <si>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</si>
  <si>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</si>
  <si>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</si>
  <si>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</si>
  <si>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</si>
  <si>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</si>
  <si>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</si>
  <si>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</si>
  <si>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</si>
  <si>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</si>
  <si>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</si>
  <si>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</si>
  <si>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</si>
  <si>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</si>
  <si>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</si>
  <si>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</si>
  <si>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</si>
  <si>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</si>
  <si>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</si>
  <si>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</si>
  <si>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</si>
  <si>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</si>
  <si>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</si>
  <si>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</si>
  <si>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</si>
  <si>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</si>
  <si>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</si>
  <si>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</si>
  <si>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</si>
  <si>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</si>
  <si>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</si>
  <si>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</si>
  <si>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</si>
  <si>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</si>
  <si>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</si>
  <si>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</si>
  <si>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</si>
  <si>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</si>
  <si>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</si>
  <si>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</si>
  <si>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</si>
  <si>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</si>
  <si>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</si>
  <si>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</si>
  <si>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</si>
  <si>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</si>
  <si>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</si>
  <si>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</si>
  <si>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</si>
  <si>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</si>
  <si>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</si>
  <si>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</si>
  <si>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</si>
  <si>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</si>
  <si>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</si>
  <si>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</si>
  <si>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</si>
  <si>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</si>
  <si>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</si>
  <si>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</si>
  <si>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</si>
  <si>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</si>
  <si>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</si>
  <si>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</si>
  <si>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</si>
  <si>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</si>
  <si>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</si>
  <si>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</si>
  <si>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</si>
  <si>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</si>
  <si>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</si>
  <si>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</si>
  <si>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</si>
  <si>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</si>
  <si>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</si>
  <si>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</si>
  <si>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</si>
  <si>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</si>
  <si>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</si>
  <si>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</si>
  <si>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</si>
  <si>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</si>
  <si>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</si>
  <si>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</si>
  <si>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</si>
  <si>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</si>
  <si>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</si>
  <si>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</si>
  <si>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</si>
  <si>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</si>
  <si>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</si>
  <si>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</si>
  <si>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</si>
  <si>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</si>
  <si>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</si>
  <si>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</si>
  <si>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</si>
  <si>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</si>
  <si>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</si>
  <si>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</si>
  <si>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</si>
  <si>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</si>
  <si>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</si>
  <si>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</si>
  <si>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</si>
  <si>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</si>
  <si>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</si>
  <si>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</si>
  <si>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</si>
  <si>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</si>
  <si>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</si>
  <si>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</si>
  <si>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</si>
  <si>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</si>
  <si>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</si>
  <si>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</si>
  <si>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</si>
  <si>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</si>
  <si>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</si>
  <si>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</si>
  <si>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</si>
  <si>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</si>
  <si>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</si>
  <si>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</si>
  <si>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</si>
  <si>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</si>
  <si>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</si>
  <si>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</si>
  <si>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</si>
  <si>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</si>
  <si>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</si>
  <si>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</si>
  <si>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</si>
  <si>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</si>
  <si>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</si>
  <si>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</si>
  <si>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</si>
  <si>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</si>
  <si>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</si>
  <si>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</si>
  <si>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</si>
  <si>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</si>
  <si>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</si>
  <si>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</si>
  <si>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</si>
  <si>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</si>
  <si>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</si>
  <si>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</si>
  <si>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</si>
  <si>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</si>
  <si>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</si>
  <si>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</si>
  <si>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</si>
  <si>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</si>
  <si>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</si>
  <si>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</si>
  <si>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</si>
  <si>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</si>
  <si>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</si>
  <si>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</si>
  <si>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</si>
  <si>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</si>
  <si>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</si>
  <si>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</si>
  <si>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</si>
  <si>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</si>
  <si>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</si>
  <si>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</si>
  <si>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</si>
  <si>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</si>
  <si>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</si>
  <si>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</si>
  <si>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</si>
  <si>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</si>
  <si>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</si>
  <si>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</si>
  <si>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</si>
  <si>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</si>
  <si>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</si>
  <si>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</si>
  <si>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</si>
  <si>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</si>
  <si>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</si>
  <si>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</si>
  <si>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</si>
  <si>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</si>
  <si>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</si>
  <si>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</si>
  <si>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</si>
  <si>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</si>
  <si>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</si>
  <si>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</si>
  <si>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</si>
  <si>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</si>
  <si>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</si>
  <si>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</si>
  <si>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</si>
  <si>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</si>
  <si>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</si>
  <si>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</si>
  <si>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</si>
  <si>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</si>
  <si>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</si>
  <si>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</si>
  <si>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</si>
  <si>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</si>
  <si>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</si>
  <si>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</si>
  <si>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</si>
  <si>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</si>
  <si>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</si>
  <si>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</si>
  <si>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</si>
  <si>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</si>
  <si>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</si>
  <si>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</si>
  <si>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</si>
  <si>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</si>
  <si>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</si>
  <si>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</si>
  <si>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</si>
  <si>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</si>
  <si>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</si>
  <si>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</si>
  <si>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</si>
  <si>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</si>
  <si>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</si>
  <si>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</si>
  <si>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</si>
  <si>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</si>
  <si>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</si>
  <si>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</si>
  <si>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</si>
  <si>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</si>
  <si>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</si>
  <si>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</si>
  <si>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</si>
  <si>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</si>
  <si>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</si>
  <si>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</si>
  <si>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</si>
  <si>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</si>
  <si>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</si>
  <si>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</si>
  <si>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</si>
  <si>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</si>
  <si>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</si>
  <si>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</si>
  <si>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</si>
  <si>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</si>
  <si>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</si>
  <si>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</si>
  <si>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</si>
  <si>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</si>
  <si>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</si>
  <si>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</si>
  <si>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</si>
  <si>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</si>
  <si>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</si>
  <si>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</si>
  <si>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</si>
  <si>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</si>
  <si>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</si>
  <si>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</si>
  <si>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</si>
  <si>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</si>
  <si>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</si>
  <si>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</si>
  <si>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</si>
  <si>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</si>
  <si>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</si>
  <si>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</si>
  <si>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</si>
  <si>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</si>
  <si>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</si>
  <si>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</si>
  <si>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</si>
  <si>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</si>
  <si>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</si>
  <si>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</si>
  <si>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</si>
  <si>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</si>
  <si>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</si>
  <si>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</si>
  <si>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</si>
  <si>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</si>
  <si>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</si>
  <si>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</si>
  <si>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</si>
  <si>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</si>
  <si>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</si>
  <si>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</si>
  <si>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</si>
  <si>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</si>
  <si>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</si>
  <si>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</si>
  <si>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</si>
  <si>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</si>
  <si>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</si>
  <si>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</si>
  <si>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</si>
  <si>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</si>
  <si>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</si>
  <si>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</si>
  <si>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</si>
  <si>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</si>
  <si>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</si>
  <si>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</si>
  <si>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</si>
  <si>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</si>
  <si>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</si>
  <si>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</si>
  <si>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</si>
  <si>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</si>
  <si>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</si>
  <si>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</si>
  <si>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</si>
  <si>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</si>
  <si>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</si>
  <si>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</si>
  <si>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</si>
  <si>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</si>
  <si>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</si>
  <si>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</si>
  <si>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</si>
  <si>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</si>
  <si>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</si>
  <si>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</si>
  <si>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</si>
  <si>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</si>
  <si>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</si>
  <si>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</si>
  <si>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</si>
  <si>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</si>
  <si>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</si>
  <si>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</si>
  <si>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</si>
  <si>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</si>
  <si>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</si>
  <si>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</si>
  <si>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</si>
  <si>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</si>
  <si>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</si>
  <si>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</si>
  <si>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</si>
  <si>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</si>
  <si>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</si>
  <si>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</si>
  <si>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</si>
  <si>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</si>
  <si>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</si>
  <si>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</si>
  <si>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</si>
  <si>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</si>
  <si>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</si>
  <si>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</si>
  <si>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</si>
  <si>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</si>
  <si>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</si>
  <si>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</si>
  <si>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</si>
  <si>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</si>
  <si>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</si>
  <si>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</si>
  <si>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</si>
  <si>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</si>
  <si>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</si>
  <si>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</si>
  <si>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</si>
  <si>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</si>
  <si>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</si>
  <si>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</si>
  <si>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</si>
  <si>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</si>
  <si>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</si>
  <si>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</si>
  <si>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</si>
  <si>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</si>
  <si>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</si>
  <si>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</si>
  <si>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</si>
  <si>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</si>
  <si>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</si>
  <si>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</si>
  <si>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</si>
  <si>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</si>
  <si>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</si>
  <si>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</si>
  <si>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</si>
  <si>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</si>
  <si>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</si>
  <si>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</si>
  <si>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</si>
  <si>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</si>
  <si>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</si>
  <si>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</si>
  <si>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</si>
  <si>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</si>
  <si>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</si>
  <si>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</si>
  <si>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</si>
  <si>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</si>
  <si>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</si>
  <si>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</si>
  <si>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</si>
  <si>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</si>
  <si>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</si>
  <si>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</si>
  <si>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</si>
  <si>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</si>
  <si>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</si>
  <si>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</si>
  <si>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</si>
  <si>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</si>
  <si>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</si>
  <si>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</si>
  <si>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</si>
  <si>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</si>
  <si>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</si>
  <si>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</si>
  <si>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</si>
  <si>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</si>
  <si>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</si>
  <si>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</si>
  <si>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</si>
  <si>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</si>
  <si>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</si>
  <si>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</si>
  <si>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</si>
  <si>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</si>
  <si>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</si>
  <si>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</si>
  <si>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</si>
  <si>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</si>
  <si>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</si>
  <si>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</si>
  <si>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</si>
  <si>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</si>
  <si>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</si>
  <si>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</si>
  <si>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</si>
  <si>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</si>
  <si>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</si>
  <si>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</si>
  <si>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</si>
  <si>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</si>
  <si>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</si>
  <si>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</si>
  <si>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</si>
  <si>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</si>
  <si>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</si>
  <si>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</si>
  <si>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</si>
  <si>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</si>
  <si>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</si>
  <si>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</si>
  <si>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</si>
  <si>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</si>
  <si>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</si>
  <si>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</si>
  <si>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</si>
  <si>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</si>
  <si>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</si>
  <si>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</si>
  <si>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</si>
  <si>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</si>
  <si>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</si>
  <si>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</si>
  <si>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</si>
  <si>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</si>
  <si>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</si>
  <si>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</si>
  <si>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</si>
  <si>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</si>
  <si>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</si>
  <si>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</si>
  <si>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</si>
  <si>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</si>
  <si>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</si>
  <si>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</si>
  <si>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</si>
  <si>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</si>
  <si>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</si>
  <si>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</si>
  <si>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</si>
  <si>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</si>
  <si>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</si>
  <si>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</si>
  <si>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</si>
  <si>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</si>
  <si>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</si>
  <si>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</si>
  <si>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</si>
  <si>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</si>
  <si>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</si>
  <si>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</si>
  <si>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</si>
  <si>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</si>
  <si>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</si>
  <si>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</si>
  <si>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</si>
  <si>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</si>
  <si>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</si>
  <si>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</si>
  <si>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</si>
  <si>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</si>
  <si>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</si>
  <si>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</si>
  <si>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</si>
  <si>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</si>
  <si>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</si>
  <si>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</si>
  <si>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</si>
  <si>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</si>
  <si>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</si>
  <si>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</si>
  <si>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</si>
  <si>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</si>
  <si>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</si>
  <si>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</si>
  <si>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</si>
  <si>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</si>
  <si>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</si>
  <si>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</si>
  <si>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</si>
  <si>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</si>
  <si>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</si>
  <si>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</si>
  <si>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</si>
  <si>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</si>
  <si>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</si>
  <si>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</si>
  <si>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</si>
  <si>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</si>
  <si>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</si>
  <si>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</si>
  <si>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</si>
  <si>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</si>
  <si>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</si>
  <si>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</si>
  <si>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</si>
  <si>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</si>
  <si>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</si>
  <si>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</si>
  <si>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</si>
  <si>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</si>
  <si>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</si>
  <si>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</si>
  <si>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</si>
  <si>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</si>
  <si>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</si>
  <si>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</si>
  <si>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</si>
  <si>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</si>
  <si>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</si>
  <si>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</si>
  <si>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</si>
  <si>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</si>
  <si>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</si>
  <si>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</si>
  <si>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</si>
  <si>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</si>
  <si>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</si>
  <si>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</si>
  <si>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</si>
  <si>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</si>
  <si>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</si>
  <si>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</si>
  <si>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</si>
  <si>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</si>
  <si>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</si>
  <si>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</si>
  <si>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</si>
  <si>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</si>
  <si>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</si>
  <si>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</si>
  <si>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</si>
  <si>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</si>
  <si>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</si>
  <si>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</si>
  <si>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</si>
  <si>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</si>
  <si>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</si>
  <si>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</si>
  <si>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</si>
  <si>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</si>
  <si>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</si>
  <si>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</si>
  <si>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</si>
  <si>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</si>
  <si>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</si>
  <si>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</si>
  <si>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</si>
  <si>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</si>
  <si>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</si>
  <si>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</si>
  <si>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</si>
  <si>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</si>
  <si>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</si>
  <si>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</si>
  <si>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</si>
  <si>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</si>
  <si>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</si>
  <si>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</si>
  <si>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</si>
  <si>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</si>
  <si>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</si>
  <si>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</si>
  <si>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</si>
  <si>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</si>
  <si>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</si>
  <si>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</si>
  <si>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</si>
  <si>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</si>
  <si>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</si>
  <si>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</si>
  <si>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</si>
  <si>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</si>
  <si>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</si>
  <si>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</si>
  <si>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</si>
  <si>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</si>
  <si>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</si>
  <si>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</si>
  <si>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</si>
  <si>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</si>
  <si>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</si>
  <si>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</si>
  <si>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</si>
  <si>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</si>
  <si>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</si>
  <si>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</si>
  <si>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</si>
  <si>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</si>
  <si>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</si>
  <si>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</si>
  <si>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</si>
  <si>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</si>
  <si>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</si>
  <si>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</si>
  <si>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</si>
  <si>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</si>
  <si>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</si>
  <si>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</si>
  <si>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</si>
  <si>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</si>
  <si>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</si>
  <si>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</si>
  <si>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</si>
  <si>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</si>
  <si>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</si>
  <si>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</si>
  <si>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</si>
  <si>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</si>
  <si>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</si>
  <si>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</si>
  <si>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</si>
  <si>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</si>
  <si>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</si>
  <si>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</si>
  <si>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</si>
  <si>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</si>
  <si>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</si>
  <si>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</si>
  <si>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</si>
  <si>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</si>
  <si>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</si>
  <si>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</si>
  <si>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</si>
  <si>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</si>
  <si>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</si>
  <si>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</si>
  <si>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</si>
  <si>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</si>
  <si>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</si>
  <si>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</si>
  <si>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</si>
  <si>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</si>
  <si>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</si>
  <si>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</si>
  <si>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</si>
  <si>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</si>
  <si>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</si>
  <si>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</si>
  <si>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</si>
  <si>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</si>
  <si>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</si>
  <si>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</si>
  <si>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</si>
  <si>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</si>
  <si>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</si>
  <si>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</si>
  <si>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</si>
  <si>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</si>
  <si>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</si>
  <si>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</si>
  <si>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</si>
  <si>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</si>
  <si>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</si>
  <si>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</si>
  <si>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</si>
  <si>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</si>
  <si>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</si>
  <si>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</si>
  <si>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</si>
  <si>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</si>
  <si>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</si>
  <si>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</si>
  <si>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</si>
  <si>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</si>
  <si>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</si>
  <si>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</si>
  <si>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</si>
  <si>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</si>
  <si>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</si>
  <si>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</si>
  <si>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</si>
  <si>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</si>
  <si>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</si>
  <si>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</si>
  <si>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</si>
  <si>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</si>
  <si>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</si>
  <si>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</si>
  <si>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</si>
  <si>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</si>
  <si>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</si>
  <si>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</si>
  <si>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</si>
  <si>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</si>
  <si>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</si>
  <si>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</si>
  <si>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</si>
  <si>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</si>
  <si>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</si>
  <si>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</si>
  <si>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</si>
  <si>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</si>
  <si>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</si>
  <si>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</si>
  <si>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</si>
  <si>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</si>
  <si>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</si>
  <si>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</si>
  <si>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</si>
  <si>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</si>
  <si>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</si>
  <si>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</si>
  <si>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</si>
  <si>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</si>
  <si>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Fall Mountain Regional School District</t>
  </si>
  <si>
    <t>08/05</t>
  </si>
  <si>
    <t>08/24</t>
  </si>
  <si>
    <t>09/10</t>
  </si>
  <si>
    <t>09/15</t>
  </si>
  <si>
    <t>I am off .01 which is a rounding error even though all the other subtotals are in balance??  Sorry</t>
  </si>
  <si>
    <t>The Salaries and Benefits page is saying it is out of balance and that is not the case - the totals match.  ??</t>
  </si>
  <si>
    <t>We had a balance due from last year's fund balance due to an A/P rollover adjustment, it has been added to this year.</t>
  </si>
  <si>
    <t>The trust funds needed to be adjusted for interest income and fees, which were over reported last year.  Sorry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</si>
</sst>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0" fillId="0" borderId="0" xfId="0" applyNumberFormat="1" applyProtection="1">
      <protection locked="0"/>
    </xf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80DB-1D67-4950-ADDC-B9994C6AC9FA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174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538009.63+1950</f>
        <v>539959.63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2154903.5300000003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-218390.64</v>
      </c>
      <c r="G12" s="18">
        <v>-21670.29</v>
      </c>
      <c r="H12" s="18">
        <f>-70699.96-47030.35-1637.18-58946.1-149300.43-26446.3</f>
        <v>-354060.32</v>
      </c>
      <c r="I12" s="18">
        <v>594121.25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153128.98000000001</v>
      </c>
      <c r="G13" s="18">
        <v>21670.29</v>
      </c>
      <c r="H13" s="18">
        <f>115597.98+63327.27+1637.18+60111+149323.43+35796.3</f>
        <v>425793.16</v>
      </c>
      <c r="I13" s="18">
        <v>56550.5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3067.98+147+2023.72</f>
        <v>5238.7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f>17588.93+257663</f>
        <v>275251.93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755188.6</v>
      </c>
      <c r="G19" s="41">
        <f>SUM(G9:G18)</f>
        <v>0</v>
      </c>
      <c r="H19" s="41">
        <f>SUM(H9:H18)</f>
        <v>71732.839999999967</v>
      </c>
      <c r="I19" s="41">
        <f>SUM(I9:I18)</f>
        <v>650671.75</v>
      </c>
      <c r="J19" s="41">
        <f>SUM(J9:J18)</f>
        <v>2154903.5300000003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76796.600000000006</v>
      </c>
      <c r="G25" s="18"/>
      <c r="H25" s="18">
        <v>32977.24</v>
      </c>
      <c r="I25" s="18">
        <v>23615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258105.07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334901.67000000004</v>
      </c>
      <c r="G33" s="41">
        <f>SUM(G23:G32)</f>
        <v>0</v>
      </c>
      <c r="H33" s="41">
        <f>SUM(H23:H32)</f>
        <v>32977.24</v>
      </c>
      <c r="I33" s="41">
        <f>SUM(I23:I32)</f>
        <v>23615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420271.55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38755.599999999999</v>
      </c>
      <c r="I41" s="18">
        <v>627056.75</v>
      </c>
      <c r="J41" s="13">
        <f>SUM(I449)</f>
        <v>2154903.5299999998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15.38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420286.93</v>
      </c>
      <c r="G43" s="41">
        <f>SUM(G35:G42)</f>
        <v>0</v>
      </c>
      <c r="H43" s="41">
        <f>SUM(H35:H42)</f>
        <v>38755.599999999999</v>
      </c>
      <c r="I43" s="41">
        <f>SUM(I35:I42)</f>
        <v>627056.75</v>
      </c>
      <c r="J43" s="41">
        <f>SUM(J35:J42)</f>
        <v>2154903.5299999998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755188.60000000009</v>
      </c>
      <c r="G44" s="41">
        <f>G43+G33</f>
        <v>0</v>
      </c>
      <c r="H44" s="41">
        <f>H43+H33</f>
        <v>71732.84</v>
      </c>
      <c r="I44" s="41">
        <f>I43+I33</f>
        <v>650671.75</v>
      </c>
      <c r="J44" s="41">
        <f>J43+J33</f>
        <v>2154903.5299999998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12439382.970000001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12439382.970000001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230561.64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230561.64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32417.05</v>
      </c>
      <c r="G88" s="18"/>
      <c r="H88" s="18"/>
      <c r="I88" s="18"/>
      <c r="J88" s="18">
        <v>20779.87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22258.68+39075.54+2894.8+3013.01+87068.36+63617.6+181848.12+21894.25</f>
        <v>421670.36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3300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28960.93</v>
      </c>
      <c r="G102" s="18"/>
      <c r="H102" s="18">
        <v>23873.63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61377.979999999996</v>
      </c>
      <c r="G103" s="41">
        <f>SUM(G88:G102)</f>
        <v>421670.36</v>
      </c>
      <c r="H103" s="41">
        <f>SUM(H88:H102)</f>
        <v>27173.63</v>
      </c>
      <c r="I103" s="41">
        <f>SUM(I88:I102)</f>
        <v>0</v>
      </c>
      <c r="J103" s="41">
        <f>SUM(J88:J102)</f>
        <v>20779.87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12731322.590000002</v>
      </c>
      <c r="G104" s="41">
        <f>G52+G103</f>
        <v>421670.36</v>
      </c>
      <c r="H104" s="41">
        <f>H52+H71+H86+H103</f>
        <v>27173.63</v>
      </c>
      <c r="I104" s="41">
        <f>I52+I103</f>
        <v>0</v>
      </c>
      <c r="J104" s="41">
        <f>J52+J103</f>
        <v>20779.87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8442546.2300000004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2302488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306208.77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11051243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63406.75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298084.76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188743.07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19407.61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74833.47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25500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569642.19000000006</v>
      </c>
      <c r="G128" s="41">
        <f>SUM(G115:G127)</f>
        <v>74833.47</v>
      </c>
      <c r="H128" s="41">
        <f>SUM(H115:H127)</f>
        <v>25500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11620885.189999999</v>
      </c>
      <c r="G132" s="41">
        <f>G113+SUM(G128:G129)</f>
        <v>74833.47</v>
      </c>
      <c r="H132" s="41">
        <f>H113+SUM(H128:H131)</f>
        <v>25500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1033827.26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129835.56-400</f>
        <v>129435.56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5399.59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243579.63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181279.23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226778.03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>
        <v>210.78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226778.03</v>
      </c>
      <c r="G154" s="41">
        <f>SUM(G142:G153)</f>
        <v>243579.63</v>
      </c>
      <c r="H154" s="41">
        <f>SUM(H142:H153)</f>
        <v>1350152.4200000002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226778.03</v>
      </c>
      <c r="G161" s="41">
        <f>G139+G154+SUM(G155:G160)</f>
        <v>243579.63</v>
      </c>
      <c r="H161" s="41">
        <f>H139+H154+SUM(H155:H160)</f>
        <v>1350152.4200000002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2000000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2000000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118515.82</v>
      </c>
      <c r="H171" s="18"/>
      <c r="I171" s="18"/>
      <c r="J171" s="18">
        <v>491889.09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118515.82</v>
      </c>
      <c r="H175" s="41">
        <f>SUM(H171:H174)</f>
        <v>0</v>
      </c>
      <c r="I175" s="41">
        <f>SUM(I171:I174)</f>
        <v>0</v>
      </c>
      <c r="J175" s="41">
        <f>SUM(J171:J174)</f>
        <v>491889.09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1400000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1400000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118515.82</v>
      </c>
      <c r="H184" s="41">
        <f>+H175+SUM(H180:H183)</f>
        <v>0</v>
      </c>
      <c r="I184" s="41">
        <f>I169+I175+SUM(I180:I183)</f>
        <v>3400000</v>
      </c>
      <c r="J184" s="41">
        <f>J175</f>
        <v>491889.09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24578985.810000002</v>
      </c>
      <c r="G185" s="47">
        <f>G104+G132+G161+G184</f>
        <v>858599.28</v>
      </c>
      <c r="H185" s="47">
        <f>H104+H132+H161+H184</f>
        <v>1402826.0500000003</v>
      </c>
      <c r="I185" s="47">
        <f>I104+I132+I161+I184</f>
        <v>3400000</v>
      </c>
      <c r="J185" s="47">
        <f>J104+J132+J184</f>
        <v>512668.96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3883012.51+448.1</f>
        <v>3883460.61</v>
      </c>
      <c r="G189" s="18">
        <f>1692672.03</f>
        <v>1692672.03</v>
      </c>
      <c r="H189" s="18">
        <v>43234.087</v>
      </c>
      <c r="I189" s="18">
        <v>196223.144</v>
      </c>
      <c r="J189" s="18">
        <v>99954.516999999993</v>
      </c>
      <c r="K189" s="18">
        <v>7583.1989999999996</v>
      </c>
      <c r="L189" s="19">
        <f>SUM(F189:K189)</f>
        <v>5923127.5870000003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2023814.7280000001</v>
      </c>
      <c r="G190" s="18">
        <v>626702.75</v>
      </c>
      <c r="H190" s="18">
        <f>359218.28+59370.61</f>
        <v>418588.89</v>
      </c>
      <c r="I190" s="18">
        <v>18534.7435</v>
      </c>
      <c r="J190" s="18">
        <v>6631.3715000000002</v>
      </c>
      <c r="K190" s="18">
        <v>3648.9569999999999</v>
      </c>
      <c r="L190" s="19">
        <f>SUM(F190:K190)</f>
        <v>3097921.44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156988.99-1.99</f>
        <v>156987</v>
      </c>
      <c r="G192" s="18">
        <v>25760.79</v>
      </c>
      <c r="H192" s="18">
        <v>35779.802499999998</v>
      </c>
      <c r="I192" s="18">
        <v>6411.6454999999996</v>
      </c>
      <c r="J192" s="18">
        <v>21112.298999999999</v>
      </c>
      <c r="K192" s="18">
        <v>2671.5</v>
      </c>
      <c r="L192" s="19">
        <f>SUM(F192:K192)</f>
        <v>248723.03700000001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538807.03499999992</v>
      </c>
      <c r="G194" s="18">
        <v>191294.34</v>
      </c>
      <c r="H194" s="18">
        <v>20111.084500000001</v>
      </c>
      <c r="I194" s="18">
        <v>4334.91</v>
      </c>
      <c r="J194" s="18">
        <f>2534.35+437.95</f>
        <v>2972.2999999999997</v>
      </c>
      <c r="K194" s="18">
        <f>308.75+65</f>
        <v>373.75</v>
      </c>
      <c r="L194" s="19">
        <f t="shared" ref="L194:L200" si="0">SUM(F194:K194)</f>
        <v>757893.41949999996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340016.57949999993</v>
      </c>
      <c r="G195" s="18">
        <v>145059.53</v>
      </c>
      <c r="H195" s="18">
        <v>33997.002</v>
      </c>
      <c r="I195" s="18">
        <v>39381.58</v>
      </c>
      <c r="J195" s="18">
        <f>682.5+1753.28</f>
        <v>2435.7799999999997</v>
      </c>
      <c r="K195" s="18">
        <v>2790.81</v>
      </c>
      <c r="L195" s="19">
        <f t="shared" si="0"/>
        <v>563681.28149999992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191678.5325</v>
      </c>
      <c r="G196" s="18">
        <v>68618.73</v>
      </c>
      <c r="H196" s="18">
        <v>62263.409</v>
      </c>
      <c r="I196" s="18">
        <v>6298.5</v>
      </c>
      <c r="J196" s="18">
        <v>6720.99</v>
      </c>
      <c r="K196" s="18">
        <f>3651.69+1465.05</f>
        <v>5116.74</v>
      </c>
      <c r="L196" s="19">
        <f t="shared" si="0"/>
        <v>340696.90149999998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573178.59299999999</v>
      </c>
      <c r="G197" s="18">
        <v>223198.12</v>
      </c>
      <c r="H197" s="18">
        <v>25680.661500000002</v>
      </c>
      <c r="I197" s="18">
        <v>9206.66</v>
      </c>
      <c r="J197" s="18">
        <v>5851.2219999999998</v>
      </c>
      <c r="K197" s="18">
        <v>2056.6</v>
      </c>
      <c r="L197" s="19">
        <f t="shared" si="0"/>
        <v>839171.85649999999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124099.02700000002</v>
      </c>
      <c r="G198" s="18">
        <v>55633.75</v>
      </c>
      <c r="H198" s="18">
        <v>13494.6175</v>
      </c>
      <c r="I198" s="18">
        <v>2055.9</v>
      </c>
      <c r="J198" s="18">
        <v>352.79399999999998</v>
      </c>
      <c r="K198" s="18">
        <v>146.25</v>
      </c>
      <c r="L198" s="19">
        <f t="shared" si="0"/>
        <v>195782.33849999998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607888.42399999988</v>
      </c>
      <c r="G199" s="18">
        <v>281297.31</v>
      </c>
      <c r="H199" s="18">
        <v>356421.80599999998</v>
      </c>
      <c r="I199" s="18">
        <v>373210.47</v>
      </c>
      <c r="J199" s="18">
        <v>17388.286499999998</v>
      </c>
      <c r="K199" s="18">
        <v>246.32399999999998</v>
      </c>
      <c r="L199" s="19">
        <f t="shared" si="0"/>
        <v>1636452.6205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339137.64300000004</v>
      </c>
      <c r="G200" s="18">
        <v>81090.66</v>
      </c>
      <c r="H200" s="18">
        <v>247850.34299999999</v>
      </c>
      <c r="I200" s="18">
        <v>98146.95</v>
      </c>
      <c r="J200" s="18">
        <v>5973.4610000000002</v>
      </c>
      <c r="K200" s="18">
        <v>368.55</v>
      </c>
      <c r="L200" s="19">
        <f t="shared" si="0"/>
        <v>772567.60700000008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8779068.1719999984</v>
      </c>
      <c r="G203" s="41">
        <f t="shared" si="1"/>
        <v>3391328.0100000002</v>
      </c>
      <c r="H203" s="41">
        <f t="shared" si="1"/>
        <v>1257421.7030000002</v>
      </c>
      <c r="I203" s="41">
        <f t="shared" si="1"/>
        <v>753804.50300000003</v>
      </c>
      <c r="J203" s="41">
        <f t="shared" si="1"/>
        <v>169393.02099999998</v>
      </c>
      <c r="K203" s="41">
        <f t="shared" si="1"/>
        <v>25002.679999999997</v>
      </c>
      <c r="L203" s="41">
        <f t="shared" si="1"/>
        <v>14376018.089000003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2090852.8830000001</v>
      </c>
      <c r="G225" s="18">
        <v>911438.78</v>
      </c>
      <c r="H225" s="18">
        <v>23279.892999999996</v>
      </c>
      <c r="I225" s="18">
        <v>105658.614</v>
      </c>
      <c r="J225" s="18">
        <v>53821.66</v>
      </c>
      <c r="K225" s="18">
        <v>4083.2609999999995</v>
      </c>
      <c r="L225" s="19">
        <f>SUM(F225:K225)</f>
        <v>3189135.0910000005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1089746.392</v>
      </c>
      <c r="G226" s="18">
        <v>337455.33</v>
      </c>
      <c r="H226" s="18">
        <f>778819.34+31968.78</f>
        <v>810788.12</v>
      </c>
      <c r="I226" s="18">
        <v>9980.2464999999993</v>
      </c>
      <c r="J226" s="18">
        <v>3570.74</v>
      </c>
      <c r="K226" s="18">
        <v>1964.8229999999999</v>
      </c>
      <c r="L226" s="19">
        <f>SUM(F226:K226)</f>
        <v>2253505.6515000002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327334</v>
      </c>
      <c r="G227" s="18">
        <v>130523.73</v>
      </c>
      <c r="H227" s="18">
        <v>366312.28</v>
      </c>
      <c r="I227" s="18">
        <v>55817.93</v>
      </c>
      <c r="J227" s="18">
        <v>24929.31</v>
      </c>
      <c r="K227" s="18">
        <v>555</v>
      </c>
      <c r="L227" s="19">
        <f>SUM(F227:K227)</f>
        <v>905472.25000000012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84532</v>
      </c>
      <c r="G228" s="18">
        <v>13871.19</v>
      </c>
      <c r="H228" s="18">
        <v>19266.047499999997</v>
      </c>
      <c r="I228" s="18">
        <v>3453.42</v>
      </c>
      <c r="J228" s="18">
        <v>11368.16</v>
      </c>
      <c r="K228" s="18">
        <v>1438.5</v>
      </c>
      <c r="L228" s="19">
        <f>SUM(F228:K228)</f>
        <v>133929.3175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290126.86499999999</v>
      </c>
      <c r="G230" s="18">
        <v>103004.64</v>
      </c>
      <c r="H230" s="18">
        <v>10829.0455</v>
      </c>
      <c r="I230" s="18">
        <f>1216.26+1117.92</f>
        <v>2334.1800000000003</v>
      </c>
      <c r="J230" s="18">
        <f>235.82+1364.65</f>
        <v>1600.47</v>
      </c>
      <c r="K230" s="18">
        <f>166.25+35</f>
        <v>201.25</v>
      </c>
      <c r="L230" s="19">
        <f t="shared" ref="L230:L236" si="4">SUM(F230:K230)</f>
        <v>408096.45049999998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183085.85049999994</v>
      </c>
      <c r="G231" s="18">
        <v>78108.98</v>
      </c>
      <c r="H231" s="18">
        <v>18306.077999999998</v>
      </c>
      <c r="I231" s="18">
        <f>527.69+20677.78</f>
        <v>21205.469999999998</v>
      </c>
      <c r="J231" s="18">
        <f>944.07+367.5</f>
        <v>1311.5700000000002</v>
      </c>
      <c r="K231" s="18">
        <v>1502.75</v>
      </c>
      <c r="L231" s="19">
        <f t="shared" si="4"/>
        <v>303520.69849999988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103211.51749999999</v>
      </c>
      <c r="G232" s="18">
        <v>36948.54</v>
      </c>
      <c r="H232" s="18">
        <v>33526.451000000001</v>
      </c>
      <c r="I232" s="18">
        <f>875.87+2515.63</f>
        <v>3391.5</v>
      </c>
      <c r="J232" s="18">
        <v>3618.9929999999995</v>
      </c>
      <c r="K232" s="18">
        <f>1966.29+788.87</f>
        <v>2755.16</v>
      </c>
      <c r="L232" s="19">
        <f t="shared" si="4"/>
        <v>183452.16149999999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308634.62699999998</v>
      </c>
      <c r="G233" s="18">
        <v>120183.6</v>
      </c>
      <c r="H233" s="18">
        <v>13828.048499999999</v>
      </c>
      <c r="I233" s="18">
        <v>4957.4349999999995</v>
      </c>
      <c r="J233" s="18">
        <v>3150.6579999999994</v>
      </c>
      <c r="K233" s="18">
        <v>1107.4000000000001</v>
      </c>
      <c r="L233" s="19">
        <f t="shared" si="4"/>
        <v>451861.76849999995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66822.553</v>
      </c>
      <c r="G234" s="18">
        <v>29956.63</v>
      </c>
      <c r="H234" s="18">
        <v>7266.3324999999995</v>
      </c>
      <c r="I234" s="18">
        <v>1107.0219999999999</v>
      </c>
      <c r="J234" s="18">
        <v>189.96599999999998</v>
      </c>
      <c r="K234" s="18">
        <v>78.75</v>
      </c>
      <c r="L234" s="19">
        <f t="shared" si="4"/>
        <v>105421.25350000001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327324.53599999991</v>
      </c>
      <c r="G235" s="18">
        <v>151467.78</v>
      </c>
      <c r="H235" s="18">
        <v>191919.43399999998</v>
      </c>
      <c r="I235" s="18">
        <v>200959.48249999998</v>
      </c>
      <c r="J235" s="18">
        <v>9362.923499999999</v>
      </c>
      <c r="K235" s="18">
        <v>132.636</v>
      </c>
      <c r="L235" s="19">
        <f t="shared" si="4"/>
        <v>881166.79200000002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182612.57699999999</v>
      </c>
      <c r="G236" s="18">
        <v>43664.2</v>
      </c>
      <c r="H236" s="18">
        <v>133457.87699999998</v>
      </c>
      <c r="I236" s="18">
        <v>52848.354999999996</v>
      </c>
      <c r="J236" s="18">
        <v>3216.4789999999998</v>
      </c>
      <c r="K236" s="18">
        <v>198.45</v>
      </c>
      <c r="L236" s="19">
        <f t="shared" si="4"/>
        <v>415997.93799999997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5054283.8010000009</v>
      </c>
      <c r="G239" s="41">
        <f t="shared" si="5"/>
        <v>1956623.4</v>
      </c>
      <c r="H239" s="41">
        <f t="shared" si="5"/>
        <v>1628779.6069999998</v>
      </c>
      <c r="I239" s="41">
        <f t="shared" si="5"/>
        <v>461713.65499999997</v>
      </c>
      <c r="J239" s="41">
        <f t="shared" si="5"/>
        <v>116140.92950000003</v>
      </c>
      <c r="K239" s="41">
        <f t="shared" si="5"/>
        <v>14017.98</v>
      </c>
      <c r="L239" s="41">
        <f t="shared" si="5"/>
        <v>9231559.3725000005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265395.99</v>
      </c>
      <c r="I247" s="18"/>
      <c r="J247" s="18"/>
      <c r="K247" s="18"/>
      <c r="L247" s="19">
        <f t="shared" si="6"/>
        <v>265395.99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265395.99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265395.99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13833351.972999999</v>
      </c>
      <c r="G249" s="41">
        <f t="shared" si="8"/>
        <v>5347951.41</v>
      </c>
      <c r="H249" s="41">
        <f t="shared" si="8"/>
        <v>3151597.3</v>
      </c>
      <c r="I249" s="41">
        <f t="shared" si="8"/>
        <v>1215518.1580000001</v>
      </c>
      <c r="J249" s="41">
        <f t="shared" si="8"/>
        <v>285533.95050000004</v>
      </c>
      <c r="K249" s="41">
        <f t="shared" si="8"/>
        <v>39020.659999999996</v>
      </c>
      <c r="L249" s="41">
        <f t="shared" si="8"/>
        <v>23872973.451500002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100000</v>
      </c>
      <c r="L252" s="19">
        <f>SUM(F252:K252)</f>
        <v>100000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67225</v>
      </c>
      <c r="L253" s="19">
        <f>SUM(F253:K253)</f>
        <v>67225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118515.82</v>
      </c>
      <c r="L255" s="19">
        <f>SUM(F255:K255)</f>
        <v>118515.82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491889.09</v>
      </c>
      <c r="L258" s="19">
        <f t="shared" si="9"/>
        <v>491889.09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777629.91</v>
      </c>
      <c r="L262" s="41">
        <f t="shared" si="9"/>
        <v>777629.91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13833351.972999999</v>
      </c>
      <c r="G263" s="42">
        <f t="shared" si="11"/>
        <v>5347951.41</v>
      </c>
      <c r="H263" s="42">
        <f t="shared" si="11"/>
        <v>3151597.3</v>
      </c>
      <c r="I263" s="42">
        <f t="shared" si="11"/>
        <v>1215518.1580000001</v>
      </c>
      <c r="J263" s="42">
        <f t="shared" si="11"/>
        <v>285533.95050000004</v>
      </c>
      <c r="K263" s="42">
        <f t="shared" si="11"/>
        <v>816650.57000000007</v>
      </c>
      <c r="L263" s="42">
        <f t="shared" si="11"/>
        <v>24650603.361500002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321252.6965-400</f>
        <v>320852.69650000002</v>
      </c>
      <c r="G268" s="18">
        <v>68729.634999999995</v>
      </c>
      <c r="H268" s="18">
        <v>63393.727999999988</v>
      </c>
      <c r="I268" s="18">
        <v>30657.57</v>
      </c>
      <c r="J268" s="18">
        <v>12393.99</v>
      </c>
      <c r="K268" s="18"/>
      <c r="L268" s="19">
        <f>SUM(F268:K268)</f>
        <v>496027.61950000003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247856.72</v>
      </c>
      <c r="G269" s="18">
        <v>71634.867999999973</v>
      </c>
      <c r="H269" s="18">
        <v>126408.33</v>
      </c>
      <c r="I269" s="18">
        <v>54930.05</v>
      </c>
      <c r="J269" s="18">
        <v>98260.64</v>
      </c>
      <c r="K269" s="18"/>
      <c r="L269" s="19">
        <f>SUM(F269:K269)</f>
        <v>599090.60800000001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15764.95</v>
      </c>
      <c r="G274" s="18">
        <v>4513.41</v>
      </c>
      <c r="H274" s="18">
        <v>61108.15</v>
      </c>
      <c r="I274" s="18"/>
      <c r="J274" s="18"/>
      <c r="K274" s="18"/>
      <c r="L274" s="19">
        <f t="shared" si="12"/>
        <v>81386.510000000009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1367.6195000000002</v>
      </c>
      <c r="I275" s="18"/>
      <c r="J275" s="18"/>
      <c r="K275" s="18"/>
      <c r="L275" s="19">
        <f t="shared" si="12"/>
        <v>1367.6195000000002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>
        <v>17085.782999999999</v>
      </c>
      <c r="I276" s="18"/>
      <c r="J276" s="18"/>
      <c r="K276" s="18"/>
      <c r="L276" s="19">
        <f t="shared" si="12"/>
        <v>17085.782999999999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f>13168.3045+13504.95</f>
        <v>26673.254500000003</v>
      </c>
      <c r="G277" s="18">
        <f>2349.555+2383.23</f>
        <v>4732.7849999999999</v>
      </c>
      <c r="H277" s="18"/>
      <c r="I277" s="18"/>
      <c r="J277" s="18"/>
      <c r="K277" s="18"/>
      <c r="L277" s="19">
        <f t="shared" si="12"/>
        <v>31406.039500000003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611147.62100000004</v>
      </c>
      <c r="G282" s="42">
        <f t="shared" si="13"/>
        <v>149610.69799999997</v>
      </c>
      <c r="H282" s="42">
        <f t="shared" si="13"/>
        <v>269363.61050000001</v>
      </c>
      <c r="I282" s="42">
        <f t="shared" si="13"/>
        <v>85587.62</v>
      </c>
      <c r="J282" s="42">
        <f t="shared" si="13"/>
        <v>110654.63</v>
      </c>
      <c r="K282" s="42">
        <f t="shared" si="13"/>
        <v>0</v>
      </c>
      <c r="L282" s="41">
        <f t="shared" si="13"/>
        <v>1226364.1795000001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20815.483499999998</v>
      </c>
      <c r="G306" s="18">
        <v>3029.7750000000005</v>
      </c>
      <c r="H306" s="18">
        <v>39514.251999999993</v>
      </c>
      <c r="I306" s="18">
        <v>1490.09</v>
      </c>
      <c r="J306" s="18">
        <v>6088.25</v>
      </c>
      <c r="K306" s="18"/>
      <c r="L306" s="19">
        <f>SUM(F306:K306)</f>
        <v>70937.850499999986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434</v>
      </c>
      <c r="G307" s="18">
        <v>37.702000000000005</v>
      </c>
      <c r="H307" s="18"/>
      <c r="I307" s="18">
        <v>522.9</v>
      </c>
      <c r="J307" s="18"/>
      <c r="K307" s="18"/>
      <c r="L307" s="19">
        <f>SUM(F307:K307)</f>
        <v>994.60199999999998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>
        <v>589.75</v>
      </c>
      <c r="I308" s="18">
        <v>18673.07</v>
      </c>
      <c r="J308" s="18">
        <v>36564.68</v>
      </c>
      <c r="K308" s="18"/>
      <c r="L308" s="19">
        <f>SUM(F308:K308)</f>
        <v>55827.5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10089.84</v>
      </c>
      <c r="I312" s="18">
        <v>2043.33</v>
      </c>
      <c r="J312" s="18"/>
      <c r="K312" s="18">
        <v>2055.83</v>
      </c>
      <c r="L312" s="19">
        <f t="shared" si="16"/>
        <v>14189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v>736.41050000000007</v>
      </c>
      <c r="I313" s="18"/>
      <c r="J313" s="18"/>
      <c r="K313" s="18"/>
      <c r="L313" s="19">
        <f t="shared" si="16"/>
        <v>736.41050000000007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>
        <v>9200.0370000000003</v>
      </c>
      <c r="I314" s="18"/>
      <c r="J314" s="18"/>
      <c r="K314" s="18"/>
      <c r="L314" s="19">
        <f t="shared" si="16"/>
        <v>9200.0370000000003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>
        <f>7090.6255+1841.58</f>
        <v>8932.2055</v>
      </c>
      <c r="G315" s="18">
        <f>1265.145+324.98</f>
        <v>1590.125</v>
      </c>
      <c r="H315" s="18"/>
      <c r="I315" s="18"/>
      <c r="J315" s="18"/>
      <c r="K315" s="18"/>
      <c r="L315" s="19">
        <f t="shared" si="16"/>
        <v>10522.3305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v>5999.17</v>
      </c>
      <c r="I316" s="18"/>
      <c r="J316" s="18"/>
      <c r="K316" s="18"/>
      <c r="L316" s="19">
        <f t="shared" si="16"/>
        <v>5999.17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30181.688999999998</v>
      </c>
      <c r="G320" s="42">
        <f t="shared" si="17"/>
        <v>4657.6020000000008</v>
      </c>
      <c r="H320" s="42">
        <f t="shared" si="17"/>
        <v>66129.459499999983</v>
      </c>
      <c r="I320" s="42">
        <f t="shared" si="17"/>
        <v>22729.39</v>
      </c>
      <c r="J320" s="42">
        <f t="shared" si="17"/>
        <v>42652.93</v>
      </c>
      <c r="K320" s="42">
        <f t="shared" si="17"/>
        <v>2055.83</v>
      </c>
      <c r="L320" s="41">
        <f t="shared" si="17"/>
        <v>168406.90050000002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v>5000</v>
      </c>
      <c r="I327" s="18"/>
      <c r="J327" s="18"/>
      <c r="K327" s="18">
        <v>2554.98</v>
      </c>
      <c r="L327" s="19">
        <f t="shared" si="18"/>
        <v>7554.98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>
        <v>125565.61</v>
      </c>
      <c r="I328" s="18"/>
      <c r="J328" s="18"/>
      <c r="K328" s="18"/>
      <c r="L328" s="19">
        <f t="shared" si="18"/>
        <v>125565.61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130565.61</v>
      </c>
      <c r="I329" s="41">
        <f t="shared" si="19"/>
        <v>0</v>
      </c>
      <c r="J329" s="41">
        <f t="shared" si="19"/>
        <v>0</v>
      </c>
      <c r="K329" s="41">
        <f t="shared" si="19"/>
        <v>2554.98</v>
      </c>
      <c r="L329" s="41">
        <f t="shared" si="18"/>
        <v>133120.59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641329.31000000006</v>
      </c>
      <c r="G330" s="41">
        <f t="shared" si="20"/>
        <v>154268.29999999999</v>
      </c>
      <c r="H330" s="41">
        <f t="shared" si="20"/>
        <v>466058.68</v>
      </c>
      <c r="I330" s="41">
        <f t="shared" si="20"/>
        <v>108317.01</v>
      </c>
      <c r="J330" s="41">
        <f t="shared" si="20"/>
        <v>153307.56</v>
      </c>
      <c r="K330" s="41">
        <f t="shared" si="20"/>
        <v>4610.8099999999995</v>
      </c>
      <c r="L330" s="41">
        <f t="shared" si="20"/>
        <v>1527891.6700000002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641329.31000000006</v>
      </c>
      <c r="G344" s="41">
        <f>G330</f>
        <v>154268.29999999999</v>
      </c>
      <c r="H344" s="41">
        <f>H330</f>
        <v>466058.68</v>
      </c>
      <c r="I344" s="41">
        <f>I330</f>
        <v>108317.01</v>
      </c>
      <c r="J344" s="41">
        <f>J330</f>
        <v>153307.56</v>
      </c>
      <c r="K344" s="47">
        <f>K330+K343</f>
        <v>4610.8099999999995</v>
      </c>
      <c r="L344" s="41">
        <f>L330+L343</f>
        <v>1527891.6700000002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171282.67</v>
      </c>
      <c r="G350" s="18">
        <v>44825.65</v>
      </c>
      <c r="H350" s="18">
        <v>51713.57</v>
      </c>
      <c r="I350" s="18">
        <v>279553.5</v>
      </c>
      <c r="J350" s="18">
        <v>4914.05</v>
      </c>
      <c r="K350" s="18">
        <v>66.459999999999994</v>
      </c>
      <c r="L350" s="13">
        <f>SUM(F350:K350)</f>
        <v>552355.9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89441.8</v>
      </c>
      <c r="G352" s="18">
        <v>35745.19</v>
      </c>
      <c r="H352" s="18">
        <v>27845.77</v>
      </c>
      <c r="I352" s="18">
        <v>150528.81</v>
      </c>
      <c r="J352" s="18">
        <v>2646.02</v>
      </c>
      <c r="K352" s="18">
        <v>35.79</v>
      </c>
      <c r="L352" s="19">
        <f>SUM(F352:K352)</f>
        <v>306243.38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260724.47000000003</v>
      </c>
      <c r="G354" s="47">
        <f t="shared" si="22"/>
        <v>80570.84</v>
      </c>
      <c r="H354" s="47">
        <f t="shared" si="22"/>
        <v>79559.34</v>
      </c>
      <c r="I354" s="47">
        <f t="shared" si="22"/>
        <v>430082.31</v>
      </c>
      <c r="J354" s="47">
        <f t="shared" si="22"/>
        <v>7560.07</v>
      </c>
      <c r="K354" s="47">
        <f t="shared" si="22"/>
        <v>102.25</v>
      </c>
      <c r="L354" s="47">
        <f t="shared" si="22"/>
        <v>858599.28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260040.2</v>
      </c>
      <c r="G359" s="18"/>
      <c r="H359" s="18">
        <v>140021.65</v>
      </c>
      <c r="I359" s="56">
        <f>SUM(F359:H359)</f>
        <v>400061.85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19513.3</v>
      </c>
      <c r="G360" s="63"/>
      <c r="H360" s="63">
        <v>10507.16</v>
      </c>
      <c r="I360" s="56">
        <f>SUM(F360:H360)</f>
        <v>30020.46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279553.5</v>
      </c>
      <c r="G361" s="47">
        <f>SUM(G359:G360)</f>
        <v>0</v>
      </c>
      <c r="H361" s="47">
        <f>SUM(H359:H360)</f>
        <v>150528.81</v>
      </c>
      <c r="I361" s="47">
        <f>SUM(I359:I360)</f>
        <v>430082.31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f>7548.45+1200+5757.45</f>
        <v>14505.900000000001</v>
      </c>
      <c r="I368" s="18"/>
      <c r="J368" s="18"/>
      <c r="K368" s="18"/>
      <c r="L368" s="13">
        <f t="shared" si="23"/>
        <v>14505.900000000001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f>2608641.03+71073.7</f>
        <v>2679714.73</v>
      </c>
      <c r="I371" s="18"/>
      <c r="J371" s="18">
        <v>78722.62</v>
      </c>
      <c r="K371" s="18"/>
      <c r="L371" s="13">
        <f t="shared" si="23"/>
        <v>2758437.35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2694220.63</v>
      </c>
      <c r="I374" s="41">
        <f t="shared" si="24"/>
        <v>0</v>
      </c>
      <c r="J374" s="47">
        <f t="shared" si="24"/>
        <v>78722.62</v>
      </c>
      <c r="K374" s="47">
        <f t="shared" si="24"/>
        <v>0</v>
      </c>
      <c r="L374" s="47">
        <f t="shared" si="24"/>
        <v>2772943.25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491889.09</v>
      </c>
      <c r="H381" s="18">
        <f>5241.27+466.69+86.71+812.26</f>
        <v>6606.93</v>
      </c>
      <c r="I381" s="18"/>
      <c r="J381" s="24" t="s">
        <v>312</v>
      </c>
      <c r="K381" s="24" t="s">
        <v>312</v>
      </c>
      <c r="L381" s="56">
        <f t="shared" si="25"/>
        <v>498496.02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491889.09</v>
      </c>
      <c r="H385" s="139">
        <f>SUM(H379:H384)</f>
        <v>6606.93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498496.02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>
        <f>7312.03+3019.25</f>
        <v>10331.279999999999</v>
      </c>
      <c r="I387" s="18"/>
      <c r="J387" s="24" t="s">
        <v>312</v>
      </c>
      <c r="K387" s="24" t="s">
        <v>312</v>
      </c>
      <c r="L387" s="56">
        <f t="shared" ref="L387:L392" si="26">SUM(F387:K387)</f>
        <v>10331.279999999999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3583.83</v>
      </c>
      <c r="I389" s="18"/>
      <c r="J389" s="24" t="s">
        <v>312</v>
      </c>
      <c r="K389" s="24" t="s">
        <v>312</v>
      </c>
      <c r="L389" s="56">
        <f t="shared" si="26"/>
        <v>3583.83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257.83</v>
      </c>
      <c r="I392" s="18"/>
      <c r="J392" s="24" t="s">
        <v>312</v>
      </c>
      <c r="K392" s="24" t="s">
        <v>312</v>
      </c>
      <c r="L392" s="56">
        <f t="shared" si="26"/>
        <v>257.83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14172.939999999999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14172.939999999999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491889.09</v>
      </c>
      <c r="H400" s="47">
        <f>H385+H393+H399</f>
        <v>20779.87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512668.96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1400000</v>
      </c>
      <c r="L407" s="56">
        <f t="shared" si="27"/>
        <v>1400000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1400000</v>
      </c>
      <c r="L411" s="47">
        <f t="shared" si="28"/>
        <v>1400000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1400000</v>
      </c>
      <c r="L426" s="47">
        <f t="shared" si="32"/>
        <v>1400000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f>632746.61+45957.56+7026.84+58307.76+4012.15+77584.95</f>
        <v>825635.86999999988</v>
      </c>
      <c r="G432" s="18">
        <f>342774.75+25391.08+680225.81+280876.02</f>
        <v>1329267.6600000001</v>
      </c>
      <c r="H432" s="18"/>
      <c r="I432" s="56">
        <f t="shared" si="33"/>
        <v>2154903.5300000003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825635.86999999988</v>
      </c>
      <c r="G438" s="13">
        <f>SUM(G431:G437)</f>
        <v>1329267.6600000001</v>
      </c>
      <c r="H438" s="13">
        <f>SUM(H431:H437)</f>
        <v>0</v>
      </c>
      <c r="I438" s="13">
        <f>SUM(I431:I437)</f>
        <v>2154903.5300000003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825635.87</v>
      </c>
      <c r="G449" s="18">
        <v>1329267.6599999999</v>
      </c>
      <c r="H449" s="18"/>
      <c r="I449" s="56">
        <f>SUM(F449:H449)</f>
        <v>2154903.5299999998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825635.87</v>
      </c>
      <c r="G450" s="83">
        <f>SUM(G446:G449)</f>
        <v>1329267.6599999999</v>
      </c>
      <c r="H450" s="83">
        <f>SUM(H446:H449)</f>
        <v>0</v>
      </c>
      <c r="I450" s="83">
        <f>SUM(I446:I449)</f>
        <v>2154903.5299999998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825635.87</v>
      </c>
      <c r="G451" s="42">
        <f>G444+G450</f>
        <v>1329267.6599999999</v>
      </c>
      <c r="H451" s="42">
        <f>H444+H450</f>
        <v>0</v>
      </c>
      <c r="I451" s="42">
        <f>I444+I450</f>
        <v>2154903.5299999998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f>468758.68+23130.41</f>
        <v>491889.08999999997</v>
      </c>
      <c r="G455" s="18">
        <v>0</v>
      </c>
      <c r="H455" s="18">
        <v>163821.22</v>
      </c>
      <c r="I455" s="18">
        <v>0</v>
      </c>
      <c r="J455" s="18">
        <f>3071276.88-23130.41</f>
        <v>3048146.4699999997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24578985.809999999</v>
      </c>
      <c r="G458" s="18">
        <v>858599.28</v>
      </c>
      <c r="H458" s="18">
        <v>1402826.05</v>
      </c>
      <c r="I458" s="18">
        <v>3400000</v>
      </c>
      <c r="J458" s="18">
        <f>491889.09+20779.87</f>
        <v>512668.96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15.385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24579001.195</v>
      </c>
      <c r="G460" s="53">
        <f>SUM(G458:G459)</f>
        <v>858599.28</v>
      </c>
      <c r="H460" s="53">
        <f>SUM(H458:H459)</f>
        <v>1402826.05</v>
      </c>
      <c r="I460" s="53">
        <f>SUM(I458:I459)</f>
        <v>3400000</v>
      </c>
      <c r="J460" s="53">
        <f>SUM(J458:J459)</f>
        <v>512668.96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24650603.359999999</v>
      </c>
      <c r="G462" s="18">
        <v>858599.28</v>
      </c>
      <c r="H462" s="18">
        <v>1527891.67</v>
      </c>
      <c r="I462" s="18">
        <v>2772943.25</v>
      </c>
      <c r="J462" s="18">
        <f>1400000</f>
        <v>1400000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>
        <v>5911.9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24650603.359999999</v>
      </c>
      <c r="G464" s="53">
        <f>SUM(G462:G463)</f>
        <v>858599.28</v>
      </c>
      <c r="H464" s="53">
        <f>SUM(H462:H463)</f>
        <v>1527891.67</v>
      </c>
      <c r="I464" s="53">
        <f>SUM(I462:I463)</f>
        <v>2772943.25</v>
      </c>
      <c r="J464" s="53">
        <f>SUM(J462:J463)</f>
        <v>1405911.9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420286.92500000075</v>
      </c>
      <c r="G466" s="53">
        <f>(G455+G460)- G464</f>
        <v>0</v>
      </c>
      <c r="H466" s="53">
        <f>(H455+H460)- H464</f>
        <v>38755.600000000093</v>
      </c>
      <c r="I466" s="53">
        <f>(I455+I460)- I464</f>
        <v>627056.75</v>
      </c>
      <c r="J466" s="53">
        <f>(J455+J460)- J464</f>
        <v>2154903.5299999998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19</v>
      </c>
      <c r="G480" s="154">
        <v>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1911965</v>
      </c>
      <c r="G483" s="18">
        <v>3042452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0.05</v>
      </c>
      <c r="G484" s="18">
        <v>2.35E-2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1500000</v>
      </c>
      <c r="G485" s="18">
        <v>0</v>
      </c>
      <c r="H485" s="18"/>
      <c r="I485" s="18"/>
      <c r="J485" s="18"/>
      <c r="K485" s="53">
        <f>SUM(F485:J485)</f>
        <v>1500000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2000000</v>
      </c>
      <c r="H486" s="18"/>
      <c r="I486" s="18"/>
      <c r="J486" s="18"/>
      <c r="K486" s="53">
        <f t="shared" ref="K486:K493" si="34">SUM(F486:J486)</f>
        <v>2000000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100000</v>
      </c>
      <c r="G487" s="18">
        <v>0</v>
      </c>
      <c r="H487" s="18"/>
      <c r="I487" s="18"/>
      <c r="J487" s="18"/>
      <c r="K487" s="53">
        <f t="shared" si="34"/>
        <v>100000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1400000</v>
      </c>
      <c r="G488" s="205">
        <v>2000000</v>
      </c>
      <c r="H488" s="205"/>
      <c r="I488" s="205"/>
      <c r="J488" s="205"/>
      <c r="K488" s="206">
        <f t="shared" si="34"/>
        <v>3400000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436037.5</v>
      </c>
      <c r="G489" s="18">
        <v>5876.52</v>
      </c>
      <c r="H489" s="18"/>
      <c r="I489" s="18"/>
      <c r="J489" s="18"/>
      <c r="K489" s="53">
        <f t="shared" si="34"/>
        <v>441914.02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1836037.5</v>
      </c>
      <c r="G490" s="42">
        <f>SUM(G488:G489)</f>
        <v>2005876.52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3841914.02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100000</v>
      </c>
      <c r="G491" s="205">
        <v>608492</v>
      </c>
      <c r="H491" s="205"/>
      <c r="I491" s="205"/>
      <c r="J491" s="205"/>
      <c r="K491" s="206">
        <f t="shared" si="34"/>
        <v>708492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32362.5+29862.5</f>
        <v>62225</v>
      </c>
      <c r="G492" s="18">
        <v>5876.52</v>
      </c>
      <c r="H492" s="18"/>
      <c r="I492" s="18"/>
      <c r="J492" s="18"/>
      <c r="K492" s="53">
        <f t="shared" si="34"/>
        <v>68101.52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162225</v>
      </c>
      <c r="G493" s="42">
        <f>SUM(G491:G492)</f>
        <v>614368.52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776593.52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2023814.73+3076.61+1560+154404.85-346445.61</f>
        <v>1836410.58</v>
      </c>
      <c r="G511" s="18">
        <f>626702.75+362.77+131.46+45744.43-109403.88</f>
        <v>563537.53</v>
      </c>
      <c r="H511" s="18">
        <f>799095.06+30717.95+449.77+38207.29+19677.54</f>
        <v>888147.6100000001</v>
      </c>
      <c r="I511" s="18">
        <f>18534.74+27052.29+7571.26+2185.75</f>
        <v>55344.04</v>
      </c>
      <c r="J511" s="18">
        <f>6631.37+52540.98+11328.44</f>
        <v>70500.790000000008</v>
      </c>
      <c r="K511" s="18">
        <v>3648.96</v>
      </c>
      <c r="L511" s="88">
        <f>SUM(F511:K511)</f>
        <v>3417589.5100000007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1089746.39+1656.63+840+83141.08</f>
        <v>1175384.0999999999</v>
      </c>
      <c r="G513" s="18">
        <f>24631.61+70.79+195.34+337455.33</f>
        <v>362353.07</v>
      </c>
      <c r="H513" s="18">
        <f>20573.16+242.19+16540.43+430281.95</f>
        <v>467637.73</v>
      </c>
      <c r="I513" s="18">
        <f>4076.83+14566.62+9980.25</f>
        <v>28623.7</v>
      </c>
      <c r="J513" s="18">
        <f>6099.93+28291.29+3570.74</f>
        <v>37961.96</v>
      </c>
      <c r="K513" s="18">
        <v>1964.8</v>
      </c>
      <c r="L513" s="88">
        <f>SUM(F513:K513)</f>
        <v>2073925.3599999999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3011794.6799999997</v>
      </c>
      <c r="G514" s="108">
        <f t="shared" ref="G514:L514" si="35">SUM(G511:G513)</f>
        <v>925890.60000000009</v>
      </c>
      <c r="H514" s="108">
        <f t="shared" si="35"/>
        <v>1355785.34</v>
      </c>
      <c r="I514" s="108">
        <f t="shared" si="35"/>
        <v>83967.74</v>
      </c>
      <c r="J514" s="108">
        <f t="shared" si="35"/>
        <v>108462.75</v>
      </c>
      <c r="K514" s="108">
        <f t="shared" si="35"/>
        <v>5613.76</v>
      </c>
      <c r="L514" s="89">
        <f t="shared" si="35"/>
        <v>5491514.870000001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195.96+1171.71+346445.61</f>
        <v>347813.27999999997</v>
      </c>
      <c r="G516" s="18">
        <f>27.43+129.65+109403.88</f>
        <v>109560.96000000001</v>
      </c>
      <c r="H516" s="18">
        <f>1987.7+97.5</f>
        <v>2085.1999999999998</v>
      </c>
      <c r="I516" s="18"/>
      <c r="J516" s="18"/>
      <c r="K516" s="18"/>
      <c r="L516" s="88">
        <f>SUM(F516:K516)</f>
        <v>459459.44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105.52+630.92+186547.63</f>
        <v>187284.07</v>
      </c>
      <c r="G518" s="18">
        <f>14.77+69.81+58909.78</f>
        <v>58994.36</v>
      </c>
      <c r="H518" s="18">
        <f>1070.3+52.5</f>
        <v>1122.8</v>
      </c>
      <c r="I518" s="18"/>
      <c r="J518" s="18"/>
      <c r="K518" s="18"/>
      <c r="L518" s="88">
        <f>SUM(F518:K518)</f>
        <v>247401.22999999998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535097.35</v>
      </c>
      <c r="G519" s="89">
        <f t="shared" ref="G519:L519" si="36">SUM(G516:G518)</f>
        <v>168555.32</v>
      </c>
      <c r="H519" s="89">
        <f t="shared" si="36"/>
        <v>3208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706860.66999999993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1597+21.79+3647.66+81922.05</f>
        <v>87188.5</v>
      </c>
      <c r="G521" s="18">
        <v>19931.099999999999</v>
      </c>
      <c r="H521" s="18"/>
      <c r="I521" s="18"/>
      <c r="J521" s="18"/>
      <c r="K521" s="18"/>
      <c r="L521" s="88">
        <f>SUM(F521:K521)</f>
        <v>107119.6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859.92+11.74+1964.12+152140.95</f>
        <v>154976.73000000001</v>
      </c>
      <c r="G523" s="18">
        <v>37014.9</v>
      </c>
      <c r="H523" s="18"/>
      <c r="I523" s="18"/>
      <c r="J523" s="18"/>
      <c r="K523" s="18"/>
      <c r="L523" s="88">
        <f>SUM(F523:K523)</f>
        <v>191991.63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242165.23</v>
      </c>
      <c r="G524" s="89">
        <f t="shared" ref="G524:L524" si="37">SUM(G521:G523)</f>
        <v>56946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299111.23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111196.17</v>
      </c>
      <c r="G531" s="18">
        <v>75332.67</v>
      </c>
      <c r="H531" s="18">
        <v>61962.59</v>
      </c>
      <c r="I531" s="18">
        <v>24536.74</v>
      </c>
      <c r="J531" s="18">
        <v>1493.37</v>
      </c>
      <c r="K531" s="18">
        <v>92.14</v>
      </c>
      <c r="L531" s="88">
        <f>SUM(F531:K531)</f>
        <v>274613.68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59874.86</v>
      </c>
      <c r="G533" s="18">
        <v>40563.75</v>
      </c>
      <c r="H533" s="18">
        <v>33364.47</v>
      </c>
      <c r="I533" s="18">
        <v>13212.09</v>
      </c>
      <c r="J533" s="18">
        <v>804.12</v>
      </c>
      <c r="K533" s="18">
        <v>49.61</v>
      </c>
      <c r="L533" s="88">
        <f>SUM(F533:K533)</f>
        <v>147868.9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171071.03</v>
      </c>
      <c r="G534" s="194">
        <f t="shared" ref="G534:L534" si="39">SUM(G531:G533)</f>
        <v>115896.42</v>
      </c>
      <c r="H534" s="194">
        <f t="shared" si="39"/>
        <v>95327.06</v>
      </c>
      <c r="I534" s="194">
        <f t="shared" si="39"/>
        <v>37748.83</v>
      </c>
      <c r="J534" s="194">
        <f t="shared" si="39"/>
        <v>2297.4899999999998</v>
      </c>
      <c r="K534" s="194">
        <f t="shared" si="39"/>
        <v>141.75</v>
      </c>
      <c r="L534" s="194">
        <f t="shared" si="39"/>
        <v>422482.57999999996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3960128.2899999996</v>
      </c>
      <c r="G535" s="89">
        <f t="shared" ref="G535:L535" si="40">G514+G519+G524+G529+G534</f>
        <v>1267288.3400000001</v>
      </c>
      <c r="H535" s="89">
        <f t="shared" si="40"/>
        <v>1454320.4000000001</v>
      </c>
      <c r="I535" s="89">
        <f t="shared" si="40"/>
        <v>121716.57</v>
      </c>
      <c r="J535" s="89">
        <f t="shared" si="40"/>
        <v>110760.24</v>
      </c>
      <c r="K535" s="89">
        <f t="shared" si="40"/>
        <v>5755.51</v>
      </c>
      <c r="L535" s="89">
        <f t="shared" si="40"/>
        <v>6919969.3500000015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3417589.5100000007</v>
      </c>
      <c r="G539" s="87">
        <f>L516</f>
        <v>459459.44</v>
      </c>
      <c r="H539" s="87">
        <f>L521</f>
        <v>107119.6</v>
      </c>
      <c r="I539" s="87">
        <f>L526</f>
        <v>0</v>
      </c>
      <c r="J539" s="87">
        <f>L531</f>
        <v>274613.68</v>
      </c>
      <c r="K539" s="87">
        <f>SUM(F539:J539)</f>
        <v>4258782.2300000004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2073925.3599999999</v>
      </c>
      <c r="G541" s="87">
        <f>L518</f>
        <v>247401.22999999998</v>
      </c>
      <c r="H541" s="87">
        <f>L523</f>
        <v>191991.63</v>
      </c>
      <c r="I541" s="87">
        <f>L528</f>
        <v>0</v>
      </c>
      <c r="J541" s="87">
        <f>L533</f>
        <v>147868.9</v>
      </c>
      <c r="K541" s="87">
        <f>SUM(F541:J541)</f>
        <v>2661187.1199999996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5491514.870000001</v>
      </c>
      <c r="G542" s="89">
        <f t="shared" si="41"/>
        <v>706860.66999999993</v>
      </c>
      <c r="H542" s="89">
        <f t="shared" si="41"/>
        <v>299111.23</v>
      </c>
      <c r="I542" s="89">
        <f t="shared" si="41"/>
        <v>0</v>
      </c>
      <c r="J542" s="89">
        <f t="shared" si="41"/>
        <v>422482.57999999996</v>
      </c>
      <c r="K542" s="89">
        <f t="shared" si="41"/>
        <v>6919969.3499999996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4203.1+5110.92+3694.45+12428.1+1875.81+7185.56</f>
        <v>34497.94</v>
      </c>
      <c r="G569" s="4"/>
      <c r="H569" s="18">
        <f>12977.98+3317.76+6246.44</f>
        <v>22542.18</v>
      </c>
      <c r="I569" s="87">
        <f>SUM(F569:H569)</f>
        <v>57040.12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f>21540.75+17277.4+2280</f>
        <v>41098.15</v>
      </c>
      <c r="G570" s="18"/>
      <c r="H570" s="18"/>
      <c r="I570" s="87">
        <f t="shared" si="46"/>
        <v>41098.15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70700+55424.38+23730+8806+23362.81+10102.08+390+37625+65489.68-12007.76</f>
        <v>283622.19</v>
      </c>
      <c r="G572" s="4"/>
      <c r="H572" s="18">
        <f>147982.69+20634.75+16156.08+20351.94+36966+61342.78+111420.72+341422.2</f>
        <v>756277.15999999992</v>
      </c>
      <c r="I572" s="87">
        <f>SUM(F572:H572)</f>
        <v>1039899.3499999999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6081.72</v>
      </c>
      <c r="I574" s="87">
        <f t="shared" si="46"/>
        <v>6081.72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359025</v>
      </c>
      <c r="I575" s="87">
        <f t="shared" si="46"/>
        <v>359025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200681.44+209270.62</f>
        <v>409952.06</v>
      </c>
      <c r="I581" s="18"/>
      <c r="J581" s="18">
        <f>134267.7+38817.62</f>
        <v>173085.32</v>
      </c>
      <c r="K581" s="104">
        <f t="shared" ref="K581:K587" si="47">SUM(H581:J581)</f>
        <v>583037.38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274613.68</v>
      </c>
      <c r="I582" s="18"/>
      <c r="J582" s="18">
        <v>147868.9</v>
      </c>
      <c r="K582" s="104">
        <f t="shared" si="47"/>
        <v>422482.57999999996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23262.3+6725.27</f>
        <v>29987.57</v>
      </c>
      <c r="K583" s="104">
        <f t="shared" si="47"/>
        <v>29987.57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f>10242.82+10681.21</f>
        <v>20924.03</v>
      </c>
      <c r="I584" s="18"/>
      <c r="J584" s="18">
        <f>18833.66+5444.93</f>
        <v>24278.59</v>
      </c>
      <c r="K584" s="104">
        <f t="shared" si="47"/>
        <v>45202.619999999995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9311.96+9710.51</f>
        <v>19022.47</v>
      </c>
      <c r="I585" s="18"/>
      <c r="J585" s="18">
        <f>6780.4+1960.26</f>
        <v>8740.66</v>
      </c>
      <c r="K585" s="104">
        <f t="shared" si="47"/>
        <v>27763.13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48055.37</v>
      </c>
      <c r="I587" s="18"/>
      <c r="J587" s="18">
        <v>32036.9</v>
      </c>
      <c r="K587" s="104">
        <f t="shared" si="47"/>
        <v>80092.27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772567.61</v>
      </c>
      <c r="I588" s="108">
        <f>SUM(I581:I587)</f>
        <v>0</v>
      </c>
      <c r="J588" s="108">
        <f>SUM(J581:J587)</f>
        <v>415997.94</v>
      </c>
      <c r="K588" s="108">
        <f>SUM(K581:K587)</f>
        <v>1188565.5499999998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285533.95</v>
      </c>
      <c r="I594" s="18"/>
      <c r="J594" s="18">
        <v>153307.56</v>
      </c>
      <c r="K594" s="104">
        <f>SUM(H594:J594)</f>
        <v>438841.51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285533.95</v>
      </c>
      <c r="I595" s="108">
        <f>SUM(I592:I594)</f>
        <v>0</v>
      </c>
      <c r="J595" s="108">
        <f>SUM(J592:J594)</f>
        <v>153307.56</v>
      </c>
      <c r="K595" s="108">
        <f>SUM(K592:K594)</f>
        <v>438841.51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88501.51+5229.88</f>
        <v>93731.39</v>
      </c>
      <c r="G601" s="18">
        <v>10279.4</v>
      </c>
      <c r="H601" s="18">
        <v>3500</v>
      </c>
      <c r="I601" s="18">
        <v>1592.6</v>
      </c>
      <c r="J601" s="18"/>
      <c r="K601" s="18"/>
      <c r="L601" s="88">
        <f>SUM(F601:K601)</f>
        <v>109103.39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6452.95</v>
      </c>
      <c r="G603" s="18">
        <v>738.84</v>
      </c>
      <c r="H603" s="18"/>
      <c r="I603" s="18"/>
      <c r="J603" s="18"/>
      <c r="K603" s="18"/>
      <c r="L603" s="88">
        <f>SUM(F603:K603)</f>
        <v>7191.79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100184.34</v>
      </c>
      <c r="G604" s="108">
        <f t="shared" si="48"/>
        <v>11018.24</v>
      </c>
      <c r="H604" s="108">
        <f t="shared" si="48"/>
        <v>3500</v>
      </c>
      <c r="I604" s="108">
        <f t="shared" si="48"/>
        <v>1592.6</v>
      </c>
      <c r="J604" s="108">
        <f t="shared" si="48"/>
        <v>0</v>
      </c>
      <c r="K604" s="108">
        <f t="shared" si="48"/>
        <v>0</v>
      </c>
      <c r="L604" s="89">
        <f t="shared" si="48"/>
        <v>116295.18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755188.6</v>
      </c>
      <c r="H607" s="109">
        <f>SUM(F44)</f>
        <v>755188.60000000009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71732.839999999967</v>
      </c>
      <c r="H609" s="109">
        <f>SUM(H44)</f>
        <v>71732.84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650671.75</v>
      </c>
      <c r="H610" s="109">
        <f>SUM(I44)</f>
        <v>650671.75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2154903.5300000003</v>
      </c>
      <c r="H611" s="109">
        <f>SUM(J44)</f>
        <v>2154903.5299999998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420286.93</v>
      </c>
      <c r="H612" s="109">
        <f>F466</f>
        <v>420286.92500000075</v>
      </c>
      <c r="I612" s="121" t="s">
        <v>106</v>
      </c>
      <c r="J612" s="109">
        <f t="shared" ref="J612:J645" si="49">G612-H612</f>
        <v>4.999999247957021E-3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38755.599999999999</v>
      </c>
      <c r="H614" s="109">
        <f>H466</f>
        <v>38755.600000000093</v>
      </c>
      <c r="I614" s="121" t="s">
        <v>110</v>
      </c>
      <c r="J614" s="109">
        <f t="shared" si="49"/>
        <v>-9.4587448984384537E-11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627056.75</v>
      </c>
      <c r="H615" s="109">
        <f>I466</f>
        <v>627056.75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2154903.5299999998</v>
      </c>
      <c r="H616" s="109">
        <f>J466</f>
        <v>2154903.5299999998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24578985.810000002</v>
      </c>
      <c r="H617" s="104">
        <f>SUM(F458)</f>
        <v>24578985.809999999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858599.28</v>
      </c>
      <c r="H618" s="104">
        <f>SUM(G458)</f>
        <v>858599.28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1402826.0500000003</v>
      </c>
      <c r="H619" s="104">
        <f>SUM(H458)</f>
        <v>1402826.05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3400000</v>
      </c>
      <c r="H620" s="104">
        <f>SUM(I458)</f>
        <v>3400000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512668.96</v>
      </c>
      <c r="H621" s="104">
        <f>SUM(J458)</f>
        <v>512668.96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24650603.361500002</v>
      </c>
      <c r="H622" s="104">
        <f>SUM(F462)</f>
        <v>24650603.359999999</v>
      </c>
      <c r="I622" s="140" t="s">
        <v>120</v>
      </c>
      <c r="J622" s="109">
        <f t="shared" si="49"/>
        <v>1.5000030398368835E-3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1527891.6700000002</v>
      </c>
      <c r="H623" s="104">
        <f>SUM(H462)</f>
        <v>1527891.67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430082.31</v>
      </c>
      <c r="H624" s="104">
        <f>I361</f>
        <v>430082.31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858599.28</v>
      </c>
      <c r="H625" s="104">
        <f>SUM(G462)</f>
        <v>858599.28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2772943.25</v>
      </c>
      <c r="H626" s="104">
        <f>SUM(I462)</f>
        <v>2772943.25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512668.96</v>
      </c>
      <c r="H627" s="164">
        <f>SUM(J458)</f>
        <v>512668.96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1400000</v>
      </c>
      <c r="H628" s="164">
        <f>SUM(J462)</f>
        <v>1400000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825635.86999999988</v>
      </c>
      <c r="H629" s="104">
        <f>SUM(F451)</f>
        <v>825635.87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1329267.6600000001</v>
      </c>
      <c r="H630" s="104">
        <f>SUM(G451)</f>
        <v>1329267.6599999999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2154903.5300000003</v>
      </c>
      <c r="H632" s="104">
        <f>SUM(I451)</f>
        <v>2154903.5299999998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20779.87</v>
      </c>
      <c r="H634" s="104">
        <f>H400</f>
        <v>20779.87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491889.09</v>
      </c>
      <c r="H635" s="104">
        <f>G400</f>
        <v>491889.09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512668.96</v>
      </c>
      <c r="H636" s="104">
        <f>L400</f>
        <v>512668.96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1188565.5499999998</v>
      </c>
      <c r="H637" s="104">
        <f>L200+L218+L236</f>
        <v>1188565.5449999999</v>
      </c>
      <c r="I637" s="140" t="s">
        <v>420</v>
      </c>
      <c r="J637" s="109">
        <f t="shared" si="49"/>
        <v>4.999999888241291E-3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438841.51</v>
      </c>
      <c r="H638" s="104">
        <f>(J249+J330)-(J247+J328)</f>
        <v>438841.51050000003</v>
      </c>
      <c r="I638" s="140" t="s">
        <v>734</v>
      </c>
      <c r="J638" s="109">
        <f t="shared" si="49"/>
        <v>-5.0000002374872565E-4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772567.60700000008</v>
      </c>
      <c r="H639" s="104">
        <f>H588</f>
        <v>772567.61</v>
      </c>
      <c r="I639" s="140" t="s">
        <v>412</v>
      </c>
      <c r="J639" s="109">
        <f t="shared" si="49"/>
        <v>-2.9999999096617103E-3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415997.93799999997</v>
      </c>
      <c r="H641" s="104">
        <f>J588</f>
        <v>415997.94</v>
      </c>
      <c r="I641" s="140" t="s">
        <v>414</v>
      </c>
      <c r="J641" s="109">
        <f t="shared" si="49"/>
        <v>-2.0000000367872417E-3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118515.82</v>
      </c>
      <c r="H642" s="104">
        <f>K255+K337</f>
        <v>118515.82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491889.09</v>
      </c>
      <c r="H645" s="104">
        <f>K258+K339</f>
        <v>491889.09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5.9999972581863403E-3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16154738.168500004</v>
      </c>
      <c r="G650" s="19">
        <f>(L221+L301+L351)</f>
        <v>0</v>
      </c>
      <c r="H650" s="19">
        <f>(L239+L320+L352)</f>
        <v>9706209.6530000009</v>
      </c>
      <c r="I650" s="19">
        <f>SUM(F650:H650)</f>
        <v>25860947.821500003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271269.86549665401</v>
      </c>
      <c r="G651" s="19">
        <f>(L351/IF(SUM(L350:L352)=0,1,SUM(L350:L352))*(SUM(G89:G102)))</f>
        <v>0</v>
      </c>
      <c r="H651" s="19">
        <f>(L352/IF(SUM(L350:L352)=0,1,SUM(L350:L352))*(SUM(G89:G102)))</f>
        <v>150400.49450334595</v>
      </c>
      <c r="I651" s="19">
        <f>SUM(F651:H651)</f>
        <v>421670.36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766594.14600000007</v>
      </c>
      <c r="G652" s="19">
        <f>(L218+L298)-(J218+J298)</f>
        <v>0</v>
      </c>
      <c r="H652" s="19">
        <f>(L236+L317)-(J236+J317)</f>
        <v>412781.45899999997</v>
      </c>
      <c r="I652" s="19">
        <f>SUM(F652:H652)</f>
        <v>1179375.605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753855.62</v>
      </c>
      <c r="G653" s="200">
        <f>SUM(G565:G577)+SUM(I592:I594)+L602</f>
        <v>0</v>
      </c>
      <c r="H653" s="200">
        <f>SUM(H565:H577)+SUM(J592:J594)+L603</f>
        <v>1304425.4100000001</v>
      </c>
      <c r="I653" s="19">
        <f>SUM(F653:H653)</f>
        <v>2058281.0300000003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14363018.53700335</v>
      </c>
      <c r="G654" s="19">
        <f>G650-SUM(G651:G653)</f>
        <v>0</v>
      </c>
      <c r="H654" s="19">
        <f>H650-SUM(H651:H653)</f>
        <v>7838602.2894966546</v>
      </c>
      <c r="I654" s="19">
        <f>I650-SUM(I651:I653)</f>
        <v>22201620.826500002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1097.73</v>
      </c>
      <c r="G655" s="249"/>
      <c r="H655" s="249">
        <v>593.34</v>
      </c>
      <c r="I655" s="19">
        <f>SUM(F655:H655)</f>
        <v>1691.0700000000002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13084.29</v>
      </c>
      <c r="G657" s="19" t="e">
        <f>ROUND(G654/G655,2)</f>
        <v>#DIV/0!</v>
      </c>
      <c r="H657" s="19">
        <f>ROUND(H654/H655,2)</f>
        <v>13210.98</v>
      </c>
      <c r="I657" s="19">
        <f>ROUND(I654/I655,2)</f>
        <v>13128.74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-24.75</v>
      </c>
      <c r="I660" s="19">
        <f>SUM(F660:H660)</f>
        <v>-24.75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13084.29</v>
      </c>
      <c r="G662" s="19" t="e">
        <f>ROUND((G654+G659)/(G655+G660),2)</f>
        <v>#DIV/0!</v>
      </c>
      <c r="H662" s="19">
        <f>ROUND((H654+H659)/(H655+H660),2)</f>
        <v>13786.04</v>
      </c>
      <c r="I662" s="19">
        <f>ROUND((I654+I659)/(I655+I660),2)</f>
        <v>13323.74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752C-E018-49F4-9D72-8820421946F6}">
  <sheetPr>
    <tabColor indexed="20"/>
  </sheetPr>
  <dimension ref="A1:C52"/>
  <sheetViews>
    <sheetView topLeftCell="A2" workbookViewId="0">
      <selection activeCell="B13" sqref="B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Fall Mountain Regional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2" t="s">
        <v>815</v>
      </c>
      <c r="B3" s="272"/>
      <c r="C3" s="272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4" t="s">
        <v>813</v>
      </c>
      <c r="C7" s="275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6315981.6729999995</v>
      </c>
      <c r="C9" s="230">
        <f>'DOE25'!G189+'DOE25'!G207+'DOE25'!G225+'DOE25'!G268+'DOE25'!G287+'DOE25'!G306</f>
        <v>2675870.2199999997</v>
      </c>
    </row>
    <row r="10" spans="1:3" x14ac:dyDescent="0.2">
      <c r="A10" t="s">
        <v>810</v>
      </c>
      <c r="B10" s="241">
        <v>6215983.2599999998</v>
      </c>
      <c r="C10" s="241">
        <v>2666220.35</v>
      </c>
    </row>
    <row r="11" spans="1:3" x14ac:dyDescent="0.2">
      <c r="A11" t="s">
        <v>811</v>
      </c>
      <c r="B11" s="241">
        <v>96435.91</v>
      </c>
      <c r="C11" s="241">
        <v>9377.34</v>
      </c>
    </row>
    <row r="12" spans="1:3" x14ac:dyDescent="0.2">
      <c r="A12" t="s">
        <v>812</v>
      </c>
      <c r="B12" s="241">
        <v>3562.5</v>
      </c>
      <c r="C12" s="241">
        <v>272.52999999999997</v>
      </c>
    </row>
    <row r="13" spans="1:3" x14ac:dyDescent="0.2">
      <c r="A13" t="str">
        <f>IF(B9=B13,IF(C9=C13,"Check Total OK","Check Total Error"),"Check Total Error")</f>
        <v>Check Total Error</v>
      </c>
      <c r="B13" s="232">
        <f>SUM(B10:B12)</f>
        <v>6315981.6699999999</v>
      </c>
      <c r="C13" s="232">
        <f>SUM(C10:C12)</f>
        <v>2675870.2199999997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4" t="s">
        <v>738</v>
      </c>
      <c r="C16" s="275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3361851.8400000003</v>
      </c>
      <c r="C18" s="230">
        <f>'DOE25'!G190+'DOE25'!G208+'DOE25'!G226+'DOE25'!G269+'DOE25'!G288+'DOE25'!G307</f>
        <v>1035830.6500000001</v>
      </c>
    </row>
    <row r="19" spans="1:3" x14ac:dyDescent="0.2">
      <c r="A19" t="s">
        <v>810</v>
      </c>
      <c r="B19" s="241">
        <v>1460118.38</v>
      </c>
      <c r="C19" s="241">
        <v>549881.63</v>
      </c>
    </row>
    <row r="20" spans="1:3" x14ac:dyDescent="0.2">
      <c r="A20" t="s">
        <v>811</v>
      </c>
      <c r="B20" s="241">
        <v>1322823.4099999999</v>
      </c>
      <c r="C20" s="241">
        <v>307579.24</v>
      </c>
    </row>
    <row r="21" spans="1:3" x14ac:dyDescent="0.2">
      <c r="A21" t="s">
        <v>812</v>
      </c>
      <c r="B21" s="241">
        <v>578910.05000000005</v>
      </c>
      <c r="C21" s="241">
        <v>178369.78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3361851.84</v>
      </c>
      <c r="C22" s="232">
        <f>SUM(C19:C21)</f>
        <v>1035830.65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4" t="s">
        <v>739</v>
      </c>
      <c r="C25" s="275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327334</v>
      </c>
      <c r="C27" s="235">
        <f>'DOE25'!G191+'DOE25'!G209+'DOE25'!G227+'DOE25'!G270+'DOE25'!G289+'DOE25'!G308</f>
        <v>130523.73</v>
      </c>
    </row>
    <row r="28" spans="1:3" x14ac:dyDescent="0.2">
      <c r="A28" t="s">
        <v>810</v>
      </c>
      <c r="B28" s="241">
        <v>327334</v>
      </c>
      <c r="C28" s="241">
        <v>130523.73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327334</v>
      </c>
      <c r="C31" s="232">
        <f>SUM(C28:C30)</f>
        <v>130523.73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4" t="s">
        <v>740</v>
      </c>
      <c r="C34" s="275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241519</v>
      </c>
      <c r="C36" s="236">
        <f>'DOE25'!G192+'DOE25'!G210+'DOE25'!G228+'DOE25'!G271+'DOE25'!G290+'DOE25'!G309</f>
        <v>39631.980000000003</v>
      </c>
    </row>
    <row r="37" spans="1:3" x14ac:dyDescent="0.2">
      <c r="A37" t="s">
        <v>810</v>
      </c>
      <c r="B37" s="241">
        <v>148793</v>
      </c>
      <c r="C37" s="241">
        <v>18805.21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f>35550+57176</f>
        <v>92726</v>
      </c>
      <c r="C39" s="241">
        <v>20826.77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241519</v>
      </c>
      <c r="C40" s="232">
        <f>SUM(C37:C39)</f>
        <v>39631.979999999996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C08C-13E2-450E-91E5-B754F76EE30A}">
  <sheetPr>
    <tabColor indexed="11"/>
  </sheetPr>
  <dimension ref="A1:I51"/>
  <sheetViews>
    <sheetView workbookViewId="0">
      <pane ySplit="4" topLeftCell="A19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Fall Mountain Regional School District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15751814.374000002</v>
      </c>
      <c r="D5" s="20">
        <f>SUM('DOE25'!L189:L192)+SUM('DOE25'!L207:L210)+SUM('DOE25'!L225:L228)-F5-G5</f>
        <v>15508481.076500002</v>
      </c>
      <c r="E5" s="244"/>
      <c r="F5" s="256">
        <f>SUM('DOE25'!J189:J192)+SUM('DOE25'!J207:J210)+SUM('DOE25'!J225:J228)</f>
        <v>221388.0575</v>
      </c>
      <c r="G5" s="53">
        <f>SUM('DOE25'!K189:K192)+SUM('DOE25'!K207:K210)+SUM('DOE25'!K225:K228)</f>
        <v>21945.239999999998</v>
      </c>
      <c r="H5" s="260"/>
    </row>
    <row r="6" spans="1:9" x14ac:dyDescent="0.2">
      <c r="A6" s="32">
        <v>2100</v>
      </c>
      <c r="B6" t="s">
        <v>832</v>
      </c>
      <c r="C6" s="246">
        <f t="shared" si="0"/>
        <v>1165989.8699999999</v>
      </c>
      <c r="D6" s="20">
        <f>'DOE25'!L194+'DOE25'!L212+'DOE25'!L230-F6-G6</f>
        <v>1160842.0999999999</v>
      </c>
      <c r="E6" s="244"/>
      <c r="F6" s="256">
        <f>'DOE25'!J194+'DOE25'!J212+'DOE25'!J230</f>
        <v>4572.7699999999995</v>
      </c>
      <c r="G6" s="53">
        <f>'DOE25'!K194+'DOE25'!K212+'DOE25'!K230</f>
        <v>575</v>
      </c>
      <c r="H6" s="260"/>
    </row>
    <row r="7" spans="1:9" x14ac:dyDescent="0.2">
      <c r="A7" s="32">
        <v>2200</v>
      </c>
      <c r="B7" t="s">
        <v>865</v>
      </c>
      <c r="C7" s="246">
        <f t="shared" si="0"/>
        <v>867201.97999999975</v>
      </c>
      <c r="D7" s="20">
        <f>'DOE25'!L195+'DOE25'!L213+'DOE25'!L231-F7-G7</f>
        <v>859161.06999999972</v>
      </c>
      <c r="E7" s="244"/>
      <c r="F7" s="256">
        <f>'DOE25'!J195+'DOE25'!J213+'DOE25'!J231</f>
        <v>3747.35</v>
      </c>
      <c r="G7" s="53">
        <f>'DOE25'!K195+'DOE25'!K213+'DOE25'!K231</f>
        <v>4293.5599999999995</v>
      </c>
      <c r="H7" s="260"/>
    </row>
    <row r="8" spans="1:9" x14ac:dyDescent="0.2">
      <c r="A8" s="32">
        <v>2300</v>
      </c>
      <c r="B8" t="s">
        <v>833</v>
      </c>
      <c r="C8" s="246">
        <f t="shared" si="0"/>
        <v>131407.19299999994</v>
      </c>
      <c r="D8" s="244"/>
      <c r="E8" s="20">
        <f>'DOE25'!L196+'DOE25'!L214+'DOE25'!L232-F8-G8-D9-D11</f>
        <v>113195.30999999994</v>
      </c>
      <c r="F8" s="256">
        <f>'DOE25'!J196+'DOE25'!J214+'DOE25'!J232</f>
        <v>10339.983</v>
      </c>
      <c r="G8" s="53">
        <f>'DOE25'!K196+'DOE25'!K214+'DOE25'!K232</f>
        <v>7871.9</v>
      </c>
      <c r="H8" s="260"/>
    </row>
    <row r="9" spans="1:9" x14ac:dyDescent="0.2">
      <c r="A9" s="32">
        <v>2310</v>
      </c>
      <c r="B9" t="s">
        <v>849</v>
      </c>
      <c r="C9" s="246">
        <f t="shared" si="0"/>
        <v>132044.82</v>
      </c>
      <c r="D9" s="245">
        <v>132044.82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25291.71</v>
      </c>
      <c r="D10" s="244"/>
      <c r="E10" s="245">
        <v>25291.71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260697.05</v>
      </c>
      <c r="D11" s="245">
        <f>114743+93627+52327.05</f>
        <v>260697.05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1291033.625</v>
      </c>
      <c r="D12" s="20">
        <f>'DOE25'!L197+'DOE25'!L215+'DOE25'!L233-F12-G12</f>
        <v>1278867.7450000001</v>
      </c>
      <c r="E12" s="244"/>
      <c r="F12" s="256">
        <f>'DOE25'!J197+'DOE25'!J215+'DOE25'!J233</f>
        <v>9001.8799999999992</v>
      </c>
      <c r="G12" s="53">
        <f>'DOE25'!K197+'DOE25'!K215+'DOE25'!K233</f>
        <v>3164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301203.592</v>
      </c>
      <c r="D13" s="244"/>
      <c r="E13" s="20">
        <f>'DOE25'!L198+'DOE25'!L216+'DOE25'!L234-F13-G13</f>
        <v>300435.83199999999</v>
      </c>
      <c r="F13" s="256">
        <f>'DOE25'!J198+'DOE25'!J216+'DOE25'!J234</f>
        <v>542.76</v>
      </c>
      <c r="G13" s="53">
        <f>'DOE25'!K198+'DOE25'!K216+'DOE25'!K234</f>
        <v>225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2517619.4125000001</v>
      </c>
      <c r="D14" s="20">
        <f>'DOE25'!L199+'DOE25'!L217+'DOE25'!L235-F14-G14</f>
        <v>2490489.2425000002</v>
      </c>
      <c r="E14" s="244"/>
      <c r="F14" s="256">
        <f>'DOE25'!J199+'DOE25'!J217+'DOE25'!J235</f>
        <v>26751.21</v>
      </c>
      <c r="G14" s="53">
        <f>'DOE25'!K199+'DOE25'!K217+'DOE25'!K235</f>
        <v>378.96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1188565.5449999999</v>
      </c>
      <c r="D15" s="20">
        <f>'DOE25'!L200+'DOE25'!L218+'DOE25'!L236-F15-G15</f>
        <v>1178808.605</v>
      </c>
      <c r="E15" s="244"/>
      <c r="F15" s="256">
        <f>'DOE25'!J200+'DOE25'!J218+'DOE25'!J236</f>
        <v>9189.94</v>
      </c>
      <c r="G15" s="53">
        <f>'DOE25'!K200+'DOE25'!K218+'DOE25'!K236</f>
        <v>567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390961.6</v>
      </c>
      <c r="D22" s="244"/>
      <c r="E22" s="244"/>
      <c r="F22" s="256">
        <f>'DOE25'!L247+'DOE25'!L328</f>
        <v>390961.6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167225</v>
      </c>
      <c r="D25" s="244"/>
      <c r="E25" s="244"/>
      <c r="F25" s="259"/>
      <c r="G25" s="257"/>
      <c r="H25" s="258">
        <f>'DOE25'!L252+'DOE25'!L253+'DOE25'!L333+'DOE25'!L334</f>
        <v>167225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458537.43000000005</v>
      </c>
      <c r="D29" s="20">
        <f>'DOE25'!L350+'DOE25'!L351+'DOE25'!L352-'DOE25'!I359-F29-G29</f>
        <v>450875.11000000004</v>
      </c>
      <c r="E29" s="244"/>
      <c r="F29" s="256">
        <f>'DOE25'!J350+'DOE25'!J351+'DOE25'!J352</f>
        <v>7560.07</v>
      </c>
      <c r="G29" s="53">
        <f>'DOE25'!K350+'DOE25'!K351+'DOE25'!K352</f>
        <v>102.25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1402326.06</v>
      </c>
      <c r="D31" s="20">
        <f>'DOE25'!L282+'DOE25'!L301+'DOE25'!L320+'DOE25'!L325+'DOE25'!L326+'DOE25'!L327-F31-G31</f>
        <v>1244407.69</v>
      </c>
      <c r="E31" s="244"/>
      <c r="F31" s="256">
        <f>'DOE25'!J282+'DOE25'!J301+'DOE25'!J320+'DOE25'!J325+'DOE25'!J326+'DOE25'!J327</f>
        <v>153307.56</v>
      </c>
      <c r="G31" s="53">
        <f>'DOE25'!K282+'DOE25'!K301+'DOE25'!K320+'DOE25'!K325+'DOE25'!K326+'DOE25'!K327</f>
        <v>4610.8099999999995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24564674.509000003</v>
      </c>
      <c r="E33" s="247">
        <f>SUM(E5:E31)</f>
        <v>438922.85199999996</v>
      </c>
      <c r="F33" s="247">
        <f>SUM(F5:F31)</f>
        <v>837363.18050000002</v>
      </c>
      <c r="G33" s="247">
        <f>SUM(G5:G31)</f>
        <v>43733.719999999994</v>
      </c>
      <c r="H33" s="247">
        <f>SUM(H5:H31)</f>
        <v>167225</v>
      </c>
    </row>
    <row r="35" spans="2:8" ht="12" thickBot="1" x14ac:dyDescent="0.25">
      <c r="B35" s="254" t="s">
        <v>878</v>
      </c>
      <c r="D35" s="255">
        <f>E33</f>
        <v>438922.85199999996</v>
      </c>
      <c r="E35" s="250"/>
    </row>
    <row r="36" spans="2:8" ht="12" thickTop="1" x14ac:dyDescent="0.2">
      <c r="B36" t="s">
        <v>846</v>
      </c>
      <c r="D36" s="20">
        <f>D33</f>
        <v>24564674.509000003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F473-B318-41C9-92E7-A631223222EB}">
  <sheetPr transitionEvaluation="1" codeName="Sheet2">
    <tabColor indexed="10"/>
  </sheetPr>
  <dimension ref="A1:I156"/>
  <sheetViews>
    <sheetView zoomScale="75" workbookViewId="0">
      <pane ySplit="2" topLeftCell="A109" activePane="bottomLeft" state="frozen"/>
      <selection pane="bottomLeft" activeCell="E138" sqref="E138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Fall Mountain Regional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539959.63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2154903.5300000003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-218390.64</v>
      </c>
      <c r="D12" s="95">
        <f>'DOE25'!G12</f>
        <v>-21670.29</v>
      </c>
      <c r="E12" s="95">
        <f>'DOE25'!H12</f>
        <v>-354060.32</v>
      </c>
      <c r="F12" s="95">
        <f>'DOE25'!I12</f>
        <v>594121.25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153128.98000000001</v>
      </c>
      <c r="D13" s="95">
        <f>'DOE25'!G13</f>
        <v>21670.29</v>
      </c>
      <c r="E13" s="95">
        <f>'DOE25'!H13</f>
        <v>425793.16</v>
      </c>
      <c r="F13" s="95">
        <f>'DOE25'!I13</f>
        <v>56550.5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5238.7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275251.93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755188.6</v>
      </c>
      <c r="D19" s="41">
        <f>SUM(D9:D18)</f>
        <v>0</v>
      </c>
      <c r="E19" s="41">
        <f>SUM(E9:E18)</f>
        <v>71732.839999999967</v>
      </c>
      <c r="F19" s="41">
        <f>SUM(F9:F18)</f>
        <v>650671.75</v>
      </c>
      <c r="G19" s="41">
        <f>SUM(G9:G18)</f>
        <v>2154903.5300000003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76796.600000000006</v>
      </c>
      <c r="D24" s="95">
        <f>'DOE25'!G25</f>
        <v>0</v>
      </c>
      <c r="E24" s="95">
        <f>'DOE25'!H25</f>
        <v>32977.24</v>
      </c>
      <c r="F24" s="95">
        <f>'DOE25'!I25</f>
        <v>23615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258105.07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334901.67000000004</v>
      </c>
      <c r="D32" s="41">
        <f>SUM(D22:D31)</f>
        <v>0</v>
      </c>
      <c r="E32" s="41">
        <f>SUM(E22:E31)</f>
        <v>32977.24</v>
      </c>
      <c r="F32" s="41">
        <f>SUM(F22:F31)</f>
        <v>23615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420271.55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38755.599999999999</v>
      </c>
      <c r="F40" s="95">
        <f>'DOE25'!I41</f>
        <v>627056.75</v>
      </c>
      <c r="G40" s="95">
        <f>'DOE25'!J41</f>
        <v>2154903.5299999998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15.38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420286.93</v>
      </c>
      <c r="D42" s="41">
        <f>SUM(D34:D41)</f>
        <v>0</v>
      </c>
      <c r="E42" s="41">
        <f>SUM(E34:E41)</f>
        <v>38755.599999999999</v>
      </c>
      <c r="F42" s="41">
        <f>SUM(F34:F41)</f>
        <v>627056.75</v>
      </c>
      <c r="G42" s="41">
        <f>SUM(G34:G41)</f>
        <v>2154903.5299999998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755188.60000000009</v>
      </c>
      <c r="D43" s="41">
        <f>D42+D32</f>
        <v>0</v>
      </c>
      <c r="E43" s="41">
        <f>E42+E32</f>
        <v>71732.84</v>
      </c>
      <c r="F43" s="41">
        <f>F42+F32</f>
        <v>650671.75</v>
      </c>
      <c r="G43" s="41">
        <f>G42+G32</f>
        <v>2154903.5299999998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12439382.970000001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230561.64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32417.05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20779.87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421670.36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28960.93</v>
      </c>
      <c r="D53" s="95">
        <f>SUM('DOE25'!G90:G102)</f>
        <v>0</v>
      </c>
      <c r="E53" s="95">
        <f>SUM('DOE25'!H90:H102)</f>
        <v>27173.63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291939.62</v>
      </c>
      <c r="D54" s="130">
        <f>SUM(D49:D53)</f>
        <v>421670.36</v>
      </c>
      <c r="E54" s="130">
        <f>SUM(E49:E53)</f>
        <v>27173.63</v>
      </c>
      <c r="F54" s="130">
        <f>SUM(F49:F53)</f>
        <v>0</v>
      </c>
      <c r="G54" s="130">
        <f>SUM(G49:G53)</f>
        <v>20779.87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12731322.59</v>
      </c>
      <c r="D55" s="22">
        <f>D48+D54</f>
        <v>421670.36</v>
      </c>
      <c r="E55" s="22">
        <f>E48+E54</f>
        <v>27173.63</v>
      </c>
      <c r="F55" s="22">
        <f>F48+F54</f>
        <v>0</v>
      </c>
      <c r="G55" s="22">
        <f>G48+G54</f>
        <v>20779.87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8442546.2300000004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2302488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306208.77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11051243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63406.75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298084.76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208150.68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74833.47</v>
      </c>
      <c r="E69" s="95">
        <f>SUM('DOE25'!H123:H127)</f>
        <v>25500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569642.18999999994</v>
      </c>
      <c r="D70" s="130">
        <f>SUM(D64:D69)</f>
        <v>74833.47</v>
      </c>
      <c r="E70" s="130">
        <f>SUM(E64:E69)</f>
        <v>25500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11620885.189999999</v>
      </c>
      <c r="D73" s="130">
        <f>SUM(D71:D72)+D70+D62</f>
        <v>74833.47</v>
      </c>
      <c r="E73" s="130">
        <f>SUM(E71:E72)+E70+E62</f>
        <v>25500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226778.03</v>
      </c>
      <c r="D80" s="95">
        <f>SUM('DOE25'!G145:G153)</f>
        <v>243579.63</v>
      </c>
      <c r="E80" s="95">
        <f>SUM('DOE25'!H145:H153)</f>
        <v>1350152.4200000002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226778.03</v>
      </c>
      <c r="D83" s="131">
        <f>SUM(D77:D82)</f>
        <v>243579.63</v>
      </c>
      <c r="E83" s="131">
        <f>SUM(E77:E82)</f>
        <v>1350152.4200000002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2000000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118515.82</v>
      </c>
      <c r="E88" s="95">
        <f>'DOE25'!H171</f>
        <v>0</v>
      </c>
      <c r="F88" s="95">
        <f>'DOE25'!I171</f>
        <v>0</v>
      </c>
      <c r="G88" s="95">
        <f>'DOE25'!J171</f>
        <v>491889.09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1400000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118515.82</v>
      </c>
      <c r="E95" s="86">
        <f>SUM(E85:E94)</f>
        <v>0</v>
      </c>
      <c r="F95" s="86">
        <f>SUM(F85:F94)</f>
        <v>3400000</v>
      </c>
      <c r="G95" s="86">
        <f>SUM(G85:G94)</f>
        <v>491889.09</v>
      </c>
    </row>
    <row r="96" spans="1:7" ht="12.75" thickTop="1" thickBot="1" x14ac:dyDescent="0.25">
      <c r="A96" s="33" t="s">
        <v>796</v>
      </c>
      <c r="C96" s="86">
        <f>C55+C73+C83+C95</f>
        <v>24578985.810000002</v>
      </c>
      <c r="D96" s="86">
        <f>D55+D73+D83+D95</f>
        <v>858599.28</v>
      </c>
      <c r="E96" s="86">
        <f>E55+E73+E83+E95</f>
        <v>1402826.0500000003</v>
      </c>
      <c r="F96" s="86">
        <f>F55+F73+F83+F95</f>
        <v>3400000</v>
      </c>
      <c r="G96" s="86">
        <f>G55+G73+G95</f>
        <v>512668.96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9112262.6780000012</v>
      </c>
      <c r="D101" s="24" t="s">
        <v>312</v>
      </c>
      <c r="E101" s="95">
        <f>('DOE25'!L268)+('DOE25'!L287)+('DOE25'!L306)</f>
        <v>566965.47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5351427.0915000001</v>
      </c>
      <c r="D102" s="24" t="s">
        <v>312</v>
      </c>
      <c r="E102" s="95">
        <f>('DOE25'!L269)+('DOE25'!L288)+('DOE25'!L307)</f>
        <v>600085.21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905472.25000000012</v>
      </c>
      <c r="D103" s="24" t="s">
        <v>312</v>
      </c>
      <c r="E103" s="95">
        <f>('DOE25'!L270)+('DOE25'!L289)+('DOE25'!L308)</f>
        <v>55827.5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382652.35450000002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7554.98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15751814.374000002</v>
      </c>
      <c r="D107" s="86">
        <f>SUM(D101:D106)</f>
        <v>0</v>
      </c>
      <c r="E107" s="86">
        <f>SUM(E101:E106)</f>
        <v>1230433.1599999999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1165989.8699999999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867201.97999999975</v>
      </c>
      <c r="D111" s="24" t="s">
        <v>312</v>
      </c>
      <c r="E111" s="95">
        <f>+('DOE25'!L274)+('DOE25'!L293)+('DOE25'!L312)</f>
        <v>95575.510000000009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524149.06299999997</v>
      </c>
      <c r="D112" s="24" t="s">
        <v>312</v>
      </c>
      <c r="E112" s="95">
        <f>+('DOE25'!L275)+('DOE25'!L294)+('DOE25'!L313)</f>
        <v>2104.0300000000002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1291033.625</v>
      </c>
      <c r="D113" s="24" t="s">
        <v>312</v>
      </c>
      <c r="E113" s="95">
        <f>+('DOE25'!L276)+('DOE25'!L295)+('DOE25'!L314)</f>
        <v>26285.82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301203.592</v>
      </c>
      <c r="D114" s="24" t="s">
        <v>312</v>
      </c>
      <c r="E114" s="95">
        <f>+('DOE25'!L277)+('DOE25'!L296)+('DOE25'!L315)</f>
        <v>41928.370000000003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2517619.4125000001</v>
      </c>
      <c r="D115" s="24" t="s">
        <v>312</v>
      </c>
      <c r="E115" s="95">
        <f>+('DOE25'!L278)+('DOE25'!L297)+('DOE25'!L316)</f>
        <v>5999.17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1188565.5449999999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858599.28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7855763.0875000004</v>
      </c>
      <c r="D120" s="86">
        <f>SUM(D110:D119)</f>
        <v>858599.28</v>
      </c>
      <c r="E120" s="86">
        <f>SUM(E110:E119)</f>
        <v>171892.90000000002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265395.99</v>
      </c>
      <c r="D122" s="24" t="s">
        <v>312</v>
      </c>
      <c r="E122" s="129">
        <f>'DOE25'!L328</f>
        <v>125565.61</v>
      </c>
      <c r="F122" s="129">
        <f>SUM('DOE25'!L366:'DOE25'!L372)</f>
        <v>2772943.25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100000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67225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1400000</v>
      </c>
    </row>
    <row r="127" spans="1:7" x14ac:dyDescent="0.2">
      <c r="A127" t="s">
        <v>256</v>
      </c>
      <c r="B127" s="32" t="s">
        <v>257</v>
      </c>
      <c r="C127" s="95">
        <f>'DOE25'!L255</f>
        <v>118515.82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498496.02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14172.939999999999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-20779.869999999995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1043025.9</v>
      </c>
      <c r="D136" s="141">
        <f>SUM(D122:D135)</f>
        <v>0</v>
      </c>
      <c r="E136" s="141">
        <f>SUM(E122:E135)</f>
        <v>125565.61</v>
      </c>
      <c r="F136" s="141">
        <f>SUM(F122:F135)</f>
        <v>2772943.25</v>
      </c>
      <c r="G136" s="141">
        <f>SUM(G122:G135)</f>
        <v>1400000</v>
      </c>
    </row>
    <row r="137" spans="1:9" ht="12.75" thickTop="1" thickBot="1" x14ac:dyDescent="0.25">
      <c r="A137" s="33" t="s">
        <v>267</v>
      </c>
      <c r="C137" s="86">
        <f>(C107+C120+C136)</f>
        <v>24650603.361500002</v>
      </c>
      <c r="D137" s="86">
        <f>(D107+D120+D136)</f>
        <v>858599.28</v>
      </c>
      <c r="E137" s="86">
        <f>(E107+E120+E136)</f>
        <v>1527891.6700000002</v>
      </c>
      <c r="F137" s="86">
        <f>(F107+F120+F136)</f>
        <v>2772943.25</v>
      </c>
      <c r="G137" s="86">
        <f>(G107+G120+G136)</f>
        <v>1400000</v>
      </c>
      <c r="I137" s="271"/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19</v>
      </c>
      <c r="C143" s="153">
        <f>'DOE25'!G480</f>
        <v>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08/05</v>
      </c>
      <c r="C144" s="152" t="str">
        <f>'DOE25'!G481</f>
        <v>09/10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08/24</v>
      </c>
      <c r="C145" s="152" t="str">
        <f>'DOE25'!G482</f>
        <v>09/15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1911965</v>
      </c>
      <c r="C146" s="137">
        <f>'DOE25'!G483</f>
        <v>3042452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0.05</v>
      </c>
      <c r="C147" s="137">
        <f>'DOE25'!G484</f>
        <v>2.35E-2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1500000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1500000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2000000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2000000</v>
      </c>
    </row>
    <row r="150" spans="1:7" x14ac:dyDescent="0.2">
      <c r="A150" s="22" t="s">
        <v>34</v>
      </c>
      <c r="B150" s="137">
        <f>'DOE25'!F487</f>
        <v>100000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100000</v>
      </c>
    </row>
    <row r="151" spans="1:7" x14ac:dyDescent="0.2">
      <c r="A151" s="22" t="s">
        <v>35</v>
      </c>
      <c r="B151" s="137">
        <f>'DOE25'!F488</f>
        <v>1400000</v>
      </c>
      <c r="C151" s="137">
        <f>'DOE25'!G488</f>
        <v>2000000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3400000</v>
      </c>
    </row>
    <row r="152" spans="1:7" x14ac:dyDescent="0.2">
      <c r="A152" s="22" t="s">
        <v>36</v>
      </c>
      <c r="B152" s="137">
        <f>'DOE25'!F489</f>
        <v>436037.5</v>
      </c>
      <c r="C152" s="137">
        <f>'DOE25'!G489</f>
        <v>5876.52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441914.02</v>
      </c>
    </row>
    <row r="153" spans="1:7" x14ac:dyDescent="0.2">
      <c r="A153" s="22" t="s">
        <v>37</v>
      </c>
      <c r="B153" s="137">
        <f>'DOE25'!F490</f>
        <v>1836037.5</v>
      </c>
      <c r="C153" s="137">
        <f>'DOE25'!G490</f>
        <v>2005876.52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3841914.02</v>
      </c>
    </row>
    <row r="154" spans="1:7" x14ac:dyDescent="0.2">
      <c r="A154" s="22" t="s">
        <v>38</v>
      </c>
      <c r="B154" s="137">
        <f>'DOE25'!F491</f>
        <v>100000</v>
      </c>
      <c r="C154" s="137">
        <f>'DOE25'!G491</f>
        <v>608492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708492</v>
      </c>
    </row>
    <row r="155" spans="1:7" x14ac:dyDescent="0.2">
      <c r="A155" s="22" t="s">
        <v>39</v>
      </c>
      <c r="B155" s="137">
        <f>'DOE25'!F492</f>
        <v>62225</v>
      </c>
      <c r="C155" s="137">
        <f>'DOE25'!G492</f>
        <v>5876.52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68101.52</v>
      </c>
    </row>
    <row r="156" spans="1:7" x14ac:dyDescent="0.2">
      <c r="A156" s="22" t="s">
        <v>269</v>
      </c>
      <c r="B156" s="137">
        <f>'DOE25'!F493</f>
        <v>162225</v>
      </c>
      <c r="C156" s="137">
        <f>'DOE25'!G493</f>
        <v>614368.52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776593.52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CA7F-528F-413C-A281-378E503F4A00}">
  <sheetPr codeName="Sheet3">
    <tabColor indexed="43"/>
  </sheetPr>
  <dimension ref="A1:D42"/>
  <sheetViews>
    <sheetView topLeftCell="A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Fall Mountain Regional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13084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13786</v>
      </c>
    </row>
    <row r="7" spans="1:4" x14ac:dyDescent="0.2">
      <c r="B7" t="s">
        <v>736</v>
      </c>
      <c r="C7" s="179">
        <f>IF('DOE25'!I655+'DOE25'!I660=0,0,ROUND('DOE25'!I662,0))</f>
        <v>13324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9679228</v>
      </c>
      <c r="D10" s="182">
        <f>ROUND((C10/$C$28)*100,1)</f>
        <v>37.9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5951512</v>
      </c>
      <c r="D11" s="182">
        <f>ROUND((C11/$C$28)*100,1)</f>
        <v>23.3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961300</v>
      </c>
      <c r="D12" s="182">
        <f>ROUND((C12/$C$28)*100,1)</f>
        <v>3.8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382652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1165990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962777</v>
      </c>
      <c r="D16" s="182">
        <f t="shared" si="0"/>
        <v>3.8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526253</v>
      </c>
      <c r="D17" s="182">
        <f t="shared" si="0"/>
        <v>2.1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1317319</v>
      </c>
      <c r="D18" s="182">
        <f t="shared" si="0"/>
        <v>5.2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343132</v>
      </c>
      <c r="D19" s="182">
        <f t="shared" si="0"/>
        <v>1.3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2523619</v>
      </c>
      <c r="D20" s="182">
        <f t="shared" si="0"/>
        <v>9.9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1188566</v>
      </c>
      <c r="D21" s="182">
        <f t="shared" si="0"/>
        <v>4.7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7555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67225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436928.64</v>
      </c>
      <c r="D27" s="182">
        <f t="shared" si="0"/>
        <v>1.7</v>
      </c>
    </row>
    <row r="28" spans="1:4" x14ac:dyDescent="0.2">
      <c r="B28" s="187" t="s">
        <v>754</v>
      </c>
      <c r="C28" s="180">
        <f>SUM(C10:C27)</f>
        <v>25514056.640000001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3163905</v>
      </c>
    </row>
    <row r="30" spans="1:4" x14ac:dyDescent="0.2">
      <c r="B30" s="187" t="s">
        <v>760</v>
      </c>
      <c r="C30" s="180">
        <f>SUM(C28:C29)</f>
        <v>28677961.640000001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100000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12439383</v>
      </c>
      <c r="D35" s="182">
        <f t="shared" ref="D35:D40" si="1">ROUND((C35/$C$41)*100,1)</f>
        <v>47.3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339893.09000000171</v>
      </c>
      <c r="D36" s="182">
        <f t="shared" si="1"/>
        <v>1.3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11051243</v>
      </c>
      <c r="D37" s="182">
        <f t="shared" si="1"/>
        <v>42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669976</v>
      </c>
      <c r="D38" s="182">
        <f t="shared" si="1"/>
        <v>2.5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1820510</v>
      </c>
      <c r="D39" s="182">
        <f t="shared" si="1"/>
        <v>6.9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26321005.090000004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2000000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39A27-8CD9-48B9-8976-DF6E1D0C01F5}">
  <sheetPr>
    <tabColor indexed="17"/>
  </sheetPr>
  <dimension ref="A1:IV90"/>
  <sheetViews>
    <sheetView workbookViewId="0">
      <pane ySplit="3" topLeftCell="A4" activePane="bottomLeft" state="frozen"/>
      <selection pane="bottomLeft" activeCell="C23" sqref="C23:M2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Fall Mountain Regional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24</v>
      </c>
      <c r="B4" s="220">
        <v>646</v>
      </c>
      <c r="C4" s="281" t="s">
        <v>899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 t="s">
        <v>900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 t="s">
        <v>901</v>
      </c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 t="s">
        <v>902</v>
      </c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6" t="s">
        <v>879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2"/>
      <c r="B74" s="212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2"/>
      <c r="B75" s="212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2"/>
      <c r="B76" s="212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2"/>
      <c r="B77" s="212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2"/>
      <c r="B78" s="212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2"/>
      <c r="B79" s="212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2"/>
      <c r="B80" s="212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2"/>
      <c r="B81" s="212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2"/>
      <c r="B82" s="212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2"/>
      <c r="B83" s="212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2"/>
      <c r="B84" s="212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2"/>
      <c r="B85" s="212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2"/>
      <c r="B86" s="212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2"/>
      <c r="B87" s="212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2"/>
      <c r="B88" s="212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2"/>
      <c r="B89" s="212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2"/>
      <c r="B90" s="212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2011-10-06T19:00:33Z</cp:lastPrinted>
  <dcterms:created xsi:type="dcterms:W3CDTF">1997-12-04T19:04:30Z</dcterms:created>
  <dcterms:modified xsi:type="dcterms:W3CDTF">2025-01-09T20:40:15Z</dcterms:modified>
</cp:coreProperties>
</file>