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AE020101-9C4C-4755-9CE2-EF7083A36EF6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6B204AF7-45B0-4753-9C67-6992EF4AE848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7" i="1" l="1"/>
  <c r="L407" i="1" s="1"/>
  <c r="F434" i="1"/>
  <c r="F449" i="1"/>
  <c r="H462" i="1"/>
  <c r="F523" i="1"/>
  <c r="F513" i="1"/>
  <c r="G513" i="1"/>
  <c r="G523" i="1"/>
  <c r="K523" i="1"/>
  <c r="K521" i="1"/>
  <c r="K524" i="1" s="1"/>
  <c r="H523" i="1"/>
  <c r="L523" i="1" s="1"/>
  <c r="H541" i="1" s="1"/>
  <c r="H521" i="1"/>
  <c r="L521" i="1" s="1"/>
  <c r="G521" i="1"/>
  <c r="F521" i="1"/>
  <c r="I513" i="1"/>
  <c r="H513" i="1"/>
  <c r="K336" i="1"/>
  <c r="F463" i="1"/>
  <c r="F462" i="1"/>
  <c r="G434" i="1"/>
  <c r="I434" i="1" s="1"/>
  <c r="J13" i="1" s="1"/>
  <c r="G13" i="2" s="1"/>
  <c r="H325" i="1"/>
  <c r="H329" i="1" s="1"/>
  <c r="J585" i="1"/>
  <c r="J588" i="1" s="1"/>
  <c r="H641" i="1" s="1"/>
  <c r="H585" i="1"/>
  <c r="K585" i="1" s="1"/>
  <c r="H594" i="1"/>
  <c r="J594" i="1"/>
  <c r="G603" i="1"/>
  <c r="J582" i="1"/>
  <c r="J581" i="1"/>
  <c r="H582" i="1"/>
  <c r="H581" i="1"/>
  <c r="H531" i="1"/>
  <c r="H533" i="1"/>
  <c r="L533" i="1" s="1"/>
  <c r="J541" i="1" s="1"/>
  <c r="H518" i="1"/>
  <c r="L518" i="1" s="1"/>
  <c r="G541" i="1" s="1"/>
  <c r="H516" i="1"/>
  <c r="H519" i="1" s="1"/>
  <c r="H511" i="1"/>
  <c r="F485" i="1"/>
  <c r="G462" i="1"/>
  <c r="F360" i="1"/>
  <c r="H360" i="1"/>
  <c r="H359" i="1"/>
  <c r="I359" i="1" s="1"/>
  <c r="F359" i="1"/>
  <c r="H352" i="1"/>
  <c r="H350" i="1"/>
  <c r="H312" i="1"/>
  <c r="L312" i="1" s="1"/>
  <c r="H311" i="1"/>
  <c r="L311" i="1" s="1"/>
  <c r="E110" i="2" s="1"/>
  <c r="H307" i="1"/>
  <c r="L307" i="1" s="1"/>
  <c r="E102" i="2" s="1"/>
  <c r="H274" i="1"/>
  <c r="H273" i="1"/>
  <c r="H269" i="1"/>
  <c r="J247" i="1"/>
  <c r="H237" i="1"/>
  <c r="H236" i="1"/>
  <c r="H235" i="1"/>
  <c r="H233" i="1"/>
  <c r="H234" i="1"/>
  <c r="H232" i="1"/>
  <c r="L232" i="1" s="1"/>
  <c r="H231" i="1"/>
  <c r="L231" i="1" s="1"/>
  <c r="H230" i="1"/>
  <c r="L230" i="1" s="1"/>
  <c r="H226" i="1"/>
  <c r="H239" i="1" s="1"/>
  <c r="H201" i="1"/>
  <c r="H200" i="1"/>
  <c r="H199" i="1"/>
  <c r="L199" i="1" s="1"/>
  <c r="H198" i="1"/>
  <c r="H197" i="1"/>
  <c r="H196" i="1"/>
  <c r="H195" i="1"/>
  <c r="H194" i="1"/>
  <c r="H190" i="1"/>
  <c r="H189" i="1"/>
  <c r="G153" i="1"/>
  <c r="G150" i="1"/>
  <c r="D80" i="2" s="1"/>
  <c r="G89" i="1"/>
  <c r="F60" i="1"/>
  <c r="F177" i="1"/>
  <c r="F75" i="1"/>
  <c r="F37" i="1"/>
  <c r="F42" i="1"/>
  <c r="F29" i="1"/>
  <c r="F25" i="1"/>
  <c r="F23" i="1"/>
  <c r="F33" i="1" s="1"/>
  <c r="F14" i="1"/>
  <c r="C14" i="2" s="1"/>
  <c r="F12" i="1"/>
  <c r="C12" i="2" s="1"/>
  <c r="F9" i="1"/>
  <c r="F19" i="1" s="1"/>
  <c r="G607" i="1" s="1"/>
  <c r="C37" i="10"/>
  <c r="C60" i="2"/>
  <c r="B2" i="13"/>
  <c r="F8" i="13"/>
  <c r="G8" i="13"/>
  <c r="L196" i="1"/>
  <c r="L214" i="1"/>
  <c r="D39" i="13"/>
  <c r="F13" i="13"/>
  <c r="G13" i="13"/>
  <c r="L198" i="1"/>
  <c r="C19" i="10" s="1"/>
  <c r="L216" i="1"/>
  <c r="L234" i="1"/>
  <c r="F16" i="13"/>
  <c r="G16" i="13"/>
  <c r="L201" i="1"/>
  <c r="C117" i="2" s="1"/>
  <c r="L219" i="1"/>
  <c r="L237" i="1"/>
  <c r="F5" i="13"/>
  <c r="G5" i="13"/>
  <c r="L189" i="1"/>
  <c r="L203" i="1" s="1"/>
  <c r="L190" i="1"/>
  <c r="L191" i="1"/>
  <c r="L192" i="1"/>
  <c r="L207" i="1"/>
  <c r="L208" i="1"/>
  <c r="L209" i="1"/>
  <c r="L210" i="1"/>
  <c r="L225" i="1"/>
  <c r="L227" i="1"/>
  <c r="C103" i="2" s="1"/>
  <c r="L228" i="1"/>
  <c r="C13" i="10" s="1"/>
  <c r="F6" i="13"/>
  <c r="G6" i="13"/>
  <c r="L194" i="1"/>
  <c r="L212" i="1"/>
  <c r="F7" i="13"/>
  <c r="G7" i="13"/>
  <c r="L195" i="1"/>
  <c r="L213" i="1"/>
  <c r="F12" i="13"/>
  <c r="G12" i="13"/>
  <c r="L197" i="1"/>
  <c r="C18" i="10" s="1"/>
  <c r="L215" i="1"/>
  <c r="L221" i="1" s="1"/>
  <c r="G650" i="1" s="1"/>
  <c r="L233" i="1"/>
  <c r="F14" i="13"/>
  <c r="G14" i="13"/>
  <c r="L217" i="1"/>
  <c r="L235" i="1"/>
  <c r="F15" i="13"/>
  <c r="G15" i="13"/>
  <c r="L200" i="1"/>
  <c r="F652" i="1" s="1"/>
  <c r="L218" i="1"/>
  <c r="G640" i="1" s="1"/>
  <c r="J640" i="1" s="1"/>
  <c r="L236" i="1"/>
  <c r="H652" i="1" s="1"/>
  <c r="F17" i="13"/>
  <c r="G17" i="13"/>
  <c r="D17" i="13"/>
  <c r="L243" i="1"/>
  <c r="F18" i="13"/>
  <c r="G18" i="13"/>
  <c r="L244" i="1"/>
  <c r="F19" i="13"/>
  <c r="G19" i="13"/>
  <c r="L245" i="1"/>
  <c r="C106" i="2" s="1"/>
  <c r="F29" i="13"/>
  <c r="G29" i="13"/>
  <c r="L350" i="1"/>
  <c r="L351" i="1"/>
  <c r="L352" i="1"/>
  <c r="J282" i="1"/>
  <c r="J301" i="1"/>
  <c r="J320" i="1"/>
  <c r="F31" i="13" s="1"/>
  <c r="K282" i="1"/>
  <c r="G31" i="13" s="1"/>
  <c r="K301" i="1"/>
  <c r="K320" i="1"/>
  <c r="L268" i="1"/>
  <c r="L269" i="1"/>
  <c r="L270" i="1"/>
  <c r="L271" i="1"/>
  <c r="L273" i="1"/>
  <c r="L275" i="1"/>
  <c r="L276" i="1"/>
  <c r="L277" i="1"/>
  <c r="L278" i="1"/>
  <c r="L279" i="1"/>
  <c r="E116" i="2" s="1"/>
  <c r="L280" i="1"/>
  <c r="E117" i="2" s="1"/>
  <c r="L287" i="1"/>
  <c r="L288" i="1"/>
  <c r="L289" i="1"/>
  <c r="L301" i="1" s="1"/>
  <c r="L290" i="1"/>
  <c r="L292" i="1"/>
  <c r="L293" i="1"/>
  <c r="L294" i="1"/>
  <c r="L295" i="1"/>
  <c r="L296" i="1"/>
  <c r="L297" i="1"/>
  <c r="L298" i="1"/>
  <c r="L299" i="1"/>
  <c r="L306" i="1"/>
  <c r="L308" i="1"/>
  <c r="L309" i="1"/>
  <c r="L313" i="1"/>
  <c r="E112" i="2"/>
  <c r="L314" i="1"/>
  <c r="E113" i="2" s="1"/>
  <c r="L315" i="1"/>
  <c r="E114" i="2" s="1"/>
  <c r="L316" i="1"/>
  <c r="L317" i="1"/>
  <c r="L318" i="1"/>
  <c r="L326" i="1"/>
  <c r="L327" i="1"/>
  <c r="L252" i="1"/>
  <c r="L253" i="1"/>
  <c r="L333" i="1"/>
  <c r="L334" i="1"/>
  <c r="H25" i="13" s="1"/>
  <c r="L247" i="1"/>
  <c r="C29" i="10" s="1"/>
  <c r="L328" i="1"/>
  <c r="E122" i="2" s="1"/>
  <c r="F22" i="13"/>
  <c r="C22" i="13" s="1"/>
  <c r="C11" i="13"/>
  <c r="C10" i="13"/>
  <c r="C9" i="13"/>
  <c r="L353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A22" i="12" s="1"/>
  <c r="B1" i="12"/>
  <c r="L379" i="1"/>
  <c r="L385" i="1" s="1"/>
  <c r="L380" i="1"/>
  <c r="L381" i="1"/>
  <c r="L382" i="1"/>
  <c r="L383" i="1"/>
  <c r="L384" i="1"/>
  <c r="L387" i="1"/>
  <c r="L388" i="1"/>
  <c r="L389" i="1"/>
  <c r="L393" i="1" s="1"/>
  <c r="C131" i="2" s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J185" i="1" s="1"/>
  <c r="G48" i="2"/>
  <c r="G51" i="2"/>
  <c r="G54" i="2" s="1"/>
  <c r="G53" i="2"/>
  <c r="F2" i="11"/>
  <c r="L603" i="1"/>
  <c r="H653" i="1"/>
  <c r="L602" i="1"/>
  <c r="G653" i="1" s="1"/>
  <c r="L601" i="1"/>
  <c r="F653" i="1"/>
  <c r="C40" i="10"/>
  <c r="F52" i="1"/>
  <c r="C35" i="10" s="1"/>
  <c r="G52" i="1"/>
  <c r="H52" i="1"/>
  <c r="I52" i="1"/>
  <c r="F71" i="1"/>
  <c r="F86" i="1"/>
  <c r="F103" i="1"/>
  <c r="G103" i="1"/>
  <c r="G104" i="1"/>
  <c r="H71" i="1"/>
  <c r="H104" i="1" s="1"/>
  <c r="H86" i="1"/>
  <c r="H103" i="1"/>
  <c r="I103" i="1"/>
  <c r="I104" i="1"/>
  <c r="I185" i="1" s="1"/>
  <c r="G620" i="1" s="1"/>
  <c r="J103" i="1"/>
  <c r="F113" i="1"/>
  <c r="F132" i="1" s="1"/>
  <c r="F128" i="1"/>
  <c r="G113" i="1"/>
  <c r="G128" i="1"/>
  <c r="G132" i="1"/>
  <c r="H113" i="1"/>
  <c r="H132" i="1" s="1"/>
  <c r="H128" i="1"/>
  <c r="I113" i="1"/>
  <c r="I128" i="1"/>
  <c r="I132" i="1"/>
  <c r="J113" i="1"/>
  <c r="J128" i="1"/>
  <c r="J132" i="1"/>
  <c r="F139" i="1"/>
  <c r="F161" i="1" s="1"/>
  <c r="F154" i="1"/>
  <c r="G139" i="1"/>
  <c r="H139" i="1"/>
  <c r="H161" i="1" s="1"/>
  <c r="H154" i="1"/>
  <c r="I139" i="1"/>
  <c r="I154" i="1"/>
  <c r="I161" i="1"/>
  <c r="C10" i="10"/>
  <c r="C12" i="10"/>
  <c r="L242" i="1"/>
  <c r="L324" i="1"/>
  <c r="C23" i="10"/>
  <c r="L246" i="1"/>
  <c r="C25" i="10"/>
  <c r="L260" i="1"/>
  <c r="C26" i="10" s="1"/>
  <c r="L261" i="1"/>
  <c r="L341" i="1"/>
  <c r="L342" i="1"/>
  <c r="I655" i="1"/>
  <c r="I660" i="1"/>
  <c r="F651" i="1"/>
  <c r="G651" i="1"/>
  <c r="H651" i="1"/>
  <c r="I659" i="1"/>
  <c r="C5" i="10"/>
  <c r="C42" i="10"/>
  <c r="C32" i="10"/>
  <c r="L366" i="1"/>
  <c r="L367" i="1"/>
  <c r="L374" i="1" s="1"/>
  <c r="G626" i="1" s="1"/>
  <c r="J626" i="1" s="1"/>
  <c r="L368" i="1"/>
  <c r="L369" i="1"/>
  <c r="F122" i="2" s="1"/>
  <c r="F136" i="2" s="1"/>
  <c r="L370" i="1"/>
  <c r="L371" i="1"/>
  <c r="L372" i="1"/>
  <c r="B2" i="10"/>
  <c r="L336" i="1"/>
  <c r="L337" i="1"/>
  <c r="L338" i="1"/>
  <c r="L339" i="1"/>
  <c r="K343" i="1"/>
  <c r="L512" i="1"/>
  <c r="F540" i="1" s="1"/>
  <c r="L513" i="1"/>
  <c r="F541" i="1" s="1"/>
  <c r="L517" i="1"/>
  <c r="G540" i="1"/>
  <c r="L522" i="1"/>
  <c r="H540" i="1" s="1"/>
  <c r="L526" i="1"/>
  <c r="I539" i="1" s="1"/>
  <c r="I542" i="1" s="1"/>
  <c r="L527" i="1"/>
  <c r="I540" i="1"/>
  <c r="L528" i="1"/>
  <c r="I541" i="1"/>
  <c r="L531" i="1"/>
  <c r="L534" i="1" s="1"/>
  <c r="J539" i="1"/>
  <c r="J542" i="1" s="1"/>
  <c r="L532" i="1"/>
  <c r="J540" i="1" s="1"/>
  <c r="E123" i="2"/>
  <c r="K262" i="1"/>
  <c r="J262" i="1"/>
  <c r="I262" i="1"/>
  <c r="H262" i="1"/>
  <c r="G262" i="1"/>
  <c r="F262" i="1"/>
  <c r="C124" i="2"/>
  <c r="C123" i="2"/>
  <c r="A1" i="2"/>
  <c r="A2" i="2"/>
  <c r="D9" i="2"/>
  <c r="E9" i="2"/>
  <c r="F9" i="2"/>
  <c r="I431" i="1"/>
  <c r="J9" i="1"/>
  <c r="C10" i="2"/>
  <c r="D10" i="2"/>
  <c r="D19" i="2" s="1"/>
  <c r="E10" i="2"/>
  <c r="F10" i="2"/>
  <c r="I432" i="1"/>
  <c r="J10" i="1" s="1"/>
  <c r="G10" i="2" s="1"/>
  <c r="C11" i="2"/>
  <c r="D12" i="2"/>
  <c r="E12" i="2"/>
  <c r="F12" i="2"/>
  <c r="I433" i="1"/>
  <c r="J12" i="1"/>
  <c r="G12" i="2" s="1"/>
  <c r="C13" i="2"/>
  <c r="D13" i="2"/>
  <c r="E13" i="2"/>
  <c r="F13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D18" i="2"/>
  <c r="E17" i="2"/>
  <c r="F17" i="2"/>
  <c r="I436" i="1"/>
  <c r="J17" i="1"/>
  <c r="G17" i="2" s="1"/>
  <c r="C18" i="2"/>
  <c r="E18" i="2"/>
  <c r="F18" i="2"/>
  <c r="I437" i="1"/>
  <c r="J18" i="1"/>
  <c r="G18" i="2"/>
  <c r="F19" i="2"/>
  <c r="C22" i="2"/>
  <c r="D22" i="2"/>
  <c r="E22" i="2"/>
  <c r="F22" i="2"/>
  <c r="I440" i="1"/>
  <c r="J23" i="1" s="1"/>
  <c r="C23" i="2"/>
  <c r="D23" i="2"/>
  <c r="E23" i="2"/>
  <c r="F23" i="2"/>
  <c r="I441" i="1"/>
  <c r="I444" i="1" s="1"/>
  <c r="I451" i="1" s="1"/>
  <c r="H632" i="1" s="1"/>
  <c r="J24" i="1"/>
  <c r="G23" i="2"/>
  <c r="C24" i="2"/>
  <c r="D24" i="2"/>
  <c r="E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E32" i="2"/>
  <c r="C34" i="2"/>
  <c r="D34" i="2"/>
  <c r="E34" i="2"/>
  <c r="F34" i="2"/>
  <c r="C35" i="2"/>
  <c r="D35" i="2"/>
  <c r="E35" i="2"/>
  <c r="F35" i="2"/>
  <c r="C36" i="2"/>
  <c r="D36" i="2"/>
  <c r="E36" i="2"/>
  <c r="E42" i="2" s="1"/>
  <c r="F36" i="2"/>
  <c r="I446" i="1"/>
  <c r="J37" i="1" s="1"/>
  <c r="C37" i="2"/>
  <c r="D37" i="2"/>
  <c r="E37" i="2"/>
  <c r="F37" i="2"/>
  <c r="I447" i="1"/>
  <c r="J38" i="1"/>
  <c r="G37" i="2" s="1"/>
  <c r="C38" i="2"/>
  <c r="C42" i="2" s="1"/>
  <c r="D38" i="2"/>
  <c r="E38" i="2"/>
  <c r="F38" i="2"/>
  <c r="I448" i="1"/>
  <c r="J40" i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D48" i="2"/>
  <c r="E48" i="2"/>
  <c r="F48" i="2"/>
  <c r="C49" i="2"/>
  <c r="C54" i="2" s="1"/>
  <c r="E49" i="2"/>
  <c r="C50" i="2"/>
  <c r="E50" i="2"/>
  <c r="C51" i="2"/>
  <c r="D51" i="2"/>
  <c r="E51" i="2"/>
  <c r="F51" i="2"/>
  <c r="D52" i="2"/>
  <c r="C53" i="2"/>
  <c r="D53" i="2"/>
  <c r="E53" i="2"/>
  <c r="F53" i="2"/>
  <c r="C58" i="2"/>
  <c r="C62" i="2" s="1"/>
  <c r="C59" i="2"/>
  <c r="C61" i="2"/>
  <c r="D61" i="2"/>
  <c r="D62" i="2" s="1"/>
  <c r="E61" i="2"/>
  <c r="E62" i="2" s="1"/>
  <c r="E73" i="2" s="1"/>
  <c r="F61" i="2"/>
  <c r="F62" i="2" s="1"/>
  <c r="G61" i="2"/>
  <c r="G62" i="2"/>
  <c r="G69" i="2"/>
  <c r="G70" i="2"/>
  <c r="G73" i="2"/>
  <c r="G55" i="2"/>
  <c r="G88" i="2"/>
  <c r="G89" i="2"/>
  <c r="G90" i="2"/>
  <c r="G95" i="2" s="1"/>
  <c r="C64" i="2"/>
  <c r="F64" i="2"/>
  <c r="F70" i="2" s="1"/>
  <c r="F73" i="2" s="1"/>
  <c r="C65" i="2"/>
  <c r="F65" i="2"/>
  <c r="C66" i="2"/>
  <c r="C67" i="2"/>
  <c r="C68" i="2"/>
  <c r="E68" i="2"/>
  <c r="F68" i="2"/>
  <c r="C69" i="2"/>
  <c r="D69" i="2"/>
  <c r="D70" i="2" s="1"/>
  <c r="D71" i="2"/>
  <c r="D54" i="2"/>
  <c r="D55" i="2"/>
  <c r="D77" i="2"/>
  <c r="D81" i="2"/>
  <c r="D88" i="2"/>
  <c r="D89" i="2"/>
  <c r="D90" i="2"/>
  <c r="D91" i="2"/>
  <c r="D92" i="2"/>
  <c r="D93" i="2"/>
  <c r="D94" i="2"/>
  <c r="D95" i="2"/>
  <c r="E69" i="2"/>
  <c r="F69" i="2"/>
  <c r="E70" i="2"/>
  <c r="C71" i="2"/>
  <c r="E71" i="2"/>
  <c r="C72" i="2"/>
  <c r="E72" i="2"/>
  <c r="E77" i="2"/>
  <c r="F77" i="2"/>
  <c r="F83" i="2" s="1"/>
  <c r="C79" i="2"/>
  <c r="E79" i="2"/>
  <c r="F79" i="2"/>
  <c r="C80" i="2"/>
  <c r="E80" i="2"/>
  <c r="F80" i="2"/>
  <c r="C81" i="2"/>
  <c r="E81" i="2"/>
  <c r="F81" i="2"/>
  <c r="C82" i="2"/>
  <c r="C85" i="2"/>
  <c r="F85" i="2"/>
  <c r="F95" i="2" s="1"/>
  <c r="C86" i="2"/>
  <c r="C95" i="2" s="1"/>
  <c r="F86" i="2"/>
  <c r="E88" i="2"/>
  <c r="F88" i="2"/>
  <c r="C89" i="2"/>
  <c r="E89" i="2"/>
  <c r="E95" i="2" s="1"/>
  <c r="F89" i="2"/>
  <c r="C90" i="2"/>
  <c r="E90" i="2"/>
  <c r="C91" i="2"/>
  <c r="E91" i="2"/>
  <c r="E92" i="2"/>
  <c r="E93" i="2"/>
  <c r="E94" i="2"/>
  <c r="F91" i="2"/>
  <c r="C92" i="2"/>
  <c r="F92" i="2"/>
  <c r="C93" i="2"/>
  <c r="F93" i="2"/>
  <c r="C94" i="2"/>
  <c r="F94" i="2"/>
  <c r="C101" i="2"/>
  <c r="E101" i="2"/>
  <c r="E103" i="2"/>
  <c r="E104" i="2"/>
  <c r="C105" i="2"/>
  <c r="E105" i="2"/>
  <c r="D107" i="2"/>
  <c r="F107" i="2"/>
  <c r="G107" i="2"/>
  <c r="E115" i="2"/>
  <c r="D119" i="2"/>
  <c r="D120" i="2" s="1"/>
  <c r="D137" i="2" s="1"/>
  <c r="F120" i="2"/>
  <c r="G120" i="2"/>
  <c r="F126" i="2"/>
  <c r="D126" i="2"/>
  <c r="E126" i="2"/>
  <c r="K411" i="1"/>
  <c r="K426" i="1" s="1"/>
  <c r="G126" i="2" s="1"/>
  <c r="G136" i="2" s="1"/>
  <c r="G137" i="2" s="1"/>
  <c r="K419" i="1"/>
  <c r="K425" i="1"/>
  <c r="L255" i="1"/>
  <c r="C127" i="2"/>
  <c r="E127" i="2"/>
  <c r="L256" i="1"/>
  <c r="C128" i="2"/>
  <c r="L257" i="1"/>
  <c r="C129" i="2" s="1"/>
  <c r="E129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G149" i="2"/>
  <c r="B150" i="2"/>
  <c r="C150" i="2"/>
  <c r="D150" i="2"/>
  <c r="E150" i="2"/>
  <c r="F150" i="2"/>
  <c r="B151" i="2"/>
  <c r="C151" i="2"/>
  <c r="D151" i="2"/>
  <c r="G151" i="2" s="1"/>
  <c r="E151" i="2"/>
  <c r="F151" i="2"/>
  <c r="B152" i="2"/>
  <c r="G152" i="2" s="1"/>
  <c r="C152" i="2"/>
  <c r="D152" i="2"/>
  <c r="E152" i="2"/>
  <c r="F152" i="2"/>
  <c r="F490" i="1"/>
  <c r="B153" i="2" s="1"/>
  <c r="G490" i="1"/>
  <c r="C153" i="2" s="1"/>
  <c r="E153" i="2"/>
  <c r="F153" i="2"/>
  <c r="H490" i="1"/>
  <c r="I490" i="1"/>
  <c r="J490" i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 s="1"/>
  <c r="F156" i="2"/>
  <c r="G493" i="1"/>
  <c r="H493" i="1"/>
  <c r="D156" i="2" s="1"/>
  <c r="I493" i="1"/>
  <c r="E156" i="2" s="1"/>
  <c r="J493" i="1"/>
  <c r="G19" i="1"/>
  <c r="H19" i="1"/>
  <c r="I19" i="1"/>
  <c r="G33" i="1"/>
  <c r="G44" i="1"/>
  <c r="H608" i="1"/>
  <c r="H33" i="1"/>
  <c r="I33" i="1"/>
  <c r="I44" i="1" s="1"/>
  <c r="H610" i="1" s="1"/>
  <c r="J610" i="1" s="1"/>
  <c r="F43" i="1"/>
  <c r="G43" i="1"/>
  <c r="H43" i="1"/>
  <c r="I43" i="1"/>
  <c r="G615" i="1" s="1"/>
  <c r="J615" i="1" s="1"/>
  <c r="F169" i="1"/>
  <c r="I169" i="1"/>
  <c r="F175" i="1"/>
  <c r="G175" i="1"/>
  <c r="G184" i="1"/>
  <c r="H175" i="1"/>
  <c r="H184" i="1"/>
  <c r="I175" i="1"/>
  <c r="I184" i="1" s="1"/>
  <c r="J175" i="1"/>
  <c r="J184" i="1"/>
  <c r="F180" i="1"/>
  <c r="G180" i="1"/>
  <c r="H180" i="1"/>
  <c r="I180" i="1"/>
  <c r="F203" i="1"/>
  <c r="G203" i="1"/>
  <c r="H203" i="1"/>
  <c r="I203" i="1"/>
  <c r="I249" i="1" s="1"/>
  <c r="I263" i="1" s="1"/>
  <c r="J203" i="1"/>
  <c r="K203" i="1"/>
  <c r="F221" i="1"/>
  <c r="G221" i="1"/>
  <c r="H221" i="1"/>
  <c r="I221" i="1"/>
  <c r="J221" i="1"/>
  <c r="K221" i="1"/>
  <c r="K249" i="1" s="1"/>
  <c r="K263" i="1" s="1"/>
  <c r="F239" i="1"/>
  <c r="F249" i="1"/>
  <c r="G239" i="1"/>
  <c r="I239" i="1"/>
  <c r="J239" i="1"/>
  <c r="K239" i="1"/>
  <c r="F248" i="1"/>
  <c r="G248" i="1"/>
  <c r="H248" i="1"/>
  <c r="I248" i="1"/>
  <c r="J248" i="1"/>
  <c r="J249" i="1" s="1"/>
  <c r="K248" i="1"/>
  <c r="F282" i="1"/>
  <c r="G282" i="1"/>
  <c r="I282" i="1"/>
  <c r="F301" i="1"/>
  <c r="G301" i="1"/>
  <c r="H301" i="1"/>
  <c r="I301" i="1"/>
  <c r="F320" i="1"/>
  <c r="G320" i="1"/>
  <c r="I320" i="1"/>
  <c r="I330" i="1" s="1"/>
  <c r="I344" i="1" s="1"/>
  <c r="F329" i="1"/>
  <c r="G329" i="1"/>
  <c r="I329" i="1"/>
  <c r="J329" i="1"/>
  <c r="K329" i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H393" i="1"/>
  <c r="H400" i="1" s="1"/>
  <c r="H634" i="1" s="1"/>
  <c r="I393" i="1"/>
  <c r="I400" i="1" s="1"/>
  <c r="F399" i="1"/>
  <c r="G399" i="1"/>
  <c r="H399" i="1"/>
  <c r="I399" i="1"/>
  <c r="L405" i="1"/>
  <c r="L411" i="1" s="1"/>
  <c r="L406" i="1"/>
  <c r="L408" i="1"/>
  <c r="L409" i="1"/>
  <c r="L410" i="1"/>
  <c r="F411" i="1"/>
  <c r="G411" i="1"/>
  <c r="G426" i="1" s="1"/>
  <c r="H411" i="1"/>
  <c r="H426" i="1" s="1"/>
  <c r="I411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J425" i="1"/>
  <c r="I426" i="1"/>
  <c r="F438" i="1"/>
  <c r="G629" i="1" s="1"/>
  <c r="J629" i="1" s="1"/>
  <c r="G438" i="1"/>
  <c r="G630" i="1" s="1"/>
  <c r="H438" i="1"/>
  <c r="G631" i="1" s="1"/>
  <c r="J631" i="1" s="1"/>
  <c r="I438" i="1"/>
  <c r="G632" i="1" s="1"/>
  <c r="F444" i="1"/>
  <c r="G444" i="1"/>
  <c r="H444" i="1"/>
  <c r="F450" i="1"/>
  <c r="G450" i="1"/>
  <c r="H450" i="1"/>
  <c r="I450" i="1"/>
  <c r="F451" i="1"/>
  <c r="H629" i="1" s="1"/>
  <c r="G451" i="1"/>
  <c r="H630" i="1" s="1"/>
  <c r="H451" i="1"/>
  <c r="H631" i="1" s="1"/>
  <c r="F460" i="1"/>
  <c r="G460" i="1"/>
  <c r="H460" i="1"/>
  <c r="I460" i="1"/>
  <c r="J460" i="1"/>
  <c r="F464" i="1"/>
  <c r="G464" i="1"/>
  <c r="H464" i="1"/>
  <c r="I464" i="1"/>
  <c r="I466" i="1"/>
  <c r="H615" i="1"/>
  <c r="J464" i="1"/>
  <c r="J466" i="1" s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I514" i="1"/>
  <c r="I535" i="1" s="1"/>
  <c r="J514" i="1"/>
  <c r="J535" i="1" s="1"/>
  <c r="K514" i="1"/>
  <c r="F519" i="1"/>
  <c r="G519" i="1"/>
  <c r="I519" i="1"/>
  <c r="J519" i="1"/>
  <c r="K519" i="1"/>
  <c r="F524" i="1"/>
  <c r="F535" i="1"/>
  <c r="G524" i="1"/>
  <c r="G535" i="1"/>
  <c r="H524" i="1"/>
  <c r="I524" i="1"/>
  <c r="J524" i="1"/>
  <c r="F529" i="1"/>
  <c r="G529" i="1"/>
  <c r="H529" i="1"/>
  <c r="I529" i="1"/>
  <c r="J529" i="1"/>
  <c r="K529" i="1"/>
  <c r="L529" i="1"/>
  <c r="F534" i="1"/>
  <c r="G534" i="1"/>
  <c r="I534" i="1"/>
  <c r="J534" i="1"/>
  <c r="K534" i="1"/>
  <c r="L547" i="1"/>
  <c r="L548" i="1"/>
  <c r="L549" i="1"/>
  <c r="L550" i="1"/>
  <c r="F550" i="1"/>
  <c r="G550" i="1"/>
  <c r="H550" i="1"/>
  <c r="H561" i="1" s="1"/>
  <c r="I550" i="1"/>
  <c r="I561" i="1" s="1"/>
  <c r="J550" i="1"/>
  <c r="J561" i="1" s="1"/>
  <c r="K550" i="1"/>
  <c r="K561" i="1"/>
  <c r="L552" i="1"/>
  <c r="L553" i="1"/>
  <c r="L554" i="1"/>
  <c r="L555" i="1"/>
  <c r="F555" i="1"/>
  <c r="G555" i="1"/>
  <c r="H555" i="1"/>
  <c r="I555" i="1"/>
  <c r="J555" i="1"/>
  <c r="K555" i="1"/>
  <c r="L557" i="1"/>
  <c r="L558" i="1"/>
  <c r="L560" i="1" s="1"/>
  <c r="L559" i="1"/>
  <c r="F560" i="1"/>
  <c r="F561" i="1" s="1"/>
  <c r="G560" i="1"/>
  <c r="G561" i="1" s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6" i="1"/>
  <c r="K587" i="1"/>
  <c r="I588" i="1"/>
  <c r="K592" i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8" i="1"/>
  <c r="J608" i="1" s="1"/>
  <c r="G609" i="1"/>
  <c r="G610" i="1"/>
  <c r="G613" i="1"/>
  <c r="G614" i="1"/>
  <c r="H617" i="1"/>
  <c r="H618" i="1"/>
  <c r="H619" i="1"/>
  <c r="H620" i="1"/>
  <c r="J620" i="1"/>
  <c r="H621" i="1"/>
  <c r="H622" i="1"/>
  <c r="H623" i="1"/>
  <c r="G624" i="1"/>
  <c r="H625" i="1"/>
  <c r="H626" i="1"/>
  <c r="H627" i="1"/>
  <c r="H628" i="1"/>
  <c r="G633" i="1"/>
  <c r="G634" i="1"/>
  <c r="J634" i="1" s="1"/>
  <c r="G639" i="1"/>
  <c r="H640" i="1"/>
  <c r="G642" i="1"/>
  <c r="H642" i="1"/>
  <c r="G643" i="1"/>
  <c r="H643" i="1"/>
  <c r="J643" i="1"/>
  <c r="G644" i="1"/>
  <c r="H644" i="1"/>
  <c r="J644" i="1"/>
  <c r="G645" i="1"/>
  <c r="H645" i="1"/>
  <c r="J645" i="1" s="1"/>
  <c r="F32" i="2"/>
  <c r="D32" i="2"/>
  <c r="G150" i="2"/>
  <c r="G148" i="2"/>
  <c r="F54" i="2"/>
  <c r="F55" i="2" s="1"/>
  <c r="E19" i="2"/>
  <c r="A13" i="12"/>
  <c r="D18" i="13"/>
  <c r="C18" i="13" s="1"/>
  <c r="K595" i="1"/>
  <c r="G638" i="1"/>
  <c r="H466" i="1"/>
  <c r="H614" i="1"/>
  <c r="J614" i="1" s="1"/>
  <c r="G466" i="1"/>
  <c r="H613" i="1" s="1"/>
  <c r="J613" i="1" s="1"/>
  <c r="F466" i="1"/>
  <c r="H612" i="1"/>
  <c r="L354" i="1"/>
  <c r="G625" i="1"/>
  <c r="J625" i="1"/>
  <c r="C27" i="10"/>
  <c r="I651" i="1"/>
  <c r="G330" i="1"/>
  <c r="G344" i="1"/>
  <c r="L248" i="1"/>
  <c r="J642" i="1"/>
  <c r="E13" i="13"/>
  <c r="C13" i="13" s="1"/>
  <c r="E16" i="13"/>
  <c r="C16" i="13" s="1"/>
  <c r="F184" i="1"/>
  <c r="H44" i="1"/>
  <c r="H609" i="1"/>
  <c r="A40" i="12"/>
  <c r="G635" i="1"/>
  <c r="J635" i="1" s="1"/>
  <c r="J411" i="1"/>
  <c r="J426" i="1"/>
  <c r="C17" i="13"/>
  <c r="L524" i="1" l="1"/>
  <c r="H539" i="1"/>
  <c r="H542" i="1" s="1"/>
  <c r="L329" i="1"/>
  <c r="J263" i="1"/>
  <c r="G36" i="2"/>
  <c r="G42" i="2" s="1"/>
  <c r="G43" i="2" s="1"/>
  <c r="J43" i="1"/>
  <c r="J19" i="1"/>
  <c r="G611" i="1" s="1"/>
  <c r="G621" i="1"/>
  <c r="J621" i="1" s="1"/>
  <c r="G636" i="1"/>
  <c r="H282" i="1"/>
  <c r="L274" i="1"/>
  <c r="H514" i="1"/>
  <c r="L511" i="1"/>
  <c r="L320" i="1"/>
  <c r="E43" i="2"/>
  <c r="C102" i="2"/>
  <c r="C107" i="2" s="1"/>
  <c r="C137" i="2" s="1"/>
  <c r="K535" i="1"/>
  <c r="D42" i="2"/>
  <c r="D43" i="2" s="1"/>
  <c r="K541" i="1"/>
  <c r="I653" i="1"/>
  <c r="C17" i="10"/>
  <c r="C112" i="2"/>
  <c r="E8" i="13"/>
  <c r="L419" i="1"/>
  <c r="L426" i="1" s="1"/>
  <c r="G628" i="1" s="1"/>
  <c r="J628" i="1" s="1"/>
  <c r="F44" i="1"/>
  <c r="H607" i="1" s="1"/>
  <c r="J607" i="1" s="1"/>
  <c r="G612" i="1"/>
  <c r="J612" i="1" s="1"/>
  <c r="K493" i="1"/>
  <c r="F137" i="2"/>
  <c r="D83" i="2"/>
  <c r="C70" i="2"/>
  <c r="C73" i="2" s="1"/>
  <c r="K540" i="1"/>
  <c r="H185" i="1"/>
  <c r="G619" i="1" s="1"/>
  <c r="J619" i="1" s="1"/>
  <c r="G33" i="13"/>
  <c r="C36" i="10"/>
  <c r="C133" i="2"/>
  <c r="J632" i="1"/>
  <c r="C43" i="2"/>
  <c r="F42" i="2"/>
  <c r="F43" i="2" s="1"/>
  <c r="G22" i="2"/>
  <c r="G32" i="2" s="1"/>
  <c r="J33" i="1"/>
  <c r="C130" i="2"/>
  <c r="L400" i="1"/>
  <c r="G654" i="1"/>
  <c r="F33" i="13"/>
  <c r="G156" i="2"/>
  <c r="C16" i="10"/>
  <c r="C111" i="2"/>
  <c r="D7" i="13"/>
  <c r="C7" i="13" s="1"/>
  <c r="J630" i="1"/>
  <c r="C25" i="13"/>
  <c r="H33" i="13"/>
  <c r="D29" i="13"/>
  <c r="C29" i="13" s="1"/>
  <c r="I361" i="1"/>
  <c r="H624" i="1" s="1"/>
  <c r="F96" i="2"/>
  <c r="H249" i="1"/>
  <c r="H263" i="1" s="1"/>
  <c r="K490" i="1"/>
  <c r="D153" i="2"/>
  <c r="G153" i="2" s="1"/>
  <c r="D73" i="2"/>
  <c r="D96" i="2" s="1"/>
  <c r="C110" i="2"/>
  <c r="C120" i="2" s="1"/>
  <c r="D6" i="13"/>
  <c r="C6" i="13" s="1"/>
  <c r="C15" i="10"/>
  <c r="J624" i="1"/>
  <c r="J609" i="1"/>
  <c r="F426" i="1"/>
  <c r="G249" i="1"/>
  <c r="G263" i="1" s="1"/>
  <c r="E54" i="2"/>
  <c r="E55" i="2" s="1"/>
  <c r="C32" i="2"/>
  <c r="F263" i="1"/>
  <c r="L262" i="1"/>
  <c r="I652" i="1"/>
  <c r="C20" i="10"/>
  <c r="D14" i="13"/>
  <c r="C14" i="13" s="1"/>
  <c r="C115" i="2"/>
  <c r="L561" i="1"/>
  <c r="F330" i="1"/>
  <c r="F344" i="1" s="1"/>
  <c r="E83" i="2"/>
  <c r="G96" i="2"/>
  <c r="C38" i="10"/>
  <c r="D19" i="13"/>
  <c r="C19" i="13" s="1"/>
  <c r="H637" i="1"/>
  <c r="J637" i="1" s="1"/>
  <c r="C114" i="2"/>
  <c r="J330" i="1"/>
  <c r="J344" i="1" s="1"/>
  <c r="C122" i="2"/>
  <c r="C136" i="2" s="1"/>
  <c r="C77" i="2"/>
  <c r="C83" i="2" s="1"/>
  <c r="L226" i="1"/>
  <c r="F104" i="1"/>
  <c r="F185" i="1" s="1"/>
  <c r="G617" i="1" s="1"/>
  <c r="J617" i="1" s="1"/>
  <c r="G9" i="2"/>
  <c r="G19" i="2" s="1"/>
  <c r="D12" i="13"/>
  <c r="C12" i="13" s="1"/>
  <c r="C134" i="2"/>
  <c r="C113" i="2"/>
  <c r="L343" i="1"/>
  <c r="H320" i="1"/>
  <c r="D5" i="13"/>
  <c r="K330" i="1"/>
  <c r="K344" i="1" s="1"/>
  <c r="D15" i="13"/>
  <c r="C15" i="13" s="1"/>
  <c r="C156" i="2"/>
  <c r="C104" i="2"/>
  <c r="C48" i="2"/>
  <c r="C55" i="2" s="1"/>
  <c r="C9" i="2"/>
  <c r="C19" i="2" s="1"/>
  <c r="E124" i="2"/>
  <c r="E136" i="2" s="1"/>
  <c r="L516" i="1"/>
  <c r="C21" i="10"/>
  <c r="G641" i="1"/>
  <c r="J641" i="1" s="1"/>
  <c r="H588" i="1"/>
  <c r="H639" i="1" s="1"/>
  <c r="J639" i="1" s="1"/>
  <c r="H534" i="1"/>
  <c r="G154" i="1"/>
  <c r="G161" i="1" s="1"/>
  <c r="L325" i="1"/>
  <c r="E106" i="2" s="1"/>
  <c r="E107" i="2" s="1"/>
  <c r="G652" i="1"/>
  <c r="C116" i="2"/>
  <c r="E137" i="2" l="1"/>
  <c r="G185" i="1"/>
  <c r="G618" i="1" s="1"/>
  <c r="J618" i="1" s="1"/>
  <c r="C39" i="10"/>
  <c r="C5" i="13"/>
  <c r="G616" i="1"/>
  <c r="J616" i="1" s="1"/>
  <c r="J44" i="1"/>
  <c r="H611" i="1" s="1"/>
  <c r="J611" i="1" s="1"/>
  <c r="G539" i="1"/>
  <c r="G542" i="1" s="1"/>
  <c r="L519" i="1"/>
  <c r="C24" i="10"/>
  <c r="F539" i="1"/>
  <c r="L514" i="1"/>
  <c r="G627" i="1"/>
  <c r="J627" i="1" s="1"/>
  <c r="H636" i="1"/>
  <c r="H535" i="1"/>
  <c r="E111" i="2"/>
  <c r="E120" i="2" s="1"/>
  <c r="L282" i="1"/>
  <c r="H638" i="1"/>
  <c r="J638" i="1" s="1"/>
  <c r="C96" i="2"/>
  <c r="E96" i="2"/>
  <c r="H330" i="1"/>
  <c r="H344" i="1" s="1"/>
  <c r="E33" i="13"/>
  <c r="D35" i="13" s="1"/>
  <c r="C8" i="13"/>
  <c r="G662" i="1"/>
  <c r="G657" i="1"/>
  <c r="L239" i="1"/>
  <c r="C11" i="10"/>
  <c r="J636" i="1"/>
  <c r="D31" i="13" l="1"/>
  <c r="L330" i="1"/>
  <c r="L344" i="1" s="1"/>
  <c r="G623" i="1" s="1"/>
  <c r="J623" i="1" s="1"/>
  <c r="F650" i="1"/>
  <c r="C28" i="10"/>
  <c r="H650" i="1"/>
  <c r="H654" i="1" s="1"/>
  <c r="L249" i="1"/>
  <c r="L263" i="1" s="1"/>
  <c r="G622" i="1" s="1"/>
  <c r="L535" i="1"/>
  <c r="K539" i="1"/>
  <c r="K542" i="1" s="1"/>
  <c r="F542" i="1"/>
  <c r="C41" i="10"/>
  <c r="D37" i="10" l="1"/>
  <c r="D40" i="10"/>
  <c r="D35" i="10"/>
  <c r="D41" i="10" s="1"/>
  <c r="D36" i="10"/>
  <c r="D38" i="10"/>
  <c r="D39" i="10"/>
  <c r="J622" i="1"/>
  <c r="H646" i="1"/>
  <c r="H662" i="1"/>
  <c r="C6" i="10" s="1"/>
  <c r="H657" i="1"/>
  <c r="D23" i="10"/>
  <c r="C30" i="10"/>
  <c r="D22" i="10"/>
  <c r="D27" i="10"/>
  <c r="D25" i="10"/>
  <c r="D26" i="10"/>
  <c r="D19" i="10"/>
  <c r="D10" i="10"/>
  <c r="D18" i="10"/>
  <c r="D13" i="10"/>
  <c r="D12" i="10"/>
  <c r="D17" i="10"/>
  <c r="D16" i="10"/>
  <c r="D15" i="10"/>
  <c r="D20" i="10"/>
  <c r="D21" i="10"/>
  <c r="D11" i="10"/>
  <c r="I650" i="1"/>
  <c r="I654" i="1" s="1"/>
  <c r="F654" i="1"/>
  <c r="D24" i="10"/>
  <c r="C31" i="13"/>
  <c r="D33" i="13"/>
  <c r="D36" i="13" s="1"/>
  <c r="D28" i="10" l="1"/>
  <c r="F662" i="1"/>
  <c r="C4" i="10" s="1"/>
  <c r="F657" i="1"/>
  <c r="I657" i="1"/>
  <c r="I662" i="1"/>
  <c r="C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D610F8E3-7E72-4846-AF61-B3F387BC1BE0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FC0A497-CB26-4F60-8ED7-22FFC0DAE7C2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86253302-5D1B-483E-A9AA-C2C74E859EA4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3CA862F-A65C-47B1-990A-C13FCC2ED147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7117B1C2-7052-49B1-B5CC-2BF2FDD2DDA3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1A14FF90-E267-47BA-A975-4D901E0993E5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E31A9DEA-BBBC-4279-9223-BC7CA161F461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787BCC18-47F5-48AA-B15B-508884D052DA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D52F9E02-FFE0-4447-8248-449BBCF1F647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836BBCDC-8F56-4AC0-ABD5-E607F963AC75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8B4D1BBD-CD31-4324-A59A-BE8F94180465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7F8DBC4-B414-4A9D-9CBD-E3B94B415FFD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<sst xmlns="http://schemas.openxmlformats.org/spreadsheetml/2006/main" count="3863" uniqueCount="900">
  <si>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</si>
  <si>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</si>
  <si>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</si>
  <si>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</si>
  <si>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</si>
  <si>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</si>
  <si>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</si>
  <si>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</si>
  <si>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</si>
  <si>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</si>
  <si>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</si>
  <si>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</si>
  <si>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</si>
  <si>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</si>
  <si>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</si>
  <si>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</si>
  <si>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</si>
  <si>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</si>
  <si>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</si>
  <si>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</si>
  <si>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</si>
  <si>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</si>
  <si>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</si>
  <si>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</si>
  <si>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</si>
  <si>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</si>
  <si>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</si>
  <si>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</si>
  <si>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</si>
  <si>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</si>
  <si>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</si>
  <si>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</si>
  <si>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</si>
  <si>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</si>
  <si>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</si>
  <si>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</si>
  <si>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</si>
  <si>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</si>
  <si>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</si>
  <si>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</si>
  <si>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</si>
  <si>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</si>
  <si>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</si>
  <si>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</si>
  <si>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</si>
  <si>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</si>
  <si>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</si>
  <si>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</si>
  <si>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</si>
  <si>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</si>
  <si>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</si>
  <si>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</si>
  <si>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</si>
  <si>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</si>
  <si>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</si>
  <si>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</si>
  <si>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</si>
  <si>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</si>
  <si>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</si>
  <si>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</si>
  <si>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</si>
  <si>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</si>
  <si>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</si>
  <si>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</si>
  <si>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</si>
  <si>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</si>
  <si>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</si>
  <si>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</si>
  <si>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</si>
  <si>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</si>
  <si>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</si>
  <si>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</si>
  <si>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</si>
  <si>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</si>
  <si>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</si>
  <si>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</si>
  <si>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</si>
  <si>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</si>
  <si>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</si>
  <si>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</si>
  <si>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</si>
  <si>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</si>
  <si>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</si>
  <si>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</si>
  <si>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</si>
  <si>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</si>
  <si>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</si>
  <si>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</si>
  <si>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</si>
  <si>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</si>
  <si>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</si>
  <si>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</si>
  <si>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</si>
  <si>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</si>
  <si>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</si>
  <si>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</si>
  <si>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</si>
  <si>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</si>
  <si>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</si>
  <si>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</si>
  <si>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</si>
  <si>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</si>
  <si>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</si>
  <si>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</si>
  <si>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</si>
  <si>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</si>
  <si>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</si>
  <si>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</si>
  <si>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</si>
  <si>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</si>
  <si>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</si>
  <si>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</si>
  <si>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</si>
  <si>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</si>
  <si>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</si>
  <si>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</si>
  <si>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</si>
  <si>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</si>
  <si>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</si>
  <si>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</si>
  <si>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</si>
  <si>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</si>
  <si>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</si>
  <si>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</si>
  <si>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</si>
  <si>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</si>
  <si>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</si>
  <si>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</si>
  <si>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</si>
  <si>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</si>
  <si>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</si>
  <si>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</si>
  <si>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</si>
  <si>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</si>
  <si>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</si>
  <si>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</si>
  <si>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</si>
  <si>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</si>
  <si>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</si>
  <si>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</si>
  <si>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</si>
  <si>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</si>
  <si>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</si>
  <si>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</si>
  <si>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</si>
  <si>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</si>
  <si>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</si>
  <si>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</si>
  <si>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</si>
  <si>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</si>
  <si>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</si>
  <si>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</si>
  <si>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</si>
  <si>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</si>
  <si>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</si>
  <si>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</si>
  <si>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</si>
  <si>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</si>
  <si>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</si>
  <si>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</si>
  <si>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</si>
  <si>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</si>
  <si>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</si>
  <si>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</si>
  <si>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</si>
  <si>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</si>
  <si>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</si>
  <si>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</si>
  <si>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</si>
  <si>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</si>
  <si>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</si>
  <si>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</si>
  <si>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</si>
  <si>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</si>
  <si>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</si>
  <si>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</si>
  <si>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</si>
  <si>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</si>
  <si>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</si>
  <si>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</si>
  <si>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</si>
  <si>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</si>
  <si>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</si>
  <si>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</si>
  <si>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</si>
  <si>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</si>
  <si>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</si>
  <si>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</si>
  <si>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</si>
  <si>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</si>
  <si>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</si>
  <si>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</si>
  <si>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</si>
  <si>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</si>
  <si>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</si>
  <si>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</si>
  <si>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</si>
  <si>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</si>
  <si>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</si>
  <si>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</si>
  <si>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</si>
  <si>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</si>
  <si>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</si>
  <si>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</si>
  <si>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</si>
  <si>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</si>
  <si>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</si>
  <si>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</si>
  <si>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</si>
  <si>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</si>
  <si>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</si>
  <si>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</si>
  <si>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</si>
  <si>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</si>
  <si>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</si>
  <si>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</si>
  <si>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</si>
  <si>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</si>
  <si>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</si>
  <si>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</si>
  <si>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</si>
  <si>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</si>
  <si>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</si>
  <si>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</si>
  <si>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</si>
  <si>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</si>
  <si>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</si>
  <si>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</si>
  <si>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</si>
  <si>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</si>
  <si>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</si>
  <si>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</si>
  <si>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</si>
  <si>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</si>
  <si>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</si>
  <si>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</si>
  <si>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</si>
  <si>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</si>
  <si>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</si>
  <si>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</si>
  <si>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</si>
  <si>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</si>
  <si>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</si>
  <si>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</si>
  <si>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</si>
  <si>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</si>
  <si>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</si>
  <si>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</si>
  <si>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</si>
  <si>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</si>
  <si>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</si>
  <si>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</si>
  <si>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</si>
  <si>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</si>
  <si>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</si>
  <si>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</si>
  <si>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</si>
  <si>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</si>
  <si>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</si>
  <si>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</si>
  <si>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</si>
  <si>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</si>
  <si>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</si>
  <si>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</si>
  <si>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</si>
  <si>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</si>
  <si>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</si>
  <si>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</si>
  <si>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</si>
  <si>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</si>
  <si>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</si>
  <si>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</si>
  <si>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</si>
  <si>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</si>
  <si>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</si>
  <si>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</si>
  <si>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</si>
  <si>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</si>
  <si>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</si>
  <si>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</si>
  <si>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</si>
  <si>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</si>
  <si>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</si>
  <si>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</si>
  <si>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</si>
  <si>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</si>
  <si>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</si>
  <si>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</si>
  <si>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</si>
  <si>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</si>
  <si>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</si>
  <si>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</si>
  <si>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</si>
  <si>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</si>
  <si>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</si>
  <si>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</si>
  <si>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</si>
  <si>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</si>
  <si>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</si>
  <si>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</si>
  <si>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</si>
  <si>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</si>
  <si>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</si>
  <si>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</si>
  <si>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</si>
  <si>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</si>
  <si>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</si>
  <si>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</si>
  <si>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</si>
  <si>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</si>
  <si>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</si>
  <si>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</si>
  <si>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</si>
  <si>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</si>
  <si>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</si>
  <si>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</si>
  <si>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</si>
  <si>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</si>
  <si>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</si>
  <si>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</si>
  <si>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</si>
  <si>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</si>
  <si>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</si>
  <si>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</si>
  <si>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</si>
  <si>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</si>
  <si>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</si>
  <si>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</si>
  <si>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</si>
  <si>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</si>
  <si>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</si>
  <si>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</si>
  <si>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</si>
  <si>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</si>
  <si>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</si>
  <si>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</si>
  <si>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</si>
  <si>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</si>
  <si>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</si>
  <si>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</si>
  <si>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</si>
  <si>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</si>
  <si>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</si>
  <si>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</si>
  <si>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</si>
  <si>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</si>
  <si>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</si>
  <si>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</si>
  <si>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</si>
  <si>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</si>
  <si>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</si>
  <si>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</si>
  <si>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</si>
  <si>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</si>
  <si>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</si>
  <si>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</si>
  <si>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</si>
  <si>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</si>
  <si>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</si>
  <si>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</si>
  <si>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</si>
  <si>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</si>
  <si>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</si>
  <si>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</si>
  <si>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</si>
  <si>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</si>
  <si>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</si>
  <si>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</si>
  <si>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</si>
  <si>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</si>
  <si>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</si>
  <si>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</si>
  <si>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</si>
  <si>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</si>
  <si>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</si>
  <si>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</si>
  <si>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</si>
  <si>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</si>
  <si>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</si>
  <si>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</si>
  <si>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</si>
  <si>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</si>
  <si>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</si>
  <si>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</si>
  <si>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</si>
  <si>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</si>
  <si>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</si>
  <si>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</si>
  <si>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</si>
  <si>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</si>
  <si>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</si>
  <si>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</si>
  <si>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</si>
  <si>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</si>
  <si>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</si>
  <si>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</si>
  <si>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</si>
  <si>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</si>
  <si>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</si>
  <si>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</si>
  <si>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</si>
  <si>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</si>
  <si>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</si>
  <si>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</si>
  <si>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</si>
  <si>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</si>
  <si>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</si>
  <si>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</si>
  <si>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</si>
  <si>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</si>
  <si>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</si>
  <si>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</si>
  <si>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</si>
  <si>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</si>
  <si>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</si>
  <si>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</si>
  <si>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</si>
  <si>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</si>
  <si>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</si>
  <si>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</si>
  <si>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</si>
  <si>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</si>
  <si>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</si>
  <si>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</si>
  <si>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</si>
  <si>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</si>
  <si>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</si>
  <si>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</si>
  <si>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</si>
  <si>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</si>
  <si>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</si>
  <si>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</si>
  <si>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</si>
  <si>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</si>
  <si>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</si>
  <si>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</si>
  <si>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</si>
  <si>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</si>
  <si>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</si>
  <si>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</si>
  <si>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</si>
  <si>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</si>
  <si>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</si>
  <si>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</si>
  <si>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</si>
  <si>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</si>
  <si>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</si>
  <si>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</si>
  <si>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</si>
  <si>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</si>
  <si>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</si>
  <si>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</si>
  <si>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</si>
  <si>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</si>
  <si>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</si>
  <si>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</si>
  <si>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</si>
  <si>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</si>
  <si>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</si>
  <si>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</si>
  <si>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</si>
  <si>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</si>
  <si>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</si>
  <si>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</si>
  <si>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</si>
  <si>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</si>
  <si>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</si>
  <si>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</si>
  <si>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</si>
  <si>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</si>
  <si>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</si>
  <si>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</si>
  <si>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</si>
  <si>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</si>
  <si>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</si>
  <si>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</si>
  <si>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</si>
  <si>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</si>
  <si>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</si>
  <si>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</si>
  <si>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</si>
  <si>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</si>
  <si>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</si>
  <si>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</si>
  <si>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</si>
  <si>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</si>
  <si>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</si>
  <si>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</si>
  <si>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</si>
  <si>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</si>
  <si>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</si>
  <si>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</si>
  <si>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</si>
  <si>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</si>
  <si>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</si>
  <si>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</si>
  <si>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</si>
  <si>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</si>
  <si>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</si>
  <si>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</si>
  <si>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</si>
  <si>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</si>
  <si>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</si>
  <si>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</si>
  <si>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</si>
  <si>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</si>
  <si>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</si>
  <si>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</si>
  <si>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</si>
  <si>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</si>
  <si>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</si>
  <si>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</si>
  <si>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</si>
  <si>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</si>
  <si>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</si>
  <si>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</si>
  <si>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</si>
  <si>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</si>
  <si>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</si>
  <si>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</si>
  <si>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</si>
  <si>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</si>
  <si>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</si>
  <si>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</si>
  <si>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</si>
  <si>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</si>
  <si>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</si>
  <si>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</si>
  <si>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</si>
  <si>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</si>
  <si>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</si>
  <si>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</si>
  <si>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</si>
  <si>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</si>
  <si>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</si>
  <si>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</si>
  <si>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</si>
  <si>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</si>
  <si>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</si>
  <si>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</si>
  <si>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</si>
  <si>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</si>
  <si>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</si>
  <si>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</si>
  <si>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</si>
  <si>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</si>
  <si>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</si>
  <si>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</si>
  <si>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</si>
  <si>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</si>
  <si>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</si>
  <si>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</si>
  <si>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</si>
  <si>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</si>
  <si>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</si>
  <si>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</si>
  <si>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</si>
  <si>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</si>
  <si>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</si>
  <si>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</si>
  <si>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</si>
  <si>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</si>
  <si>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</si>
  <si>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</si>
  <si>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</si>
  <si>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</si>
  <si>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</si>
  <si>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</si>
  <si>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</si>
  <si>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</si>
  <si>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</si>
  <si>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</si>
  <si>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</si>
  <si>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</si>
  <si>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</si>
  <si>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</si>
  <si>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</si>
  <si>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</si>
  <si>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</si>
  <si>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</si>
  <si>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</si>
  <si>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</si>
  <si>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</si>
  <si>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</si>
  <si>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</si>
  <si>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</si>
  <si>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</si>
  <si>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</si>
  <si>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</si>
  <si>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</si>
  <si>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</si>
  <si>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</si>
  <si>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</si>
  <si>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</si>
  <si>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</si>
  <si>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</si>
  <si>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</si>
  <si>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</si>
  <si>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</si>
  <si>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</si>
  <si>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</si>
  <si>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</si>
  <si>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</si>
  <si>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</si>
  <si>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</si>
  <si>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</si>
  <si>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</si>
  <si>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</si>
  <si>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</si>
  <si>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</si>
  <si>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</si>
  <si>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</si>
  <si>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</si>
  <si>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</si>
  <si>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</si>
  <si>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</si>
  <si>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</si>
  <si>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</si>
  <si>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</si>
  <si>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</si>
  <si>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</si>
  <si>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</si>
  <si>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</si>
  <si>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</si>
  <si>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</si>
  <si>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</si>
  <si>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</si>
  <si>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</si>
  <si>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</si>
  <si>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</si>
  <si>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</si>
  <si>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</si>
  <si>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</si>
  <si>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</si>
  <si>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</si>
  <si>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</si>
  <si>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</si>
  <si>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</si>
  <si>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</si>
  <si>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</si>
  <si>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</si>
  <si>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</si>
  <si>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</si>
  <si>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</si>
  <si>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</si>
  <si>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</si>
  <si>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</si>
  <si>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</si>
  <si>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</si>
  <si>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</si>
  <si>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</si>
  <si>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</si>
  <si>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</si>
  <si>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</si>
  <si>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</si>
  <si>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</si>
  <si>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</si>
  <si>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</si>
  <si>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</si>
  <si>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</si>
  <si>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</si>
  <si>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</si>
  <si>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</si>
  <si>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</si>
  <si>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</si>
  <si>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</si>
  <si>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</si>
  <si>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</si>
  <si>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</si>
  <si>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</si>
  <si>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</si>
  <si>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</si>
  <si>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</si>
  <si>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</si>
  <si>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</si>
  <si>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</si>
  <si>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</si>
  <si>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</si>
  <si>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</si>
  <si>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</si>
  <si>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</si>
  <si>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</si>
  <si>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</si>
  <si>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</si>
  <si>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</si>
  <si>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</si>
  <si>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</si>
  <si>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</si>
  <si>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</si>
  <si>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</si>
  <si>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</si>
  <si>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</si>
  <si>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</si>
  <si>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</si>
  <si>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</si>
  <si>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</si>
  <si>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</si>
  <si>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</si>
  <si>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</si>
  <si>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</si>
  <si>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</si>
  <si>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</si>
  <si>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</si>
  <si>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</si>
  <si>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</si>
  <si>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</si>
  <si>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</si>
  <si>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</si>
  <si>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</si>
  <si>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</si>
  <si>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</si>
  <si>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</si>
  <si>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</si>
  <si>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</si>
  <si>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</si>
  <si>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</si>
  <si>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</si>
  <si>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</si>
  <si>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</si>
  <si>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</si>
  <si>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</si>
  <si>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</si>
  <si>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</si>
  <si>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</si>
  <si>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</si>
  <si>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</si>
  <si>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</si>
  <si>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</si>
  <si>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</si>
  <si>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</si>
  <si>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</si>
  <si>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</si>
  <si>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</si>
  <si>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</si>
  <si>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</si>
  <si>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</si>
  <si>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</si>
  <si>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</si>
  <si>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</si>
  <si>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</si>
  <si>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</si>
  <si>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</si>
  <si>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</si>
  <si>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</si>
  <si>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</si>
  <si>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</si>
  <si>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</si>
  <si>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</si>
  <si>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</si>
  <si>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</si>
  <si>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</si>
  <si>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</si>
  <si>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</si>
  <si>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</si>
  <si>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</si>
  <si>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</si>
  <si>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</si>
  <si>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</si>
  <si>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</si>
  <si>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</si>
  <si>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</si>
  <si>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</si>
  <si>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</si>
  <si>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</si>
  <si>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</si>
  <si>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</si>
  <si>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</si>
  <si>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</si>
  <si>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</si>
  <si>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</si>
  <si>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</si>
  <si>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</si>
  <si>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</si>
  <si>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</si>
  <si>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</si>
  <si>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</si>
  <si>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</si>
  <si>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</si>
  <si>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</si>
  <si>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</si>
  <si>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</si>
  <si>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</si>
  <si>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</si>
  <si>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</si>
  <si>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</si>
  <si>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</si>
  <si>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</si>
  <si>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</si>
  <si>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</si>
  <si>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</si>
  <si>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</si>
  <si>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</si>
  <si>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</si>
  <si>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</si>
  <si>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</si>
  <si>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</si>
  <si>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</si>
  <si>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</si>
  <si>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</si>
  <si>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</si>
  <si>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</si>
  <si>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</si>
  <si>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</si>
  <si>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</si>
  <si>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</si>
  <si>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</si>
  <si>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</si>
  <si>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</si>
  <si>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</si>
  <si>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</si>
  <si>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</si>
  <si>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</si>
  <si>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</si>
  <si>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</si>
  <si>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</si>
  <si>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</si>
  <si>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</si>
  <si>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</si>
  <si>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</si>
  <si>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</si>
  <si>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</si>
  <si>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</si>
  <si>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</si>
  <si>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</si>
  <si>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</si>
  <si>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</si>
  <si>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</si>
  <si>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</si>
  <si>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</si>
  <si>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</si>
  <si>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</si>
  <si>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</si>
  <si>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</si>
  <si>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</si>
  <si>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</si>
  <si>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</si>
  <si>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</si>
  <si>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</si>
  <si>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</si>
  <si>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</si>
  <si>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</si>
  <si>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</si>
  <si>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</si>
  <si>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</si>
  <si>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</si>
  <si>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</si>
  <si>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</si>
  <si>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</si>
  <si>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</si>
  <si>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</si>
  <si>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</si>
  <si>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</si>
  <si>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</si>
  <si>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</si>
  <si>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</si>
  <si>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</si>
  <si>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</si>
  <si>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</si>
  <si>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</si>
  <si>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</si>
  <si>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</si>
  <si>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</si>
  <si>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</si>
  <si>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</si>
  <si>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</si>
  <si>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</si>
  <si>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</si>
  <si>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</si>
  <si>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</si>
  <si>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</si>
  <si>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</si>
  <si>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</si>
  <si>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</si>
  <si>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</si>
  <si>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</si>
  <si>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</si>
  <si>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</si>
  <si>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</si>
  <si>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</si>
  <si>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</si>
  <si>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</si>
  <si>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</si>
  <si>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</si>
  <si>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</si>
  <si>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</si>
  <si>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</si>
  <si>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</si>
  <si>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</si>
  <si>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</si>
  <si>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</si>
  <si>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</si>
  <si>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</si>
  <si>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</si>
  <si>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</si>
  <si>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FARMINGTON SCHOOL DISTRICT</t>
  </si>
  <si>
    <t>Includes FFVP</t>
  </si>
  <si>
    <t>Commodities</t>
  </si>
  <si>
    <t>Reserve for Encumbrances, Reserve for Voted &amp; Res Spec Purpose</t>
  </si>
  <si>
    <t>08/02</t>
  </si>
  <si>
    <t>08/11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</si>
</sst>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40" fontId="3" fillId="0" borderId="0" xfId="0" quotePrefix="1" applyNumberFormat="1" applyFont="1" applyProtection="1">
      <protection locked="0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  <protection locked="0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AAD1-6B9C-4C6C-AC96-D095E5C6BE63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4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175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123345.78</f>
        <v>123345.78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119970.02+72455</f>
        <v>192425.02000000002</v>
      </c>
      <c r="G12" s="18"/>
      <c r="H12" s="18"/>
      <c r="I12" s="18"/>
      <c r="J12" s="67">
        <f>SUM(I433)</f>
        <v>50000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1557549.55</v>
      </c>
      <c r="G13" s="18">
        <v>23881.03</v>
      </c>
      <c r="H13" s="18">
        <v>253855.13</v>
      </c>
      <c r="I13" s="18"/>
      <c r="J13" s="67">
        <f>SUM(I434)</f>
        <v>1369036.8800000001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43588.13+5143.27</f>
        <v>48731.399999999994</v>
      </c>
      <c r="G14" s="18">
        <v>544.72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1922051.75</v>
      </c>
      <c r="G19" s="41">
        <f>SUM(G9:G18)</f>
        <v>24425.75</v>
      </c>
      <c r="H19" s="41">
        <f>SUM(H9:H18)</f>
        <v>253855.13</v>
      </c>
      <c r="I19" s="41">
        <f>SUM(I9:I18)</f>
        <v>0</v>
      </c>
      <c r="J19" s="41">
        <f>SUM(J9:J18)</f>
        <v>1419036.8800000001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f>50000</f>
        <v>50000</v>
      </c>
      <c r="G23" s="18">
        <v>20390.419999999998</v>
      </c>
      <c r="H23" s="18">
        <v>225095.23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205091.61+19325.53</f>
        <v>224417.13999999998</v>
      </c>
      <c r="G25" s="18">
        <v>534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27415+483398.83</f>
        <v>510813.83</v>
      </c>
      <c r="G29" s="18"/>
      <c r="H29" s="18">
        <v>28564.84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9054.8700000000008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3419.54</v>
      </c>
      <c r="H31" s="18">
        <v>195.06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794285.84</v>
      </c>
      <c r="G33" s="41">
        <f>SUM(G23:G32)</f>
        <v>24343.96</v>
      </c>
      <c r="H33" s="41">
        <f>SUM(H23:H32)</f>
        <v>253855.13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f>206007.33+326.29</f>
        <v>206333.62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100000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109573.67</v>
      </c>
      <c r="G41" s="18">
        <v>81.790000000000006</v>
      </c>
      <c r="H41" s="18">
        <v>0</v>
      </c>
      <c r="I41" s="18"/>
      <c r="J41" s="13">
        <f>SUM(I449)</f>
        <v>1419036.8800000001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-131998.97+16021220.78-15177363.19</f>
        <v>711858.61999999918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1127765.9099999992</v>
      </c>
      <c r="G43" s="41">
        <f>SUM(G35:G42)</f>
        <v>81.790000000000006</v>
      </c>
      <c r="H43" s="41">
        <f>SUM(H35:H42)</f>
        <v>0</v>
      </c>
      <c r="I43" s="41">
        <f>SUM(I35:I42)</f>
        <v>0</v>
      </c>
      <c r="J43" s="41">
        <f>SUM(J35:J42)</f>
        <v>1419036.8800000001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1922051.7499999991</v>
      </c>
      <c r="G44" s="41">
        <f>G43+G33</f>
        <v>24425.75</v>
      </c>
      <c r="H44" s="41">
        <f>H43+H33</f>
        <v>253855.13</v>
      </c>
      <c r="I44" s="41">
        <f>I43+I33</f>
        <v>0</v>
      </c>
      <c r="J44" s="41">
        <f>J43+J33</f>
        <v>1419036.8800000001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4077917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4077917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f>25948.8+124554.24+1785284.32+1068090.01</f>
        <v>3003877.37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56361.49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3060238.8600000003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f>9079.74+2410.77</f>
        <v>11490.51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811.1</v>
      </c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8765.9699999999993</v>
      </c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21067.58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2184.13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198372.8+2354.12</f>
        <v>200726.91999999998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2032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300</v>
      </c>
      <c r="G94" s="18"/>
      <c r="H94" s="18">
        <v>381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4569.38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5.21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9090.7199999999993</v>
      </c>
      <c r="G103" s="41">
        <f>SUM(G88:G102)</f>
        <v>200726.91999999998</v>
      </c>
      <c r="H103" s="41">
        <f>SUM(H88:H102)</f>
        <v>381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7168314.1600000001</v>
      </c>
      <c r="G104" s="41">
        <f>G52+G103</f>
        <v>200726.91999999998</v>
      </c>
      <c r="H104" s="41">
        <f>H52+H71+H86+H103</f>
        <v>381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6598914.25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1105429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239340.75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7943684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373817.04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138803.19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4928.92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6941.32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10950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528499.14999999991</v>
      </c>
      <c r="G128" s="41">
        <f>SUM(G115:G127)</f>
        <v>6941.32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8472183.1500000004</v>
      </c>
      <c r="G132" s="41">
        <f>G113+SUM(G128:G129)</f>
        <v>6941.32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790305.73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185918.64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295432.56+52511.78</f>
        <v>347944.33999999997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354306.75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143288.29999999999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f>21578.39</f>
        <v>21578.39</v>
      </c>
      <c r="H153" s="18">
        <v>187978.79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143288.29999999999</v>
      </c>
      <c r="G154" s="41">
        <f>SUM(G142:G153)</f>
        <v>369522.73</v>
      </c>
      <c r="H154" s="41">
        <f>SUM(H142:H153)</f>
        <v>1518509.9100000001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>
        <v>827.5</v>
      </c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143288.29999999999</v>
      </c>
      <c r="G161" s="41">
        <f>G139+G154+SUM(G155:G160)</f>
        <v>369522.73</v>
      </c>
      <c r="H161" s="41">
        <f>H139+H154+SUM(H155:H160)</f>
        <v>1519337.4100000001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25786.97</v>
      </c>
      <c r="H171" s="18"/>
      <c r="I171" s="18"/>
      <c r="J171" s="18">
        <v>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65887.17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65887.17</v>
      </c>
      <c r="G175" s="41">
        <f>SUM(G171:G174)</f>
        <v>25786.97</v>
      </c>
      <c r="H175" s="41">
        <f>SUM(H171:H174)</f>
        <v>0</v>
      </c>
      <c r="I175" s="41">
        <f>SUM(I171:I174)</f>
        <v>0</v>
      </c>
      <c r="J175" s="41">
        <f>SUM(J171:J174)</f>
        <v>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f>162848+8700</f>
        <v>171548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171548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237435.16999999998</v>
      </c>
      <c r="G184" s="41">
        <f>G175+SUM(G180:G183)</f>
        <v>25786.97</v>
      </c>
      <c r="H184" s="41">
        <f>+H175+SUM(H180:H183)</f>
        <v>0</v>
      </c>
      <c r="I184" s="41">
        <f>I169+I175+SUM(I180:I183)</f>
        <v>0</v>
      </c>
      <c r="J184" s="41">
        <f>J175</f>
        <v>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16021220.780000001</v>
      </c>
      <c r="G185" s="47">
        <f>G104+G132+G161+G184</f>
        <v>602977.93999999994</v>
      </c>
      <c r="H185" s="47">
        <f>H104+H132+H161+H184</f>
        <v>1519718.4100000001</v>
      </c>
      <c r="I185" s="47">
        <f>I104+I132+I161+I184</f>
        <v>0</v>
      </c>
      <c r="J185" s="47">
        <f>J104+J132+J184</f>
        <v>50000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2421588.13</v>
      </c>
      <c r="G189" s="18">
        <v>762829.69</v>
      </c>
      <c r="H189" s="18">
        <f>52232.58+81.45</f>
        <v>52314.03</v>
      </c>
      <c r="I189" s="18">
        <v>67387.350000000006</v>
      </c>
      <c r="J189" s="18"/>
      <c r="K189" s="18"/>
      <c r="L189" s="19">
        <f>SUM(F189:K189)</f>
        <v>3304119.1999999997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1556894.44</v>
      </c>
      <c r="G190" s="18">
        <v>313779.03999999998</v>
      </c>
      <c r="H190" s="18">
        <f>76770.58+2652.22+589304.65</f>
        <v>668727.45000000007</v>
      </c>
      <c r="I190" s="18">
        <v>7222.56</v>
      </c>
      <c r="J190" s="18">
        <v>1155.73</v>
      </c>
      <c r="K190" s="18">
        <v>5351.65</v>
      </c>
      <c r="L190" s="19">
        <f>SUM(F190:K190)</f>
        <v>2553130.87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130943.67</v>
      </c>
      <c r="G192" s="18">
        <v>26412.48</v>
      </c>
      <c r="H192" s="18">
        <v>6329.86</v>
      </c>
      <c r="I192" s="18">
        <v>11175.79</v>
      </c>
      <c r="J192" s="18">
        <v>1073.0899999999999</v>
      </c>
      <c r="K192" s="18">
        <v>700</v>
      </c>
      <c r="L192" s="19">
        <f>SUM(F192:K192)</f>
        <v>176634.88999999998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457602.89</v>
      </c>
      <c r="G194" s="18">
        <v>160654.99</v>
      </c>
      <c r="H194" s="18">
        <f>105295.89+24.49</f>
        <v>105320.38</v>
      </c>
      <c r="I194" s="18">
        <v>4407.1400000000003</v>
      </c>
      <c r="J194" s="18">
        <v>1400.91</v>
      </c>
      <c r="K194" s="18">
        <v>141.9</v>
      </c>
      <c r="L194" s="19">
        <f t="shared" ref="L194:L200" si="0">SUM(F194:K194)</f>
        <v>729528.21000000008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202058.96</v>
      </c>
      <c r="G195" s="18">
        <v>83632.47</v>
      </c>
      <c r="H195" s="18">
        <f>9327.56+1178.26+1850.11</f>
        <v>12355.93</v>
      </c>
      <c r="I195" s="18">
        <v>19922.169999999998</v>
      </c>
      <c r="J195" s="18"/>
      <c r="K195" s="18">
        <v>1521.98</v>
      </c>
      <c r="L195" s="19">
        <f t="shared" si="0"/>
        <v>319491.50999999995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12015.22</v>
      </c>
      <c r="G196" s="18">
        <v>961.8</v>
      </c>
      <c r="H196" s="18">
        <f>627339.23+3195.64</f>
        <v>630534.87</v>
      </c>
      <c r="I196" s="18"/>
      <c r="J196" s="18"/>
      <c r="K196" s="18">
        <v>4753.68</v>
      </c>
      <c r="L196" s="19">
        <f t="shared" si="0"/>
        <v>648265.57000000007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354947.5</v>
      </c>
      <c r="G197" s="18">
        <v>122340.3</v>
      </c>
      <c r="H197" s="18">
        <f>1703+8220.32+16689.57</f>
        <v>26612.89</v>
      </c>
      <c r="I197" s="18">
        <v>3815.72</v>
      </c>
      <c r="J197" s="18">
        <v>711.17</v>
      </c>
      <c r="K197" s="18">
        <v>1464</v>
      </c>
      <c r="L197" s="19">
        <f t="shared" si="0"/>
        <v>509891.57999999996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f>270.28+330.89</f>
        <v>601.16999999999996</v>
      </c>
      <c r="I198" s="18">
        <v>465.77</v>
      </c>
      <c r="J198" s="18"/>
      <c r="K198" s="18"/>
      <c r="L198" s="19">
        <f t="shared" si="0"/>
        <v>1066.94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285384.46999999997</v>
      </c>
      <c r="G199" s="18">
        <v>132756.16</v>
      </c>
      <c r="H199" s="18">
        <f>29927.1+149225.82+28270.09</f>
        <v>207423.01</v>
      </c>
      <c r="I199" s="18">
        <v>211833.42</v>
      </c>
      <c r="J199" s="18">
        <v>1142.02</v>
      </c>
      <c r="K199" s="18"/>
      <c r="L199" s="19">
        <f t="shared" si="0"/>
        <v>838539.08000000007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136624.65</v>
      </c>
      <c r="G200" s="18">
        <v>49791.87</v>
      </c>
      <c r="H200" s="18">
        <f>20.27+58781.46+28883.56</f>
        <v>87685.29</v>
      </c>
      <c r="I200" s="18">
        <v>22405.85</v>
      </c>
      <c r="J200" s="18">
        <v>2649.39</v>
      </c>
      <c r="K200" s="18">
        <v>934.49</v>
      </c>
      <c r="L200" s="19">
        <f t="shared" si="0"/>
        <v>300091.53999999998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77583.960000000006</v>
      </c>
      <c r="G201" s="18">
        <v>52280.5</v>
      </c>
      <c r="H201" s="18">
        <f>243.25+2899.98+7325.71</f>
        <v>10468.94</v>
      </c>
      <c r="I201" s="18">
        <v>19369.18</v>
      </c>
      <c r="J201" s="18">
        <v>10806.56</v>
      </c>
      <c r="K201" s="18"/>
      <c r="L201" s="19">
        <f>SUM(F201:K201)</f>
        <v>170509.13999999998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5635643.8899999997</v>
      </c>
      <c r="G203" s="41">
        <f t="shared" si="1"/>
        <v>1705439.3</v>
      </c>
      <c r="H203" s="41">
        <f t="shared" si="1"/>
        <v>1808373.8199999998</v>
      </c>
      <c r="I203" s="41">
        <f t="shared" si="1"/>
        <v>368004.95</v>
      </c>
      <c r="J203" s="41">
        <f t="shared" si="1"/>
        <v>18938.87</v>
      </c>
      <c r="K203" s="41">
        <f t="shared" si="1"/>
        <v>14867.699999999999</v>
      </c>
      <c r="L203" s="41">
        <f t="shared" si="1"/>
        <v>9551268.5300000012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1263827.71</v>
      </c>
      <c r="G225" s="18">
        <v>365279.8</v>
      </c>
      <c r="H225" s="18">
        <v>44472.58</v>
      </c>
      <c r="I225" s="18">
        <v>39511.269999999997</v>
      </c>
      <c r="J225" s="18">
        <v>439.96</v>
      </c>
      <c r="K225" s="18"/>
      <c r="L225" s="19">
        <f>SUM(F225:K225)</f>
        <v>1713531.32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509495.71</v>
      </c>
      <c r="G226" s="18">
        <v>128512.26</v>
      </c>
      <c r="H226" s="18">
        <f>61096.57+644.94+335691.98</f>
        <v>397433.49</v>
      </c>
      <c r="I226" s="18">
        <v>4927.78</v>
      </c>
      <c r="J226" s="18">
        <v>3928.93</v>
      </c>
      <c r="K226" s="18">
        <v>2568.5</v>
      </c>
      <c r="L226" s="19">
        <f>SUM(F226:K226)</f>
        <v>1046866.67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36750</v>
      </c>
      <c r="I227" s="18"/>
      <c r="J227" s="18"/>
      <c r="K227" s="18"/>
      <c r="L227" s="19">
        <f>SUM(F227:K227)</f>
        <v>36750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46770.68</v>
      </c>
      <c r="G228" s="18">
        <v>5735.63</v>
      </c>
      <c r="H228" s="18">
        <v>32160.39</v>
      </c>
      <c r="I228" s="18">
        <v>6638.93</v>
      </c>
      <c r="J228" s="18"/>
      <c r="K228" s="18">
        <v>806</v>
      </c>
      <c r="L228" s="19">
        <f>SUM(F228:K228)</f>
        <v>92111.63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247823.09</v>
      </c>
      <c r="G230" s="18">
        <v>67984.490000000005</v>
      </c>
      <c r="H230" s="18">
        <f>50211.8+11.76</f>
        <v>50223.560000000005</v>
      </c>
      <c r="I230" s="18">
        <v>2018.67</v>
      </c>
      <c r="J230" s="18">
        <v>413.41</v>
      </c>
      <c r="K230" s="18">
        <v>68.099999999999994</v>
      </c>
      <c r="L230" s="19">
        <f t="shared" ref="L230:L236" si="4">SUM(F230:K230)</f>
        <v>368531.31999999995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54740</v>
      </c>
      <c r="G231" s="18">
        <v>27786</v>
      </c>
      <c r="H231" s="18">
        <f>2669.47+873.47+1626.83</f>
        <v>5169.7699999999995</v>
      </c>
      <c r="I231" s="18">
        <v>6911.04</v>
      </c>
      <c r="J231" s="18">
        <v>213.9</v>
      </c>
      <c r="K231" s="18">
        <v>422.21</v>
      </c>
      <c r="L231" s="19">
        <f t="shared" si="4"/>
        <v>95242.92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5766.67</v>
      </c>
      <c r="G232" s="18">
        <v>461.62</v>
      </c>
      <c r="H232" s="18">
        <f>301089.41+1533.74</f>
        <v>302623.14999999997</v>
      </c>
      <c r="I232" s="18"/>
      <c r="J232" s="18"/>
      <c r="K232" s="18">
        <v>2281.5100000000002</v>
      </c>
      <c r="L232" s="19">
        <f t="shared" si="4"/>
        <v>311132.94999999995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212724.79</v>
      </c>
      <c r="G233" s="18">
        <v>81572.63</v>
      </c>
      <c r="H233" s="18">
        <f>836.58+2108.87+10333.57</f>
        <v>13279.02</v>
      </c>
      <c r="I233" s="18">
        <v>3377.38</v>
      </c>
      <c r="J233" s="18">
        <v>50</v>
      </c>
      <c r="K233" s="18">
        <v>3824.5</v>
      </c>
      <c r="L233" s="19">
        <f t="shared" si="4"/>
        <v>314828.32000000007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>
        <f>129.72+158.81</f>
        <v>288.52999999999997</v>
      </c>
      <c r="I234" s="18">
        <v>223.55</v>
      </c>
      <c r="J234" s="18"/>
      <c r="K234" s="18"/>
      <c r="L234" s="19">
        <f t="shared" si="4"/>
        <v>512.07999999999993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152137.72</v>
      </c>
      <c r="G235" s="18">
        <v>74656.55</v>
      </c>
      <c r="H235" s="18">
        <f>14363.41+64806.44+13568.13</f>
        <v>92737.98000000001</v>
      </c>
      <c r="I235" s="18">
        <v>118456.34</v>
      </c>
      <c r="J235" s="18">
        <v>1008.3</v>
      </c>
      <c r="K235" s="18"/>
      <c r="L235" s="19">
        <f t="shared" si="4"/>
        <v>438996.88999999996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107369.29</v>
      </c>
      <c r="G236" s="18">
        <v>28973.62</v>
      </c>
      <c r="H236" s="18">
        <f>9.73+28211.97+16512.97</f>
        <v>44734.67</v>
      </c>
      <c r="I236" s="18">
        <v>24005.13</v>
      </c>
      <c r="J236" s="18">
        <v>1271.57</v>
      </c>
      <c r="K236" s="18">
        <v>448.51</v>
      </c>
      <c r="L236" s="19">
        <f t="shared" si="4"/>
        <v>206802.79000000004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37236.160000000003</v>
      </c>
      <c r="G237" s="18">
        <v>25091.86</v>
      </c>
      <c r="H237" s="18">
        <f>116.75+1391.83+3515.95</f>
        <v>5024.53</v>
      </c>
      <c r="I237" s="18">
        <v>9296.18</v>
      </c>
      <c r="J237" s="18">
        <v>5186.57</v>
      </c>
      <c r="K237" s="18"/>
      <c r="L237" s="19">
        <f>SUM(F237:K237)</f>
        <v>81835.300000000017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2637891.8200000003</v>
      </c>
      <c r="G239" s="41">
        <f t="shared" si="5"/>
        <v>806054.46000000008</v>
      </c>
      <c r="H239" s="41">
        <f t="shared" si="5"/>
        <v>1024897.67</v>
      </c>
      <c r="I239" s="41">
        <f t="shared" si="5"/>
        <v>215366.27</v>
      </c>
      <c r="J239" s="41">
        <f t="shared" si="5"/>
        <v>12512.64</v>
      </c>
      <c r="K239" s="41">
        <f t="shared" si="5"/>
        <v>10419.33</v>
      </c>
      <c r="L239" s="41">
        <f t="shared" si="5"/>
        <v>4707142.1899999995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42382</v>
      </c>
      <c r="I247" s="18"/>
      <c r="J247" s="18">
        <f>25446+8700</f>
        <v>34146</v>
      </c>
      <c r="K247" s="18"/>
      <c r="L247" s="19">
        <f t="shared" si="6"/>
        <v>76528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42382</v>
      </c>
      <c r="I248" s="41">
        <f t="shared" si="7"/>
        <v>0</v>
      </c>
      <c r="J248" s="41">
        <f t="shared" si="7"/>
        <v>34146</v>
      </c>
      <c r="K248" s="41">
        <f t="shared" si="7"/>
        <v>0</v>
      </c>
      <c r="L248" s="41">
        <f>SUM(F248:K248)</f>
        <v>76528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8273535.71</v>
      </c>
      <c r="G249" s="41">
        <f t="shared" si="8"/>
        <v>2511493.7600000002</v>
      </c>
      <c r="H249" s="41">
        <f t="shared" si="8"/>
        <v>2875653.4899999998</v>
      </c>
      <c r="I249" s="41">
        <f t="shared" si="8"/>
        <v>583371.22</v>
      </c>
      <c r="J249" s="41">
        <f t="shared" si="8"/>
        <v>65597.509999999995</v>
      </c>
      <c r="K249" s="41">
        <f t="shared" si="8"/>
        <v>25287.03</v>
      </c>
      <c r="L249" s="41">
        <f t="shared" si="8"/>
        <v>14334938.720000001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765000</v>
      </c>
      <c r="L252" s="19">
        <f>SUM(F252:K252)</f>
        <v>765000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51637.5</v>
      </c>
      <c r="L253" s="19">
        <f>SUM(F253:K253)</f>
        <v>51637.5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25786.97</v>
      </c>
      <c r="L255" s="19">
        <f>SUM(F255:K255)</f>
        <v>25786.97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50000</v>
      </c>
      <c r="L258" s="19">
        <f t="shared" si="9"/>
        <v>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892424.47</v>
      </c>
      <c r="L262" s="41">
        <f t="shared" si="9"/>
        <v>892424.47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8273535.71</v>
      </c>
      <c r="G263" s="42">
        <f t="shared" si="11"/>
        <v>2511493.7600000002</v>
      </c>
      <c r="H263" s="42">
        <f t="shared" si="11"/>
        <v>2875653.4899999998</v>
      </c>
      <c r="I263" s="42">
        <f t="shared" si="11"/>
        <v>583371.22</v>
      </c>
      <c r="J263" s="42">
        <f t="shared" si="11"/>
        <v>65597.509999999995</v>
      </c>
      <c r="K263" s="42">
        <f t="shared" si="11"/>
        <v>917711.5</v>
      </c>
      <c r="L263" s="42">
        <f t="shared" si="11"/>
        <v>15227363.190000001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474849.37</v>
      </c>
      <c r="G269" s="18">
        <v>97354.95</v>
      </c>
      <c r="H269" s="18">
        <f>34102.97+1498.63</f>
        <v>35601.599999999999</v>
      </c>
      <c r="I269" s="18">
        <v>95751.97</v>
      </c>
      <c r="J269" s="18">
        <v>15834.35</v>
      </c>
      <c r="K269" s="18"/>
      <c r="L269" s="19">
        <f>SUM(F269:K269)</f>
        <v>719392.23999999987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55294.58</v>
      </c>
      <c r="G273" s="18">
        <v>12561.4</v>
      </c>
      <c r="H273" s="18">
        <f>3399.41</f>
        <v>3399.41</v>
      </c>
      <c r="I273" s="18">
        <v>163.92</v>
      </c>
      <c r="J273" s="18"/>
      <c r="K273" s="18"/>
      <c r="L273" s="19">
        <f t="shared" ref="L273:L279" si="12">SUM(F273:K273)</f>
        <v>71419.31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49320.84</v>
      </c>
      <c r="G274" s="18">
        <v>7783.99</v>
      </c>
      <c r="H274" s="18">
        <f>82384.81+1025.08</f>
        <v>83409.89</v>
      </c>
      <c r="I274" s="18">
        <v>7361.02</v>
      </c>
      <c r="J274" s="18">
        <v>57828.47</v>
      </c>
      <c r="K274" s="18">
        <v>33.79</v>
      </c>
      <c r="L274" s="19">
        <f t="shared" si="12"/>
        <v>205738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53820.02</v>
      </c>
      <c r="G275" s="18">
        <v>15916.82</v>
      </c>
      <c r="H275" s="18">
        <v>5067.75</v>
      </c>
      <c r="I275" s="18"/>
      <c r="J275" s="18"/>
      <c r="K275" s="18"/>
      <c r="L275" s="19">
        <f t="shared" si="12"/>
        <v>74804.59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>
        <v>3750</v>
      </c>
      <c r="I276" s="18"/>
      <c r="J276" s="18"/>
      <c r="K276" s="18"/>
      <c r="L276" s="19">
        <f t="shared" si="12"/>
        <v>3750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>
        <v>250.95</v>
      </c>
      <c r="K279" s="18"/>
      <c r="L279" s="19">
        <f t="shared" si="12"/>
        <v>250.95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1615.92</v>
      </c>
      <c r="G280" s="18">
        <v>273.14</v>
      </c>
      <c r="H280" s="18">
        <v>7361.94</v>
      </c>
      <c r="I280" s="18"/>
      <c r="J280" s="18">
        <v>8139.5</v>
      </c>
      <c r="K280" s="18"/>
      <c r="L280" s="19">
        <f>SUM(F280:K280)</f>
        <v>17390.5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634900.73</v>
      </c>
      <c r="G282" s="42">
        <f t="shared" si="13"/>
        <v>133890.30000000002</v>
      </c>
      <c r="H282" s="42">
        <f t="shared" si="13"/>
        <v>138590.59</v>
      </c>
      <c r="I282" s="42">
        <f t="shared" si="13"/>
        <v>103276.91</v>
      </c>
      <c r="J282" s="42">
        <f t="shared" si="13"/>
        <v>82053.27</v>
      </c>
      <c r="K282" s="42">
        <f t="shared" si="13"/>
        <v>33.79</v>
      </c>
      <c r="L282" s="41">
        <f t="shared" si="13"/>
        <v>1092745.5899999999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>
        <v>723</v>
      </c>
      <c r="J306" s="18"/>
      <c r="K306" s="18"/>
      <c r="L306" s="19">
        <f>SUM(F306:K306)</f>
        <v>723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47952.800000000003</v>
      </c>
      <c r="G307" s="18">
        <v>4174.6400000000003</v>
      </c>
      <c r="H307" s="18">
        <f>11620.21+70.37</f>
        <v>11690.58</v>
      </c>
      <c r="I307" s="18">
        <v>12780.81</v>
      </c>
      <c r="J307" s="18"/>
      <c r="K307" s="18"/>
      <c r="L307" s="19">
        <f>SUM(F307:K307)</f>
        <v>76598.83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17252.599999999999</v>
      </c>
      <c r="G311" s="18">
        <v>5275.74</v>
      </c>
      <c r="H311" s="18">
        <f>1631.53</f>
        <v>1631.53</v>
      </c>
      <c r="I311" s="18">
        <v>183.18</v>
      </c>
      <c r="J311" s="18"/>
      <c r="K311" s="18"/>
      <c r="L311" s="19">
        <f t="shared" ref="L311:L317" si="16">SUM(F311:K311)</f>
        <v>24343.049999999996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715.66</v>
      </c>
      <c r="G312" s="18">
        <v>120.31</v>
      </c>
      <c r="H312" s="18">
        <f>26569.9+132.61</f>
        <v>26702.510000000002</v>
      </c>
      <c r="I312" s="18">
        <v>2436.86</v>
      </c>
      <c r="J312" s="18">
        <v>27754.58</v>
      </c>
      <c r="K312" s="18">
        <v>16.22</v>
      </c>
      <c r="L312" s="19">
        <f t="shared" si="16"/>
        <v>57746.140000000007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10098.700000000001</v>
      </c>
      <c r="G313" s="18">
        <v>1627.25</v>
      </c>
      <c r="H313" s="18">
        <v>2432.25</v>
      </c>
      <c r="I313" s="18"/>
      <c r="J313" s="18"/>
      <c r="K313" s="18"/>
      <c r="L313" s="19">
        <f t="shared" si="16"/>
        <v>14158.2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>
        <v>120.45</v>
      </c>
      <c r="K317" s="18"/>
      <c r="L317" s="19">
        <f t="shared" si="16"/>
        <v>120.45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775.55</v>
      </c>
      <c r="G318" s="18">
        <v>131.09</v>
      </c>
      <c r="H318" s="18">
        <v>3533.34</v>
      </c>
      <c r="I318" s="18"/>
      <c r="J318" s="18">
        <v>3906.53</v>
      </c>
      <c r="K318" s="18"/>
      <c r="L318" s="19">
        <f>SUM(F318:K318)</f>
        <v>8346.51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76795.31</v>
      </c>
      <c r="G320" s="42">
        <f t="shared" si="17"/>
        <v>11329.03</v>
      </c>
      <c r="H320" s="42">
        <f t="shared" si="17"/>
        <v>45990.210000000006</v>
      </c>
      <c r="I320" s="42">
        <f t="shared" si="17"/>
        <v>16123.85</v>
      </c>
      <c r="J320" s="42">
        <f t="shared" si="17"/>
        <v>31781.56</v>
      </c>
      <c r="K320" s="42">
        <f t="shared" si="17"/>
        <v>16.22</v>
      </c>
      <c r="L320" s="41">
        <f t="shared" si="17"/>
        <v>182036.18000000005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117998.53</v>
      </c>
      <c r="G325" s="18">
        <v>28263.119999999999</v>
      </c>
      <c r="H325" s="18">
        <f>14188.43+15444.28-0.01</f>
        <v>29632.7</v>
      </c>
      <c r="I325" s="18">
        <v>2028.39</v>
      </c>
      <c r="J325" s="18"/>
      <c r="K325" s="18">
        <v>1126.73</v>
      </c>
      <c r="L325" s="19">
        <f t="shared" si="18"/>
        <v>179049.47000000003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117998.53</v>
      </c>
      <c r="G329" s="41">
        <f t="shared" si="19"/>
        <v>28263.119999999999</v>
      </c>
      <c r="H329" s="41">
        <f t="shared" si="19"/>
        <v>29632.7</v>
      </c>
      <c r="I329" s="41">
        <f t="shared" si="19"/>
        <v>2028.39</v>
      </c>
      <c r="J329" s="41">
        <f t="shared" si="19"/>
        <v>0</v>
      </c>
      <c r="K329" s="41">
        <f t="shared" si="19"/>
        <v>1126.73</v>
      </c>
      <c r="L329" s="41">
        <f t="shared" si="18"/>
        <v>179049.47000000003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829694.57000000007</v>
      </c>
      <c r="G330" s="41">
        <f t="shared" si="20"/>
        <v>173482.45</v>
      </c>
      <c r="H330" s="41">
        <f t="shared" si="20"/>
        <v>214213.5</v>
      </c>
      <c r="I330" s="41">
        <f t="shared" si="20"/>
        <v>121429.15000000001</v>
      </c>
      <c r="J330" s="41">
        <f t="shared" si="20"/>
        <v>113834.83</v>
      </c>
      <c r="K330" s="41">
        <f t="shared" si="20"/>
        <v>1176.74</v>
      </c>
      <c r="L330" s="41">
        <f t="shared" si="20"/>
        <v>1453831.24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f>44856.82+18058.79+2971.56</f>
        <v>65887.17</v>
      </c>
      <c r="L336" s="19">
        <f t="shared" ref="L336:L342" si="21">SUM(F336:K336)</f>
        <v>65887.17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65887.17</v>
      </c>
      <c r="L343" s="41">
        <f>SUM(L333:L342)</f>
        <v>65887.17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829694.57000000007</v>
      </c>
      <c r="G344" s="41">
        <f>G330</f>
        <v>173482.45</v>
      </c>
      <c r="H344" s="41">
        <f>H330</f>
        <v>214213.5</v>
      </c>
      <c r="I344" s="41">
        <f>I330</f>
        <v>121429.15000000001</v>
      </c>
      <c r="J344" s="41">
        <f>J330</f>
        <v>113834.83</v>
      </c>
      <c r="K344" s="47">
        <f>K330+K343</f>
        <v>67063.91</v>
      </c>
      <c r="L344" s="41">
        <f>L330+L343</f>
        <v>1519718.41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144269.19</v>
      </c>
      <c r="G350" s="18">
        <v>36297.81</v>
      </c>
      <c r="H350" s="18">
        <f>611.51+3813.59+103.98</f>
        <v>4529.08</v>
      </c>
      <c r="I350" s="18">
        <v>237152.09</v>
      </c>
      <c r="J350" s="18">
        <v>3683.37</v>
      </c>
      <c r="K350" s="18">
        <v>69.09</v>
      </c>
      <c r="L350" s="13">
        <f>SUM(F350:K350)</f>
        <v>426000.63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68688.03</v>
      </c>
      <c r="G352" s="18">
        <v>14867.58</v>
      </c>
      <c r="H352" s="18">
        <f>293.49+3721.3+49.9</f>
        <v>4064.69</v>
      </c>
      <c r="I352" s="18">
        <v>88844.42</v>
      </c>
      <c r="J352" s="18">
        <v>479.43</v>
      </c>
      <c r="K352" s="18">
        <v>33.159999999999997</v>
      </c>
      <c r="L352" s="19">
        <f>SUM(F352:K352)</f>
        <v>176977.31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212957.22</v>
      </c>
      <c r="G354" s="47">
        <f t="shared" si="22"/>
        <v>51165.39</v>
      </c>
      <c r="H354" s="47">
        <f t="shared" si="22"/>
        <v>8593.77</v>
      </c>
      <c r="I354" s="47">
        <f t="shared" si="22"/>
        <v>325996.51</v>
      </c>
      <c r="J354" s="47">
        <f t="shared" si="22"/>
        <v>4162.8</v>
      </c>
      <c r="K354" s="47">
        <f t="shared" si="22"/>
        <v>102.25</v>
      </c>
      <c r="L354" s="47">
        <f t="shared" si="22"/>
        <v>602977.93999999994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18149.63+28420.99+47216.72+82379.64+8981.11+15089.19+6583.51+10157.55</f>
        <v>216978.33999999997</v>
      </c>
      <c r="G359" s="18"/>
      <c r="H359" s="18">
        <f>65995.5+9133.29+4837.33</f>
        <v>79966.12000000001</v>
      </c>
      <c r="I359" s="56">
        <f>SUM(F359:H359)</f>
        <v>296944.45999999996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1329.67+1280.25+352.88+4748.97+11257.89+1204.1</f>
        <v>20173.759999999998</v>
      </c>
      <c r="G360" s="63"/>
      <c r="H360" s="63">
        <f>169.36+8131.03+577.9</f>
        <v>8878.2899999999991</v>
      </c>
      <c r="I360" s="56">
        <f>SUM(F360:H360)</f>
        <v>29052.049999999996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237152.09999999998</v>
      </c>
      <c r="G361" s="47">
        <f>SUM(G359:G360)</f>
        <v>0</v>
      </c>
      <c r="H361" s="47">
        <f>SUM(H359:H360)</f>
        <v>88844.41</v>
      </c>
      <c r="I361" s="47">
        <f>SUM(I359:I360)</f>
        <v>325996.50999999995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50000</v>
      </c>
      <c r="H389" s="18"/>
      <c r="I389" s="18"/>
      <c r="J389" s="24" t="s">
        <v>312</v>
      </c>
      <c r="K389" s="24" t="s">
        <v>312</v>
      </c>
      <c r="L389" s="56">
        <f t="shared" si="26"/>
        <v>50000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50000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50000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50000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f>8700+22545+72455</f>
        <v>103700</v>
      </c>
      <c r="L407" s="56">
        <f t="shared" si="27"/>
        <v>103700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>
        <v>67848</v>
      </c>
      <c r="L410" s="56">
        <f t="shared" si="27"/>
        <v>67848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171548</v>
      </c>
      <c r="L411" s="47">
        <f t="shared" si="28"/>
        <v>171548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171548</v>
      </c>
      <c r="L426" s="47">
        <f t="shared" si="32"/>
        <v>171548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>
        <v>50000</v>
      </c>
      <c r="H433" s="18"/>
      <c r="I433" s="56">
        <f t="shared" si="33"/>
        <v>50000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f>1385188.54-171548</f>
        <v>1213640.54</v>
      </c>
      <c r="G434" s="18">
        <f>231326.84-75930.5</f>
        <v>155396.34</v>
      </c>
      <c r="H434" s="18"/>
      <c r="I434" s="56">
        <f t="shared" si="33"/>
        <v>1369036.8800000001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1213640.54</v>
      </c>
      <c r="G438" s="13">
        <f>SUM(G431:G437)</f>
        <v>205396.34</v>
      </c>
      <c r="H438" s="13">
        <f>SUM(H431:H437)</f>
        <v>0</v>
      </c>
      <c r="I438" s="13">
        <f>SUM(I431:I437)</f>
        <v>1419036.8800000001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1385188.54-171548</f>
        <v>1213640.54</v>
      </c>
      <c r="G449" s="18">
        <v>205396.34</v>
      </c>
      <c r="H449" s="18"/>
      <c r="I449" s="56">
        <f>SUM(F449:H449)</f>
        <v>1419036.8800000001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1213640.54</v>
      </c>
      <c r="G450" s="83">
        <f>SUM(G446:G449)</f>
        <v>205396.34</v>
      </c>
      <c r="H450" s="83">
        <f>SUM(H446:H449)</f>
        <v>0</v>
      </c>
      <c r="I450" s="83">
        <f>SUM(I446:I449)</f>
        <v>1419036.8800000001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1213640.54</v>
      </c>
      <c r="G451" s="42">
        <f>G444+G450</f>
        <v>205396.34</v>
      </c>
      <c r="H451" s="42">
        <f>H444+H450</f>
        <v>0</v>
      </c>
      <c r="I451" s="42">
        <f>I444+I450</f>
        <v>1419036.8800000001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569392.17000000004</v>
      </c>
      <c r="G455" s="18">
        <v>81.790000000000006</v>
      </c>
      <c r="H455" s="18">
        <v>0</v>
      </c>
      <c r="I455" s="18">
        <v>0</v>
      </c>
      <c r="J455" s="18">
        <v>1540584.88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16021220.779999999</v>
      </c>
      <c r="G458" s="18">
        <v>602977.93999999994</v>
      </c>
      <c r="H458" s="18">
        <v>1519718.41</v>
      </c>
      <c r="I458" s="18"/>
      <c r="J458" s="18">
        <v>50000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16021220.779999999</v>
      </c>
      <c r="G460" s="53">
        <f>SUM(G458:G459)</f>
        <v>602977.93999999994</v>
      </c>
      <c r="H460" s="53">
        <f>SUM(H458:H459)</f>
        <v>1519718.41</v>
      </c>
      <c r="I460" s="53">
        <f>SUM(I458:I459)</f>
        <v>0</v>
      </c>
      <c r="J460" s="53">
        <f>SUM(J458:J459)</f>
        <v>50000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15177363.19+50000</f>
        <v>15227363.189999999</v>
      </c>
      <c r="G462" s="18">
        <f>603358.94-381</f>
        <v>602977.93999999994</v>
      </c>
      <c r="H462" s="18">
        <f>1519337.41+381</f>
        <v>1519718.41</v>
      </c>
      <c r="I462" s="18"/>
      <c r="J462" s="18">
        <v>171548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f>397505.27+41878.54-103573.67-326.29-50000-50000</f>
        <v>235483.85000000003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15462847.039999999</v>
      </c>
      <c r="G464" s="53">
        <f>SUM(G462:G463)</f>
        <v>602977.93999999994</v>
      </c>
      <c r="H464" s="53">
        <f>SUM(H462:H463)</f>
        <v>1519718.41</v>
      </c>
      <c r="I464" s="53">
        <f>SUM(I462:I463)</f>
        <v>0</v>
      </c>
      <c r="J464" s="53">
        <f>SUM(J462:J463)</f>
        <v>171548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1127765.9100000001</v>
      </c>
      <c r="G466" s="53">
        <f>(G455+G460)- G464</f>
        <v>81.790000000037253</v>
      </c>
      <c r="H466" s="53">
        <f>(H455+H460)- H464</f>
        <v>0</v>
      </c>
      <c r="I466" s="53">
        <f>(I455+I460)- I464</f>
        <v>0</v>
      </c>
      <c r="J466" s="53">
        <f>(J455+J460)- J464</f>
        <v>1419036.88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897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898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899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7650000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271">
        <v>4.375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f>3060000-765000-765000</f>
        <v>1530000</v>
      </c>
      <c r="G485" s="18"/>
      <c r="H485" s="18"/>
      <c r="I485" s="18"/>
      <c r="J485" s="18"/>
      <c r="K485" s="53">
        <f>SUM(F485:J485)</f>
        <v>1530000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765000</v>
      </c>
      <c r="G487" s="18"/>
      <c r="H487" s="18"/>
      <c r="I487" s="18"/>
      <c r="J487" s="18"/>
      <c r="K487" s="53">
        <f t="shared" si="34"/>
        <v>765000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765000</v>
      </c>
      <c r="G488" s="205"/>
      <c r="H488" s="205"/>
      <c r="I488" s="205"/>
      <c r="J488" s="205"/>
      <c r="K488" s="206">
        <f t="shared" si="34"/>
        <v>765000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17212.5</v>
      </c>
      <c r="G489" s="18"/>
      <c r="H489" s="18"/>
      <c r="I489" s="18"/>
      <c r="J489" s="18"/>
      <c r="K489" s="53">
        <f t="shared" si="34"/>
        <v>17212.5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782212.5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782212.5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765000</v>
      </c>
      <c r="G491" s="205"/>
      <c r="H491" s="205"/>
      <c r="I491" s="205"/>
      <c r="J491" s="205"/>
      <c r="K491" s="206">
        <f t="shared" si="34"/>
        <v>765000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17212.5</v>
      </c>
      <c r="G492" s="18"/>
      <c r="H492" s="18"/>
      <c r="I492" s="18"/>
      <c r="J492" s="18"/>
      <c r="K492" s="53">
        <f t="shared" si="34"/>
        <v>17212.5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782212.5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782212.5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1581348.03</v>
      </c>
      <c r="G511" s="18">
        <v>316877.59999999998</v>
      </c>
      <c r="H511" s="18">
        <f>82176.18+2652.22+589304.65</f>
        <v>674133.05</v>
      </c>
      <c r="I511" s="18">
        <v>14086.71</v>
      </c>
      <c r="J511" s="18">
        <v>1155.73</v>
      </c>
      <c r="K511" s="18">
        <v>5351.65</v>
      </c>
      <c r="L511" s="88">
        <f>SUM(F511:K511)</f>
        <v>2592952.7699999996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437033.02+100693.44</f>
        <v>537726.46</v>
      </c>
      <c r="G513" s="18">
        <f>99640.34+28147.96</f>
        <v>127788.29999999999</v>
      </c>
      <c r="H513" s="18">
        <f>43301.47+335.51+334751.13+21639.78</f>
        <v>400027.89</v>
      </c>
      <c r="I513" s="18">
        <f>14803.56+1673</f>
        <v>16476.559999999998</v>
      </c>
      <c r="J513" s="18">
        <v>3928.93</v>
      </c>
      <c r="K513" s="18">
        <v>2568.5</v>
      </c>
      <c r="L513" s="88">
        <f>SUM(F513:K513)</f>
        <v>1088516.6399999999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2119074.4900000002</v>
      </c>
      <c r="G514" s="108">
        <f t="shared" ref="G514:L514" si="35">SUM(G511:G513)</f>
        <v>444665.89999999997</v>
      </c>
      <c r="H514" s="108">
        <f t="shared" si="35"/>
        <v>1074160.94</v>
      </c>
      <c r="I514" s="108">
        <f t="shared" si="35"/>
        <v>30563.269999999997</v>
      </c>
      <c r="J514" s="108">
        <f t="shared" si="35"/>
        <v>5084.66</v>
      </c>
      <c r="K514" s="108">
        <f t="shared" si="35"/>
        <v>7920.15</v>
      </c>
      <c r="L514" s="89">
        <f t="shared" si="35"/>
        <v>3681469.4099999992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234049</v>
      </c>
      <c r="G516" s="18">
        <v>82092.66</v>
      </c>
      <c r="H516" s="18">
        <f>105025.89+24.49</f>
        <v>105050.38</v>
      </c>
      <c r="I516" s="18">
        <v>2398.4299999999998</v>
      </c>
      <c r="J516" s="18">
        <v>66.209999999999994</v>
      </c>
      <c r="K516" s="18">
        <v>141.9</v>
      </c>
      <c r="L516" s="88">
        <f>SUM(F516:K516)</f>
        <v>423798.58000000007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103045.19</v>
      </c>
      <c r="G518" s="18">
        <v>38647.050000000003</v>
      </c>
      <c r="H518" s="18">
        <f>50211.8+11.76</f>
        <v>50223.560000000005</v>
      </c>
      <c r="I518" s="18">
        <v>1095.1500000000001</v>
      </c>
      <c r="J518" s="18">
        <v>31.77</v>
      </c>
      <c r="K518" s="18">
        <v>68.099999999999994</v>
      </c>
      <c r="L518" s="88">
        <f>SUM(F518:K518)</f>
        <v>193110.81999999998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337094.19</v>
      </c>
      <c r="G519" s="89">
        <f t="shared" ref="G519:L519" si="36">SUM(G516:G518)</f>
        <v>120739.71</v>
      </c>
      <c r="H519" s="89">
        <f t="shared" si="36"/>
        <v>155273.94</v>
      </c>
      <c r="I519" s="89">
        <f t="shared" si="36"/>
        <v>3493.58</v>
      </c>
      <c r="J519" s="89">
        <f t="shared" si="36"/>
        <v>97.97999999999999</v>
      </c>
      <c r="K519" s="89">
        <f t="shared" si="36"/>
        <v>210</v>
      </c>
      <c r="L519" s="89">
        <f t="shared" si="36"/>
        <v>616909.4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32778.72+69808.78</f>
        <v>102587.5</v>
      </c>
      <c r="G521" s="18">
        <f>15916.82+43879.35</f>
        <v>59796.17</v>
      </c>
      <c r="H521" s="18">
        <f>726.6+889.12+3802.38</f>
        <v>5418.1</v>
      </c>
      <c r="I521" s="18">
        <v>1341.51</v>
      </c>
      <c r="J521" s="18"/>
      <c r="K521" s="18">
        <f>11135.52+204.74</f>
        <v>11340.26</v>
      </c>
      <c r="L521" s="88">
        <f>SUM(F521:K521)</f>
        <v>180483.54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33504.49</f>
        <v>33504.49</v>
      </c>
      <c r="G523" s="18">
        <f>1627.25+21059.75</f>
        <v>22687</v>
      </c>
      <c r="H523" s="18">
        <f>348.73+426.73+1824.94</f>
        <v>2600.4</v>
      </c>
      <c r="I523" s="18">
        <v>643.85</v>
      </c>
      <c r="J523" s="18"/>
      <c r="K523" s="18">
        <f>5009.92+98.26</f>
        <v>5108.18</v>
      </c>
      <c r="L523" s="88">
        <f>SUM(F523:K523)</f>
        <v>64543.92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136091.99</v>
      </c>
      <c r="G524" s="89">
        <f t="shared" ref="G524:L524" si="37">SUM(G521:G523)</f>
        <v>82483.17</v>
      </c>
      <c r="H524" s="89">
        <f t="shared" si="37"/>
        <v>8018.5</v>
      </c>
      <c r="I524" s="89">
        <f t="shared" si="37"/>
        <v>1985.3600000000001</v>
      </c>
      <c r="J524" s="89">
        <f t="shared" si="37"/>
        <v>0</v>
      </c>
      <c r="K524" s="89">
        <f t="shared" si="37"/>
        <v>16448.440000000002</v>
      </c>
      <c r="L524" s="89">
        <f t="shared" si="37"/>
        <v>245027.46000000002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3009.12</v>
      </c>
      <c r="I526" s="18"/>
      <c r="J526" s="18"/>
      <c r="K526" s="18"/>
      <c r="L526" s="88">
        <f>SUM(F526:K526)</f>
        <v>3009.12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1444.21</v>
      </c>
      <c r="I528" s="18"/>
      <c r="J528" s="18"/>
      <c r="K528" s="18"/>
      <c r="L528" s="88">
        <f>SUM(F528:K528)</f>
        <v>1444.21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4453.33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4453.33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44446.57</v>
      </c>
      <c r="G531" s="18">
        <v>13782.81</v>
      </c>
      <c r="H531" s="18">
        <f>12065.09+21371.55</f>
        <v>33436.639999999999</v>
      </c>
      <c r="I531" s="18">
        <v>9231.74</v>
      </c>
      <c r="J531" s="18">
        <v>250.95</v>
      </c>
      <c r="K531" s="18"/>
      <c r="L531" s="88">
        <f>SUM(F531:K531)</f>
        <v>101148.70999999999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21331.99</v>
      </c>
      <c r="G533" s="18">
        <v>6615.02</v>
      </c>
      <c r="H533" s="18">
        <f>5790.6+10257.2</f>
        <v>16047.800000000001</v>
      </c>
      <c r="I533" s="18">
        <v>4430.74</v>
      </c>
      <c r="J533" s="18">
        <v>120.45</v>
      </c>
      <c r="K533" s="18"/>
      <c r="L533" s="88">
        <f>SUM(F533:K533)</f>
        <v>48546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65778.559999999998</v>
      </c>
      <c r="G534" s="194">
        <f t="shared" ref="G534:L534" si="39">SUM(G531:G533)</f>
        <v>20397.830000000002</v>
      </c>
      <c r="H534" s="194">
        <f t="shared" si="39"/>
        <v>49484.44</v>
      </c>
      <c r="I534" s="194">
        <f t="shared" si="39"/>
        <v>13662.48</v>
      </c>
      <c r="J534" s="194">
        <f t="shared" si="39"/>
        <v>371.4</v>
      </c>
      <c r="K534" s="194">
        <f t="shared" si="39"/>
        <v>0</v>
      </c>
      <c r="L534" s="194">
        <f t="shared" si="39"/>
        <v>149694.71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2658039.23</v>
      </c>
      <c r="G535" s="89">
        <f t="shared" ref="G535:L535" si="40">G514+G519+G524+G529+G534</f>
        <v>668286.61</v>
      </c>
      <c r="H535" s="89">
        <f t="shared" si="40"/>
        <v>1291391.1499999999</v>
      </c>
      <c r="I535" s="89">
        <f t="shared" si="40"/>
        <v>49704.69</v>
      </c>
      <c r="J535" s="89">
        <f t="shared" si="40"/>
        <v>5554.0399999999991</v>
      </c>
      <c r="K535" s="89">
        <f t="shared" si="40"/>
        <v>24578.590000000004</v>
      </c>
      <c r="L535" s="89">
        <f t="shared" si="40"/>
        <v>4697554.3099999996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2592952.7699999996</v>
      </c>
      <c r="G539" s="87">
        <f>L516</f>
        <v>423798.58000000007</v>
      </c>
      <c r="H539" s="87">
        <f>L521</f>
        <v>180483.54</v>
      </c>
      <c r="I539" s="87">
        <f>L526</f>
        <v>3009.12</v>
      </c>
      <c r="J539" s="87">
        <f>L531</f>
        <v>101148.70999999999</v>
      </c>
      <c r="K539" s="87">
        <f>SUM(F539:J539)</f>
        <v>3301392.7199999997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1088516.6399999999</v>
      </c>
      <c r="G541" s="87">
        <f>L518</f>
        <v>193110.81999999998</v>
      </c>
      <c r="H541" s="87">
        <f>L523</f>
        <v>64543.92</v>
      </c>
      <c r="I541" s="87">
        <f>L528</f>
        <v>1444.21</v>
      </c>
      <c r="J541" s="87">
        <f>L533</f>
        <v>48546</v>
      </c>
      <c r="K541" s="87">
        <f>SUM(F541:J541)</f>
        <v>1396161.5899999999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3681469.4099999992</v>
      </c>
      <c r="G542" s="89">
        <f t="shared" si="41"/>
        <v>616909.4</v>
      </c>
      <c r="H542" s="89">
        <f t="shared" si="41"/>
        <v>245027.46000000002</v>
      </c>
      <c r="I542" s="89">
        <f t="shared" si="41"/>
        <v>4453.33</v>
      </c>
      <c r="J542" s="89">
        <f t="shared" si="41"/>
        <v>149694.71</v>
      </c>
      <c r="K542" s="89">
        <f t="shared" si="41"/>
        <v>4697554.3099999996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55808</v>
      </c>
      <c r="G554" s="18">
        <v>14292.93</v>
      </c>
      <c r="H554" s="18"/>
      <c r="I554" s="18"/>
      <c r="J554" s="18"/>
      <c r="K554" s="18"/>
      <c r="L554" s="88">
        <f>SUM(F554:K554)</f>
        <v>70100.929999999993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55808</v>
      </c>
      <c r="G555" s="89">
        <f t="shared" si="43"/>
        <v>14292.93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70100.929999999993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55808</v>
      </c>
      <c r="G561" s="89">
        <f t="shared" ref="G561:L561" si="45">G550+G555+G560</f>
        <v>14292.93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70100.929999999993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175</v>
      </c>
      <c r="G565" s="18"/>
      <c r="H565" s="18"/>
      <c r="I565" s="87">
        <f>SUM(F565:H565)</f>
        <v>175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125511.27</v>
      </c>
      <c r="G569" s="18"/>
      <c r="H569" s="18">
        <v>37992.14</v>
      </c>
      <c r="I569" s="87">
        <f t="shared" si="46"/>
        <v>163503.41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461101.21</v>
      </c>
      <c r="G572" s="18"/>
      <c r="H572" s="18">
        <v>296239.65999999997</v>
      </c>
      <c r="I572" s="87">
        <f t="shared" si="46"/>
        <v>757340.87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36750</v>
      </c>
      <c r="I574" s="87">
        <f t="shared" si="46"/>
        <v>36750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>
        <v>11264.25</v>
      </c>
      <c r="I577" s="87">
        <f t="shared" si="46"/>
        <v>11264.25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174920.57+19602.78</f>
        <v>194523.35</v>
      </c>
      <c r="I581" s="18"/>
      <c r="J581" s="18">
        <f>86540.96+9408.29</f>
        <v>95949.25</v>
      </c>
      <c r="K581" s="104">
        <f t="shared" ref="K581:K587" si="47">SUM(H581:J581)</f>
        <v>290472.59999999998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88832.67+9856.63</f>
        <v>98689.3</v>
      </c>
      <c r="I582" s="18"/>
      <c r="J582" s="18">
        <f>42634.95+4730.66</f>
        <v>47365.61</v>
      </c>
      <c r="K582" s="104">
        <f t="shared" si="47"/>
        <v>146054.91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34044.53</v>
      </c>
      <c r="K583" s="104">
        <f t="shared" si="47"/>
        <v>34044.53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3202.22</v>
      </c>
      <c r="I584" s="18"/>
      <c r="J584" s="18">
        <v>14850.7</v>
      </c>
      <c r="K584" s="104">
        <f t="shared" si="47"/>
        <v>18052.920000000002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3676.68-0.01</f>
        <v>3676.6699999999996</v>
      </c>
      <c r="I585" s="18"/>
      <c r="J585" s="18">
        <f>1758.47+0.01</f>
        <v>1758.48</v>
      </c>
      <c r="K585" s="104">
        <f t="shared" si="47"/>
        <v>5435.15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>
        <v>12834.22</v>
      </c>
      <c r="K586" s="104">
        <f t="shared" si="47"/>
        <v>12834.22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300091.53999999998</v>
      </c>
      <c r="I588" s="108">
        <f>SUM(I581:I587)</f>
        <v>0</v>
      </c>
      <c r="J588" s="108">
        <f>SUM(J581:J587)</f>
        <v>206802.79</v>
      </c>
      <c r="K588" s="108">
        <f>SUM(K581:K587)</f>
        <v>506894.33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13632.86+57828.47+250.96+15834.35-1148.28+2388.5+9563.76-1045.89+828.22+209.8+2649.39-0.01</f>
        <v>100992.13000000002</v>
      </c>
      <c r="I594" s="18"/>
      <c r="J594" s="18">
        <f>5813.89+27754.58+439.96+120.45+3956.53+3928.93+1008.3+1271.57</f>
        <v>44294.21</v>
      </c>
      <c r="K594" s="104">
        <f>SUM(H594:J594)</f>
        <v>145286.34000000003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100992.13000000002</v>
      </c>
      <c r="I595" s="108">
        <f>SUM(I592:I594)</f>
        <v>0</v>
      </c>
      <c r="J595" s="108">
        <f>SUM(J592:J594)</f>
        <v>44294.21</v>
      </c>
      <c r="K595" s="108">
        <f>SUM(K592:K594)</f>
        <v>145286.34000000003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3072</v>
      </c>
      <c r="G603" s="18">
        <f>235.04+246.36</f>
        <v>481.4</v>
      </c>
      <c r="H603" s="18"/>
      <c r="I603" s="18"/>
      <c r="J603" s="18"/>
      <c r="K603" s="18"/>
      <c r="L603" s="88">
        <f>SUM(F603:K603)</f>
        <v>3553.4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3072</v>
      </c>
      <c r="G604" s="108">
        <f t="shared" si="48"/>
        <v>481.4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3553.4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1922051.75</v>
      </c>
      <c r="H607" s="109">
        <f>SUM(F44)</f>
        <v>1922051.7499999991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24425.75</v>
      </c>
      <c r="H608" s="109">
        <f>SUM(G44)</f>
        <v>24425.75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253855.13</v>
      </c>
      <c r="H609" s="109">
        <f>SUM(H44)</f>
        <v>253855.13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1419036.8800000001</v>
      </c>
      <c r="H611" s="109">
        <f>SUM(J44)</f>
        <v>1419036.8800000001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1127765.9099999992</v>
      </c>
      <c r="H612" s="109">
        <f>F466</f>
        <v>1127765.9100000001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81.790000000000006</v>
      </c>
      <c r="H613" s="109">
        <f>G466</f>
        <v>81.790000000037253</v>
      </c>
      <c r="I613" s="121" t="s">
        <v>108</v>
      </c>
      <c r="J613" s="109">
        <f t="shared" si="49"/>
        <v>-3.7246650208544452E-11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1419036.8800000001</v>
      </c>
      <c r="H616" s="109">
        <f>J466</f>
        <v>1419036.88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16021220.780000001</v>
      </c>
      <c r="H617" s="104">
        <f>SUM(F458)</f>
        <v>16021220.779999999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602977.93999999994</v>
      </c>
      <c r="H618" s="104">
        <f>SUM(G458)</f>
        <v>602977.93999999994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1519718.4100000001</v>
      </c>
      <c r="H619" s="104">
        <f>SUM(H458)</f>
        <v>1519718.41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50000</v>
      </c>
      <c r="H621" s="104">
        <f>SUM(J458)</f>
        <v>50000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15227363.190000001</v>
      </c>
      <c r="H622" s="104">
        <f>SUM(F462)</f>
        <v>15227363.189999999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1519718.41</v>
      </c>
      <c r="H623" s="104">
        <f>SUM(H462)</f>
        <v>1519718.41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325996.51</v>
      </c>
      <c r="H624" s="104">
        <f>I361</f>
        <v>325996.50999999995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602977.93999999994</v>
      </c>
      <c r="H625" s="104">
        <f>SUM(G462)</f>
        <v>602977.93999999994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50000</v>
      </c>
      <c r="H627" s="164">
        <f>SUM(J458)</f>
        <v>50000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171548</v>
      </c>
      <c r="H628" s="164">
        <f>SUM(J462)</f>
        <v>171548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1213640.54</v>
      </c>
      <c r="H629" s="104">
        <f>SUM(F451)</f>
        <v>1213640.54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205396.34</v>
      </c>
      <c r="H630" s="104">
        <f>SUM(G451)</f>
        <v>205396.34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1419036.8800000001</v>
      </c>
      <c r="H632" s="104">
        <f>SUM(I451)</f>
        <v>1419036.8800000001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50000</v>
      </c>
      <c r="H635" s="104">
        <f>G400</f>
        <v>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50000</v>
      </c>
      <c r="H636" s="104">
        <f>L400</f>
        <v>50000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506894.33</v>
      </c>
      <c r="H637" s="104">
        <f>L200+L218+L236</f>
        <v>506894.33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145286.34000000003</v>
      </c>
      <c r="H638" s="104">
        <f>(J249+J330)-(J247+J328)</f>
        <v>145286.34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300091.53999999998</v>
      </c>
      <c r="H639" s="104">
        <f>H588</f>
        <v>300091.53999999998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206802.79000000004</v>
      </c>
      <c r="H641" s="104">
        <f>J588</f>
        <v>206802.79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25786.97</v>
      </c>
      <c r="H642" s="104">
        <f>K255+K337</f>
        <v>25786.97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50000</v>
      </c>
      <c r="H645" s="104">
        <f>K258+K339</f>
        <v>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11070014.750000002</v>
      </c>
      <c r="G650" s="19">
        <f>(L221+L301+L351)</f>
        <v>0</v>
      </c>
      <c r="H650" s="19">
        <f>(L239+L320+L352)</f>
        <v>5066155.6799999988</v>
      </c>
      <c r="I650" s="19">
        <f>SUM(F650:H650)</f>
        <v>16136170.43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141812.47555749651</v>
      </c>
      <c r="G651" s="19">
        <f>(L351/IF(SUM(L350:L352)=0,1,SUM(L350:L352))*(SUM(G89:G102)))</f>
        <v>0</v>
      </c>
      <c r="H651" s="19">
        <f>(L352/IF(SUM(L350:L352)=0,1,SUM(L350:L352))*(SUM(G89:G102)))</f>
        <v>58914.444442503482</v>
      </c>
      <c r="I651" s="19">
        <f>SUM(F651:H651)</f>
        <v>200726.91999999998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297442.14999999997</v>
      </c>
      <c r="G652" s="19">
        <f>(L218+L298)-(J218+J298)</f>
        <v>0</v>
      </c>
      <c r="H652" s="19">
        <f>(L236+L317)-(J236+J317)</f>
        <v>205531.22000000006</v>
      </c>
      <c r="I652" s="19">
        <f>SUM(F652:H652)</f>
        <v>502973.37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687779.61</v>
      </c>
      <c r="G653" s="200">
        <f>SUM(G565:G577)+SUM(I592:I594)+L602</f>
        <v>0</v>
      </c>
      <c r="H653" s="200">
        <f>SUM(H565:H577)+SUM(J592:J594)+L603</f>
        <v>430093.66000000003</v>
      </c>
      <c r="I653" s="19">
        <f>SUM(F653:H653)</f>
        <v>1117873.27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9942980.5144425053</v>
      </c>
      <c r="G654" s="19">
        <f>G650-SUM(G651:G653)</f>
        <v>0</v>
      </c>
      <c r="H654" s="19">
        <f>H650-SUM(H651:H653)</f>
        <v>4371616.3555574957</v>
      </c>
      <c r="I654" s="19">
        <f>I650-SUM(I651:I653)</f>
        <v>14314596.869999999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921.49</v>
      </c>
      <c r="G655" s="249"/>
      <c r="H655" s="248">
        <v>439.93</v>
      </c>
      <c r="I655" s="19">
        <f>SUM(F655:H655)</f>
        <v>1361.42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10790.11</v>
      </c>
      <c r="G657" s="19" t="e">
        <f>ROUND(G654/G655,2)</f>
        <v>#DIV/0!</v>
      </c>
      <c r="H657" s="19">
        <f>ROUND(H654/H655,2)</f>
        <v>9937.07</v>
      </c>
      <c r="I657" s="19">
        <f>ROUND(I654/I655,2)</f>
        <v>10514.46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-10.52</v>
      </c>
      <c r="I660" s="19">
        <f>SUM(F660:H660)</f>
        <v>-10.52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10790.11</v>
      </c>
      <c r="G662" s="19" t="e">
        <f>ROUND((G654+G659)/(G655+G660),2)</f>
        <v>#DIV/0!</v>
      </c>
      <c r="H662" s="19">
        <f>ROUND((H654+H659)/(H655+H660),2)</f>
        <v>10180.52</v>
      </c>
      <c r="I662" s="19">
        <f>ROUND((I654+I659)/(I655+I660),2)</f>
        <v>10596.34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7E88-9068-4B92-9F09-2C70AB249D4F}">
  <sheetPr>
    <tabColor indexed="20"/>
  </sheetPr>
  <dimension ref="A1:C52"/>
  <sheetViews>
    <sheetView topLeftCell="A16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FARMINGTON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5" t="s">
        <v>815</v>
      </c>
      <c r="B3" s="275"/>
      <c r="C3" s="275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814</v>
      </c>
      <c r="C6" s="274"/>
    </row>
    <row r="7" spans="1:3" x14ac:dyDescent="0.2">
      <c r="A7" s="240" t="s">
        <v>817</v>
      </c>
      <c r="B7" s="272" t="s">
        <v>813</v>
      </c>
      <c r="C7" s="273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3685415.84</v>
      </c>
      <c r="C9" s="230">
        <f>'DOE25'!G189+'DOE25'!G207+'DOE25'!G225+'DOE25'!G268+'DOE25'!G287+'DOE25'!G306</f>
        <v>1128109.49</v>
      </c>
    </row>
    <row r="10" spans="1:3" x14ac:dyDescent="0.2">
      <c r="A10" t="s">
        <v>810</v>
      </c>
      <c r="B10" s="241">
        <v>3572854.25</v>
      </c>
      <c r="C10" s="241">
        <v>1099966.19</v>
      </c>
    </row>
    <row r="11" spans="1:3" x14ac:dyDescent="0.2">
      <c r="A11" t="s">
        <v>811</v>
      </c>
      <c r="B11" s="241">
        <v>31504.09</v>
      </c>
      <c r="C11" s="241">
        <v>7062.49</v>
      </c>
    </row>
    <row r="12" spans="1:3" x14ac:dyDescent="0.2">
      <c r="A12" t="s">
        <v>812</v>
      </c>
      <c r="B12" s="241">
        <v>81057.5</v>
      </c>
      <c r="C12" s="241">
        <v>21080.81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3685415.84</v>
      </c>
      <c r="C13" s="232">
        <f>SUM(C10:C12)</f>
        <v>1128109.49</v>
      </c>
    </row>
    <row r="14" spans="1:3" x14ac:dyDescent="0.2">
      <c r="B14" s="231"/>
      <c r="C14" s="231"/>
    </row>
    <row r="15" spans="1:3" x14ac:dyDescent="0.2">
      <c r="B15" s="274" t="s">
        <v>814</v>
      </c>
      <c r="C15" s="274"/>
    </row>
    <row r="16" spans="1:3" x14ac:dyDescent="0.2">
      <c r="A16" s="240" t="s">
        <v>818</v>
      </c>
      <c r="B16" s="272" t="s">
        <v>738</v>
      </c>
      <c r="C16" s="273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2589192.3199999998</v>
      </c>
      <c r="C18" s="230">
        <f>'DOE25'!G190+'DOE25'!G208+'DOE25'!G226+'DOE25'!G269+'DOE25'!G288+'DOE25'!G307</f>
        <v>543820.89</v>
      </c>
    </row>
    <row r="19" spans="1:3" x14ac:dyDescent="0.2">
      <c r="A19" t="s">
        <v>810</v>
      </c>
      <c r="B19" s="241">
        <v>1149550.3500000001</v>
      </c>
      <c r="C19" s="241">
        <v>286922.05</v>
      </c>
    </row>
    <row r="20" spans="1:3" x14ac:dyDescent="0.2">
      <c r="A20" t="s">
        <v>811</v>
      </c>
      <c r="B20" s="241">
        <v>1312388.08</v>
      </c>
      <c r="C20" s="241">
        <v>234156.37</v>
      </c>
    </row>
    <row r="21" spans="1:3" x14ac:dyDescent="0.2">
      <c r="A21" t="s">
        <v>812</v>
      </c>
      <c r="B21" s="241">
        <v>127253.89</v>
      </c>
      <c r="C21" s="241">
        <v>22742.47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2589192.3200000003</v>
      </c>
      <c r="C22" s="232">
        <f>SUM(C19:C21)</f>
        <v>543820.89</v>
      </c>
    </row>
    <row r="23" spans="1:3" x14ac:dyDescent="0.2">
      <c r="B23" s="231"/>
      <c r="C23" s="231"/>
    </row>
    <row r="24" spans="1:3" x14ac:dyDescent="0.2">
      <c r="B24" s="274" t="s">
        <v>814</v>
      </c>
      <c r="C24" s="274"/>
    </row>
    <row r="25" spans="1:3" x14ac:dyDescent="0.2">
      <c r="A25" s="240" t="s">
        <v>819</v>
      </c>
      <c r="B25" s="272" t="s">
        <v>739</v>
      </c>
      <c r="C25" s="273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814</v>
      </c>
      <c r="C33" s="274"/>
    </row>
    <row r="34" spans="1:3" x14ac:dyDescent="0.2">
      <c r="A34" s="240" t="s">
        <v>820</v>
      </c>
      <c r="B34" s="272" t="s">
        <v>740</v>
      </c>
      <c r="C34" s="273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177714.35</v>
      </c>
      <c r="C36" s="236">
        <f>'DOE25'!G192+'DOE25'!G210+'DOE25'!G228+'DOE25'!G271+'DOE25'!G290+'DOE25'!G309</f>
        <v>32148.11</v>
      </c>
    </row>
    <row r="37" spans="1:3" x14ac:dyDescent="0.2">
      <c r="A37" t="s">
        <v>810</v>
      </c>
      <c r="B37" s="241">
        <v>175576.35</v>
      </c>
      <c r="C37" s="241">
        <v>31596.59</v>
      </c>
    </row>
    <row r="38" spans="1:3" x14ac:dyDescent="0.2">
      <c r="A38" t="s">
        <v>811</v>
      </c>
      <c r="B38" s="241">
        <v>363</v>
      </c>
      <c r="C38" s="241">
        <v>40.229999999999997</v>
      </c>
    </row>
    <row r="39" spans="1:3" x14ac:dyDescent="0.2">
      <c r="A39" t="s">
        <v>812</v>
      </c>
      <c r="B39" s="241">
        <v>1775</v>
      </c>
      <c r="C39" s="241">
        <v>511.29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177714.35</v>
      </c>
      <c r="C40" s="232">
        <f>SUM(C37:C39)</f>
        <v>32148.11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EF24-92A9-49BC-A876-8CBA75E143CC}">
  <sheetPr>
    <tabColor indexed="11"/>
  </sheetPr>
  <dimension ref="A1:I51"/>
  <sheetViews>
    <sheetView workbookViewId="0">
      <pane ySplit="4" topLeftCell="A1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821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FARMINGTON SCHOOL DISTRICT</v>
      </c>
      <c r="C2" s="181"/>
      <c r="D2" s="181" t="s">
        <v>823</v>
      </c>
      <c r="E2" s="181" t="s">
        <v>825</v>
      </c>
      <c r="F2" s="276" t="s">
        <v>852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8923144.5800000001</v>
      </c>
      <c r="D5" s="20">
        <f>SUM('DOE25'!L189:L192)+SUM('DOE25'!L207:L210)+SUM('DOE25'!L225:L228)-F5-G5</f>
        <v>8907120.7199999988</v>
      </c>
      <c r="E5" s="244"/>
      <c r="F5" s="256">
        <f>SUM('DOE25'!J189:J192)+SUM('DOE25'!J207:J210)+SUM('DOE25'!J225:J228)</f>
        <v>6597.7099999999991</v>
      </c>
      <c r="G5" s="53">
        <f>SUM('DOE25'!K189:K192)+SUM('DOE25'!K207:K210)+SUM('DOE25'!K225:K228)</f>
        <v>9426.15</v>
      </c>
      <c r="H5" s="260"/>
    </row>
    <row r="6" spans="1:9" x14ac:dyDescent="0.2">
      <c r="A6" s="32">
        <v>2100</v>
      </c>
      <c r="B6" t="s">
        <v>832</v>
      </c>
      <c r="C6" s="246">
        <f t="shared" si="0"/>
        <v>1098059.53</v>
      </c>
      <c r="D6" s="20">
        <f>'DOE25'!L194+'DOE25'!L212+'DOE25'!L230-F6-G6</f>
        <v>1096035.21</v>
      </c>
      <c r="E6" s="244"/>
      <c r="F6" s="256">
        <f>'DOE25'!J194+'DOE25'!J212+'DOE25'!J230</f>
        <v>1814.3200000000002</v>
      </c>
      <c r="G6" s="53">
        <f>'DOE25'!K194+'DOE25'!K212+'DOE25'!K230</f>
        <v>210</v>
      </c>
      <c r="H6" s="260"/>
    </row>
    <row r="7" spans="1:9" x14ac:dyDescent="0.2">
      <c r="A7" s="32">
        <v>2200</v>
      </c>
      <c r="B7" t="s">
        <v>865</v>
      </c>
      <c r="C7" s="246">
        <f t="shared" si="0"/>
        <v>414734.42999999993</v>
      </c>
      <c r="D7" s="20">
        <f>'DOE25'!L195+'DOE25'!L213+'DOE25'!L231-F7-G7</f>
        <v>412576.33999999991</v>
      </c>
      <c r="E7" s="244"/>
      <c r="F7" s="256">
        <f>'DOE25'!J195+'DOE25'!J213+'DOE25'!J231</f>
        <v>213.9</v>
      </c>
      <c r="G7" s="53">
        <f>'DOE25'!K195+'DOE25'!K213+'DOE25'!K231</f>
        <v>1944.19</v>
      </c>
      <c r="H7" s="260"/>
    </row>
    <row r="8" spans="1:9" x14ac:dyDescent="0.2">
      <c r="A8" s="32">
        <v>2300</v>
      </c>
      <c r="B8" t="s">
        <v>833</v>
      </c>
      <c r="C8" s="246">
        <f t="shared" si="0"/>
        <v>590803.39</v>
      </c>
      <c r="D8" s="244"/>
      <c r="E8" s="20">
        <f>'DOE25'!L196+'DOE25'!L214+'DOE25'!L232-F8-G8-D9-D11</f>
        <v>583768.20000000007</v>
      </c>
      <c r="F8" s="256">
        <f>'DOE25'!J196+'DOE25'!J214+'DOE25'!J232</f>
        <v>0</v>
      </c>
      <c r="G8" s="53">
        <f>'DOE25'!K196+'DOE25'!K214+'DOE25'!K232</f>
        <v>7035.1900000000005</v>
      </c>
      <c r="H8" s="260"/>
    </row>
    <row r="9" spans="1:9" x14ac:dyDescent="0.2">
      <c r="A9" s="32">
        <v>2310</v>
      </c>
      <c r="B9" t="s">
        <v>849</v>
      </c>
      <c r="C9" s="246">
        <f t="shared" si="0"/>
        <v>129758.67</v>
      </c>
      <c r="D9" s="245">
        <v>129758.67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20500</v>
      </c>
      <c r="D10" s="244"/>
      <c r="E10" s="245">
        <v>20500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238836.46</v>
      </c>
      <c r="D11" s="245">
        <v>238836.46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824719.9</v>
      </c>
      <c r="D12" s="20">
        <f>'DOE25'!L197+'DOE25'!L215+'DOE25'!L233-F12-G12</f>
        <v>818670.23</v>
      </c>
      <c r="E12" s="244"/>
      <c r="F12" s="256">
        <f>'DOE25'!J197+'DOE25'!J215+'DOE25'!J233</f>
        <v>761.17</v>
      </c>
      <c r="G12" s="53">
        <f>'DOE25'!K197+'DOE25'!K215+'DOE25'!K233</f>
        <v>5288.5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1579.02</v>
      </c>
      <c r="D13" s="244"/>
      <c r="E13" s="20">
        <f>'DOE25'!L198+'DOE25'!L216+'DOE25'!L234-F13-G13</f>
        <v>1579.02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1277535.97</v>
      </c>
      <c r="D14" s="20">
        <f>'DOE25'!L199+'DOE25'!L217+'DOE25'!L235-F14-G14</f>
        <v>1275385.6499999999</v>
      </c>
      <c r="E14" s="244"/>
      <c r="F14" s="256">
        <f>'DOE25'!J199+'DOE25'!J217+'DOE25'!J235</f>
        <v>2150.3199999999997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506894.33</v>
      </c>
      <c r="D15" s="20">
        <f>'DOE25'!L200+'DOE25'!L218+'DOE25'!L236-F15-G15</f>
        <v>501590.37</v>
      </c>
      <c r="E15" s="244"/>
      <c r="F15" s="256">
        <f>'DOE25'!J200+'DOE25'!J218+'DOE25'!J236</f>
        <v>3920.96</v>
      </c>
      <c r="G15" s="53">
        <f>'DOE25'!K200+'DOE25'!K218+'DOE25'!K236</f>
        <v>1383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252344.44</v>
      </c>
      <c r="D16" s="244"/>
      <c r="E16" s="20">
        <f>'DOE25'!L201+'DOE25'!L219+'DOE25'!L237-F16-G16</f>
        <v>236351.31</v>
      </c>
      <c r="F16" s="256">
        <f>'DOE25'!J201+'DOE25'!J219+'DOE25'!J237</f>
        <v>15993.13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76528</v>
      </c>
      <c r="D22" s="244"/>
      <c r="E22" s="244"/>
      <c r="F22" s="256">
        <f>'DOE25'!L247+'DOE25'!L328</f>
        <v>76528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816637.5</v>
      </c>
      <c r="D25" s="244"/>
      <c r="E25" s="244"/>
      <c r="F25" s="259"/>
      <c r="G25" s="257"/>
      <c r="H25" s="258">
        <f>'DOE25'!L252+'DOE25'!L253+'DOE25'!L333+'DOE25'!L334</f>
        <v>816637.5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306033.48</v>
      </c>
      <c r="D29" s="20">
        <f>'DOE25'!L350+'DOE25'!L351+'DOE25'!L352-'DOE25'!I359-F29-G29</f>
        <v>301768.43</v>
      </c>
      <c r="E29" s="244"/>
      <c r="F29" s="256">
        <f>'DOE25'!J350+'DOE25'!J351+'DOE25'!J352</f>
        <v>4162.8</v>
      </c>
      <c r="G29" s="53">
        <f>'DOE25'!K350+'DOE25'!K351+'DOE25'!K352</f>
        <v>102.25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1453831.24</v>
      </c>
      <c r="D31" s="20">
        <f>'DOE25'!L282+'DOE25'!L301+'DOE25'!L320+'DOE25'!L325+'DOE25'!L326+'DOE25'!L327-F31-G31</f>
        <v>1338819.67</v>
      </c>
      <c r="E31" s="244"/>
      <c r="F31" s="256">
        <f>'DOE25'!J282+'DOE25'!J301+'DOE25'!J320+'DOE25'!J325+'DOE25'!J326+'DOE25'!J327</f>
        <v>113834.83</v>
      </c>
      <c r="G31" s="53">
        <f>'DOE25'!K282+'DOE25'!K301+'DOE25'!K320+'DOE25'!K325+'DOE25'!K326+'DOE25'!K327</f>
        <v>1176.74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15020561.75</v>
      </c>
      <c r="E33" s="247">
        <f>SUM(E5:E31)</f>
        <v>842198.53</v>
      </c>
      <c r="F33" s="247">
        <f>SUM(F5:F31)</f>
        <v>225977.14</v>
      </c>
      <c r="G33" s="247">
        <f>SUM(G5:G31)</f>
        <v>26566.02</v>
      </c>
      <c r="H33" s="247">
        <f>SUM(H5:H31)</f>
        <v>816637.5</v>
      </c>
    </row>
    <row r="35" spans="2:8" ht="12" thickBot="1" x14ac:dyDescent="0.25">
      <c r="B35" s="254" t="s">
        <v>878</v>
      </c>
      <c r="D35" s="255">
        <f>E33</f>
        <v>842198.53</v>
      </c>
      <c r="E35" s="250"/>
    </row>
    <row r="36" spans="2:8" ht="12" thickTop="1" x14ac:dyDescent="0.2">
      <c r="B36" t="s">
        <v>846</v>
      </c>
      <c r="D36" s="20">
        <f>D33</f>
        <v>15020561.75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B0A1-51CB-4ECE-BCA7-EF51FE79400A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FARMINGTON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123345.78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192425.02000000002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50000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1557549.55</v>
      </c>
      <c r="D13" s="95">
        <f>'DOE25'!G13</f>
        <v>23881.03</v>
      </c>
      <c r="E13" s="95">
        <f>'DOE25'!H13</f>
        <v>253855.13</v>
      </c>
      <c r="F13" s="95">
        <f>'DOE25'!I13</f>
        <v>0</v>
      </c>
      <c r="G13" s="95">
        <f>'DOE25'!J13</f>
        <v>1369036.8800000001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48731.399999999994</v>
      </c>
      <c r="D14" s="95">
        <f>'DOE25'!G14</f>
        <v>544.72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1922051.75</v>
      </c>
      <c r="D19" s="41">
        <f>SUM(D9:D18)</f>
        <v>24425.75</v>
      </c>
      <c r="E19" s="41">
        <f>SUM(E9:E18)</f>
        <v>253855.13</v>
      </c>
      <c r="F19" s="41">
        <f>SUM(F9:F18)</f>
        <v>0</v>
      </c>
      <c r="G19" s="41">
        <f>SUM(G9:G18)</f>
        <v>1419036.8800000001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50000</v>
      </c>
      <c r="D22" s="95">
        <f>'DOE25'!G23</f>
        <v>20390.419999999998</v>
      </c>
      <c r="E22" s="95">
        <f>'DOE25'!H23</f>
        <v>225095.23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224417.13999999998</v>
      </c>
      <c r="D24" s="95">
        <f>'DOE25'!G25</f>
        <v>534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510813.83</v>
      </c>
      <c r="D28" s="95">
        <f>'DOE25'!G29</f>
        <v>0</v>
      </c>
      <c r="E28" s="95">
        <f>'DOE25'!H29</f>
        <v>28564.84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9054.8700000000008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3419.54</v>
      </c>
      <c r="E30" s="95">
        <f>'DOE25'!H31</f>
        <v>195.06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794285.84</v>
      </c>
      <c r="D32" s="41">
        <f>SUM(D22:D31)</f>
        <v>24343.96</v>
      </c>
      <c r="E32" s="41">
        <f>SUM(E22:E31)</f>
        <v>253855.13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206333.62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100000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109573.67</v>
      </c>
      <c r="D40" s="95">
        <f>'DOE25'!G41</f>
        <v>81.790000000000006</v>
      </c>
      <c r="E40" s="95">
        <f>'DOE25'!H41</f>
        <v>0</v>
      </c>
      <c r="F40" s="95">
        <f>'DOE25'!I41</f>
        <v>0</v>
      </c>
      <c r="G40" s="95">
        <f>'DOE25'!J41</f>
        <v>1419036.8800000001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711858.61999999918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1127765.9099999992</v>
      </c>
      <c r="D42" s="41">
        <f>SUM(D34:D41)</f>
        <v>81.790000000000006</v>
      </c>
      <c r="E42" s="41">
        <f>SUM(E34:E41)</f>
        <v>0</v>
      </c>
      <c r="F42" s="41">
        <f>SUM(F34:F41)</f>
        <v>0</v>
      </c>
      <c r="G42" s="41">
        <f>SUM(G34:G41)</f>
        <v>1419036.8800000001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1922051.7499999991</v>
      </c>
      <c r="D43" s="41">
        <f>D42+D32</f>
        <v>24425.75</v>
      </c>
      <c r="E43" s="41">
        <f>E42+E32</f>
        <v>253855.13</v>
      </c>
      <c r="F43" s="41">
        <f>F42+F32</f>
        <v>0</v>
      </c>
      <c r="G43" s="41">
        <f>G42+G32</f>
        <v>1419036.8800000001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4077917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3060238.8600000003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21067.58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2184.13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200726.91999999998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6906.59</v>
      </c>
      <c r="D53" s="95">
        <f>SUM('DOE25'!G90:G102)</f>
        <v>0</v>
      </c>
      <c r="E53" s="95">
        <f>SUM('DOE25'!H90:H102)</f>
        <v>381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3090397.16</v>
      </c>
      <c r="D54" s="130">
        <f>SUM(D49:D53)</f>
        <v>200726.91999999998</v>
      </c>
      <c r="E54" s="130">
        <f>SUM(E49:E53)</f>
        <v>381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7168314.1600000001</v>
      </c>
      <c r="D55" s="22">
        <f>D48+D54</f>
        <v>200726.91999999998</v>
      </c>
      <c r="E55" s="22">
        <f>E48+E54</f>
        <v>381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6598914.25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1105429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239340.75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7943684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373817.04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138803.19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4928.92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10950</v>
      </c>
      <c r="D69" s="95">
        <f>SUM('DOE25'!G123:G127)</f>
        <v>6941.32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528499.14999999991</v>
      </c>
      <c r="D70" s="130">
        <f>SUM(D64:D69)</f>
        <v>6941.32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8472183.1500000004</v>
      </c>
      <c r="D73" s="130">
        <f>SUM(D71:D72)+D70+D62</f>
        <v>6941.32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143288.29999999999</v>
      </c>
      <c r="D80" s="95">
        <f>SUM('DOE25'!G145:G153)</f>
        <v>369522.73</v>
      </c>
      <c r="E80" s="95">
        <f>SUM('DOE25'!H145:H153)</f>
        <v>1518509.9100000001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827.5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143288.29999999999</v>
      </c>
      <c r="D83" s="131">
        <f>SUM(D77:D82)</f>
        <v>369522.73</v>
      </c>
      <c r="E83" s="131">
        <f>SUM(E77:E82)</f>
        <v>1519337.4100000001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25786.97</v>
      </c>
      <c r="E88" s="95">
        <f>'DOE25'!H171</f>
        <v>0</v>
      </c>
      <c r="F88" s="95">
        <f>'DOE25'!I171</f>
        <v>0</v>
      </c>
      <c r="G88" s="95">
        <f>'DOE25'!J171</f>
        <v>50000</v>
      </c>
    </row>
    <row r="89" spans="1:7" x14ac:dyDescent="0.2">
      <c r="A89" t="s">
        <v>789</v>
      </c>
      <c r="B89" s="32" t="s">
        <v>211</v>
      </c>
      <c r="C89" s="95">
        <f>SUM('DOE25'!F172:F173)</f>
        <v>65887.17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171548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237435.16999999998</v>
      </c>
      <c r="D95" s="86">
        <f>SUM(D85:D94)</f>
        <v>25786.97</v>
      </c>
      <c r="E95" s="86">
        <f>SUM(E85:E94)</f>
        <v>0</v>
      </c>
      <c r="F95" s="86">
        <f>SUM(F85:F94)</f>
        <v>0</v>
      </c>
      <c r="G95" s="86">
        <f>SUM(G85:G94)</f>
        <v>50000</v>
      </c>
    </row>
    <row r="96" spans="1:7" ht="12.75" thickTop="1" thickBot="1" x14ac:dyDescent="0.25">
      <c r="A96" s="33" t="s">
        <v>796</v>
      </c>
      <c r="C96" s="86">
        <f>C55+C73+C83+C95</f>
        <v>16021220.780000001</v>
      </c>
      <c r="D96" s="86">
        <f>D55+D73+D83+D95</f>
        <v>602977.93999999994</v>
      </c>
      <c r="E96" s="86">
        <f>E55+E73+E83+E95</f>
        <v>1519718.4100000001</v>
      </c>
      <c r="F96" s="86">
        <f>F55+F73+F83+F95</f>
        <v>0</v>
      </c>
      <c r="G96" s="86">
        <f>G55+G73+G95</f>
        <v>50000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5017650.5199999996</v>
      </c>
      <c r="D101" s="24" t="s">
        <v>312</v>
      </c>
      <c r="E101" s="95">
        <f>('DOE25'!L268)+('DOE25'!L287)+('DOE25'!L306)</f>
        <v>723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3599997.54</v>
      </c>
      <c r="D102" s="24" t="s">
        <v>312</v>
      </c>
      <c r="E102" s="95">
        <f>('DOE25'!L269)+('DOE25'!L288)+('DOE25'!L307)</f>
        <v>795991.06999999983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36750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268746.52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179049.47000000003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8923144.5799999982</v>
      </c>
      <c r="D107" s="86">
        <f>SUM(D101:D106)</f>
        <v>0</v>
      </c>
      <c r="E107" s="86">
        <f>SUM(E101:E106)</f>
        <v>975763.5399999998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1098059.53</v>
      </c>
      <c r="D110" s="24" t="s">
        <v>312</v>
      </c>
      <c r="E110" s="95">
        <f>+('DOE25'!L273)+('DOE25'!L292)+('DOE25'!L311)</f>
        <v>95762.359999999986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414734.42999999993</v>
      </c>
      <c r="D111" s="24" t="s">
        <v>312</v>
      </c>
      <c r="E111" s="95">
        <f>+('DOE25'!L274)+('DOE25'!L293)+('DOE25'!L312)</f>
        <v>263484.14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959398.52</v>
      </c>
      <c r="D112" s="24" t="s">
        <v>312</v>
      </c>
      <c r="E112" s="95">
        <f>+('DOE25'!L275)+('DOE25'!L294)+('DOE25'!L313)</f>
        <v>88962.79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824719.9</v>
      </c>
      <c r="D113" s="24" t="s">
        <v>312</v>
      </c>
      <c r="E113" s="95">
        <f>+('DOE25'!L276)+('DOE25'!L295)+('DOE25'!L314)</f>
        <v>3750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1579.02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1277535.97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506894.33</v>
      </c>
      <c r="D116" s="24" t="s">
        <v>312</v>
      </c>
      <c r="E116" s="95">
        <f>+('DOE25'!L279)+('DOE25'!L298)+('DOE25'!L317)</f>
        <v>371.4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252344.44</v>
      </c>
      <c r="D117" s="24" t="s">
        <v>312</v>
      </c>
      <c r="E117" s="95">
        <f>+('DOE25'!L280)+('DOE25'!L299)+('DOE25'!L318)</f>
        <v>25737.010000000002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602977.93999999994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5335266.1400000006</v>
      </c>
      <c r="D120" s="86">
        <f>SUM(D110:D119)</f>
        <v>602977.93999999994</v>
      </c>
      <c r="E120" s="86">
        <f>SUM(E110:E119)</f>
        <v>478067.7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76528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765000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51637.5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65887.17</v>
      </c>
      <c r="F126" s="95">
        <f>'DOE25'!K373</f>
        <v>0</v>
      </c>
      <c r="G126" s="95">
        <f>'DOE25'!K426</f>
        <v>171548</v>
      </c>
    </row>
    <row r="127" spans="1:7" x14ac:dyDescent="0.2">
      <c r="A127" t="s">
        <v>256</v>
      </c>
      <c r="B127" s="32" t="s">
        <v>257</v>
      </c>
      <c r="C127" s="95">
        <f>'DOE25'!L255</f>
        <v>25786.97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50000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968952.47</v>
      </c>
      <c r="D136" s="141">
        <f>SUM(D122:D135)</f>
        <v>0</v>
      </c>
      <c r="E136" s="141">
        <f>SUM(E122:E135)</f>
        <v>65887.17</v>
      </c>
      <c r="F136" s="141">
        <f>SUM(F122:F135)</f>
        <v>0</v>
      </c>
      <c r="G136" s="141">
        <f>SUM(G122:G135)</f>
        <v>171548</v>
      </c>
    </row>
    <row r="137" spans="1:9" ht="12.75" thickTop="1" thickBot="1" x14ac:dyDescent="0.25">
      <c r="A137" s="33" t="s">
        <v>267</v>
      </c>
      <c r="C137" s="86">
        <f>(C107+C120+C136)</f>
        <v>15227363.189999999</v>
      </c>
      <c r="D137" s="86">
        <f>(D107+D120+D136)</f>
        <v>602977.93999999994</v>
      </c>
      <c r="E137" s="86">
        <f>(E107+E120+E136)</f>
        <v>1519718.4099999997</v>
      </c>
      <c r="F137" s="86">
        <f>(F107+F120+F136)</f>
        <v>0</v>
      </c>
      <c r="G137" s="86">
        <f>(G107+G120+G136)</f>
        <v>171548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08/02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08/11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7650000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4.375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1530000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1530000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765000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765000</v>
      </c>
    </row>
    <row r="151" spans="1:7" x14ac:dyDescent="0.2">
      <c r="A151" s="22" t="s">
        <v>35</v>
      </c>
      <c r="B151" s="137">
        <f>'DOE25'!F488</f>
        <v>765000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765000</v>
      </c>
    </row>
    <row r="152" spans="1:7" x14ac:dyDescent="0.2">
      <c r="A152" s="22" t="s">
        <v>36</v>
      </c>
      <c r="B152" s="137">
        <f>'DOE25'!F489</f>
        <v>17212.5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17212.5</v>
      </c>
    </row>
    <row r="153" spans="1:7" x14ac:dyDescent="0.2">
      <c r="A153" s="22" t="s">
        <v>37</v>
      </c>
      <c r="B153" s="137">
        <f>'DOE25'!F490</f>
        <v>782212.5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782212.5</v>
      </c>
    </row>
    <row r="154" spans="1:7" x14ac:dyDescent="0.2">
      <c r="A154" s="22" t="s">
        <v>38</v>
      </c>
      <c r="B154" s="137">
        <f>'DOE25'!F491</f>
        <v>765000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765000</v>
      </c>
    </row>
    <row r="155" spans="1:7" x14ac:dyDescent="0.2">
      <c r="A155" s="22" t="s">
        <v>39</v>
      </c>
      <c r="B155" s="137">
        <f>'DOE25'!F492</f>
        <v>17212.5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17212.5</v>
      </c>
    </row>
    <row r="156" spans="1:7" x14ac:dyDescent="0.2">
      <c r="A156" s="22" t="s">
        <v>269</v>
      </c>
      <c r="B156" s="137">
        <f>'DOE25'!F493</f>
        <v>782212.5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782212.5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77C6-5995-4E78-A6C6-C5C7596EC90D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771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FARMINGTON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10790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10181</v>
      </c>
    </row>
    <row r="7" spans="1:4" x14ac:dyDescent="0.2">
      <c r="B7" t="s">
        <v>736</v>
      </c>
      <c r="C7" s="179">
        <f>IF('DOE25'!I655+'DOE25'!I660=0,0,ROUND('DOE25'!I662,0))</f>
        <v>10596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5018374</v>
      </c>
      <c r="D10" s="182">
        <f>ROUND((C10/$C$28)*100,1)</f>
        <v>31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4395989</v>
      </c>
      <c r="D11" s="182">
        <f>ROUND((C11/$C$28)*100,1)</f>
        <v>27.2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36750</v>
      </c>
      <c r="D12" s="182">
        <f>ROUND((C12/$C$28)*100,1)</f>
        <v>0.2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268747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1193822</v>
      </c>
      <c r="D15" s="182">
        <f t="shared" ref="D15:D27" si="0">ROUND((C15/$C$28)*100,1)</f>
        <v>7.4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678219</v>
      </c>
      <c r="D16" s="182">
        <f t="shared" si="0"/>
        <v>4.2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1326443</v>
      </c>
      <c r="D17" s="182">
        <f t="shared" si="0"/>
        <v>8.1999999999999993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828470</v>
      </c>
      <c r="D18" s="182">
        <f t="shared" si="0"/>
        <v>5.0999999999999996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1579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1277536</v>
      </c>
      <c r="D20" s="182">
        <f t="shared" si="0"/>
        <v>7.9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507266</v>
      </c>
      <c r="D21" s="182">
        <f t="shared" si="0"/>
        <v>3.1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179049</v>
      </c>
      <c r="D24" s="182">
        <f t="shared" si="0"/>
        <v>1.1000000000000001</v>
      </c>
    </row>
    <row r="25" spans="1:4" x14ac:dyDescent="0.2">
      <c r="A25">
        <v>5120</v>
      </c>
      <c r="B25" t="s">
        <v>751</v>
      </c>
      <c r="C25" s="179">
        <f>ROUND('DOE25'!L253+'DOE25'!L334,0)</f>
        <v>51638</v>
      </c>
      <c r="D25" s="182">
        <f t="shared" si="0"/>
        <v>0.3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402251.08</v>
      </c>
      <c r="D27" s="182">
        <f t="shared" si="0"/>
        <v>2.5</v>
      </c>
    </row>
    <row r="28" spans="1:4" x14ac:dyDescent="0.2">
      <c r="B28" s="187" t="s">
        <v>754</v>
      </c>
      <c r="C28" s="180">
        <f>SUM(C10:C27)</f>
        <v>16166133.08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76528</v>
      </c>
    </row>
    <row r="30" spans="1:4" x14ac:dyDescent="0.2">
      <c r="B30" s="187" t="s">
        <v>760</v>
      </c>
      <c r="C30" s="180">
        <f>SUM(C28:C29)</f>
        <v>16242661.08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765000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4077917</v>
      </c>
      <c r="D35" s="182">
        <f t="shared" ref="D35:D40" si="1">ROUND((C35/$C$41)*100,1)</f>
        <v>23.1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3090778.16</v>
      </c>
      <c r="D36" s="182">
        <f t="shared" si="1"/>
        <v>17.5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7943684</v>
      </c>
      <c r="D37" s="182">
        <f t="shared" si="1"/>
        <v>44.9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535440</v>
      </c>
      <c r="D38" s="182">
        <f t="shared" si="1"/>
        <v>3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2032148</v>
      </c>
      <c r="D39" s="182">
        <f t="shared" si="1"/>
        <v>11.5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17679967.16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743E-1431-47BD-BB55-F3BA601A2441}">
  <sheetPr>
    <tabColor indexed="17"/>
  </sheetPr>
  <dimension ref="A1:IV90"/>
  <sheetViews>
    <sheetView workbookViewId="0">
      <pane ySplit="3" topLeftCell="A4" activePane="bottomLeft" state="frozen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801</v>
      </c>
      <c r="B1" s="291"/>
      <c r="C1" s="291"/>
      <c r="D1" s="291"/>
      <c r="E1" s="291"/>
      <c r="F1" s="291"/>
      <c r="G1" s="291"/>
      <c r="H1" s="291"/>
      <c r="I1" s="291"/>
      <c r="J1" s="214"/>
      <c r="K1" s="214"/>
      <c r="L1" s="214"/>
      <c r="M1" s="215"/>
    </row>
    <row r="2" spans="1:26" ht="12.75" x14ac:dyDescent="0.2">
      <c r="A2" s="288" t="s">
        <v>798</v>
      </c>
      <c r="B2" s="289"/>
      <c r="C2" s="289"/>
      <c r="D2" s="289"/>
      <c r="E2" s="289"/>
      <c r="F2" s="294" t="str">
        <f>'DOE25'!A2</f>
        <v>FARMINGTON SCHOOL DISTRICT</v>
      </c>
      <c r="G2" s="295"/>
      <c r="H2" s="295"/>
      <c r="I2" s="295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2" t="s">
        <v>802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9">
        <v>5</v>
      </c>
      <c r="B4" s="220">
        <v>11</v>
      </c>
      <c r="C4" s="287" t="s">
        <v>895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5</v>
      </c>
      <c r="B5" s="220">
        <v>14</v>
      </c>
      <c r="C5" s="287" t="s">
        <v>896</v>
      </c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8" t="s">
        <v>879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2"/>
      <c r="B74" s="212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2"/>
      <c r="B75" s="212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2"/>
      <c r="B76" s="212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2"/>
      <c r="B77" s="212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2"/>
      <c r="B78" s="212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2"/>
      <c r="B79" s="212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2"/>
      <c r="B80" s="212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2"/>
      <c r="B81" s="212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2"/>
      <c r="B82" s="212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2"/>
      <c r="B83" s="212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2"/>
      <c r="B84" s="212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2"/>
      <c r="B85" s="212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2"/>
      <c r="B86" s="212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2"/>
      <c r="B87" s="212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2"/>
      <c r="B88" s="212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2"/>
      <c r="B89" s="212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2"/>
      <c r="B90" s="212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B3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2011-11-02T12:45:42Z</cp:lastPrinted>
  <dcterms:created xsi:type="dcterms:W3CDTF">1997-12-04T19:04:30Z</dcterms:created>
  <dcterms:modified xsi:type="dcterms:W3CDTF">2025-01-09T20:40:06Z</dcterms:modified>
</cp:coreProperties>
</file>