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58ECAF7-EA21-4F3F-A0DC-16A8A900F6D9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C3796C40-6564-446D-A8DF-622505D7B25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8" i="1" l="1"/>
  <c r="G513" i="1"/>
  <c r="G517" i="1"/>
  <c r="G519" i="1" s="1"/>
  <c r="G535" i="1" s="1"/>
  <c r="G511" i="1"/>
  <c r="L511" i="1" s="1"/>
  <c r="F523" i="1"/>
  <c r="F522" i="1"/>
  <c r="L522" i="1" s="1"/>
  <c r="H540" i="1" s="1"/>
  <c r="F521" i="1"/>
  <c r="F524" i="1" s="1"/>
  <c r="F572" i="1"/>
  <c r="I594" i="1"/>
  <c r="G653" i="1" s="1"/>
  <c r="G462" i="1"/>
  <c r="G464" i="1" s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17" i="2" s="1"/>
  <c r="L219" i="1"/>
  <c r="L237" i="1"/>
  <c r="F5" i="13"/>
  <c r="G5" i="13"/>
  <c r="L189" i="1"/>
  <c r="L203" i="1" s="1"/>
  <c r="L190" i="1"/>
  <c r="L192" i="1"/>
  <c r="C104" i="2" s="1"/>
  <c r="L207" i="1"/>
  <c r="L221" i="1" s="1"/>
  <c r="L208" i="1"/>
  <c r="C11" i="10" s="1"/>
  <c r="L210" i="1"/>
  <c r="L225" i="1"/>
  <c r="L226" i="1"/>
  <c r="L227" i="1"/>
  <c r="L228" i="1"/>
  <c r="L191" i="1"/>
  <c r="C12" i="10" s="1"/>
  <c r="L209" i="1"/>
  <c r="F6" i="13"/>
  <c r="G6" i="13"/>
  <c r="L194" i="1"/>
  <c r="L212" i="1"/>
  <c r="L230" i="1"/>
  <c r="F7" i="13"/>
  <c r="G7" i="13"/>
  <c r="L195" i="1"/>
  <c r="L213" i="1"/>
  <c r="L231" i="1"/>
  <c r="D7" i="13"/>
  <c r="C7" i="13"/>
  <c r="F12" i="13"/>
  <c r="G12" i="13"/>
  <c r="L197" i="1"/>
  <c r="C18" i="10" s="1"/>
  <c r="L215" i="1"/>
  <c r="L233" i="1"/>
  <c r="F14" i="13"/>
  <c r="G14" i="13"/>
  <c r="L199" i="1"/>
  <c r="L217" i="1"/>
  <c r="L235" i="1"/>
  <c r="D14" i="13"/>
  <c r="C14" i="13"/>
  <c r="F15" i="13"/>
  <c r="G15" i="13"/>
  <c r="L200" i="1"/>
  <c r="H637" i="1" s="1"/>
  <c r="L218" i="1"/>
  <c r="G640" i="1" s="1"/>
  <c r="J640" i="1" s="1"/>
  <c r="L236" i="1"/>
  <c r="H652" i="1" s="1"/>
  <c r="F17" i="13"/>
  <c r="D17" i="13" s="1"/>
  <c r="C17" i="13" s="1"/>
  <c r="G17" i="13"/>
  <c r="L243" i="1"/>
  <c r="F18" i="13"/>
  <c r="G18" i="13"/>
  <c r="D18" i="13" s="1"/>
  <c r="C18" i="13" s="1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G651" i="1" s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L269" i="1"/>
  <c r="L282" i="1"/>
  <c r="L270" i="1"/>
  <c r="L271" i="1"/>
  <c r="L273" i="1"/>
  <c r="L274" i="1"/>
  <c r="C16" i="10" s="1"/>
  <c r="L275" i="1"/>
  <c r="E112" i="2" s="1"/>
  <c r="L276" i="1"/>
  <c r="L277" i="1"/>
  <c r="L278" i="1"/>
  <c r="L279" i="1"/>
  <c r="L280" i="1"/>
  <c r="L287" i="1"/>
  <c r="E101" i="2" s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E103" i="2" s="1"/>
  <c r="L309" i="1"/>
  <c r="L311" i="1"/>
  <c r="L312" i="1"/>
  <c r="L313" i="1"/>
  <c r="L314" i="1"/>
  <c r="L315" i="1"/>
  <c r="L316" i="1"/>
  <c r="L317" i="1"/>
  <c r="E116" i="2" s="1"/>
  <c r="L318" i="1"/>
  <c r="C17" i="10" s="1"/>
  <c r="L325" i="1"/>
  <c r="L326" i="1"/>
  <c r="L327" i="1"/>
  <c r="L252" i="1"/>
  <c r="L253" i="1"/>
  <c r="H25" i="13" s="1"/>
  <c r="L333" i="1"/>
  <c r="L334" i="1"/>
  <c r="L247" i="1"/>
  <c r="L328" i="1"/>
  <c r="C29" i="10" s="1"/>
  <c r="F22" i="13"/>
  <c r="C22" i="13" s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C133" i="2" s="1"/>
  <c r="J52" i="1"/>
  <c r="G48" i="2"/>
  <c r="G55" i="2" s="1"/>
  <c r="G51" i="2"/>
  <c r="G54" i="2" s="1"/>
  <c r="G53" i="2"/>
  <c r="F2" i="11"/>
  <c r="L603" i="1"/>
  <c r="L602" i="1"/>
  <c r="L601" i="1"/>
  <c r="L604" i="1" s="1"/>
  <c r="C40" i="10"/>
  <c r="F52" i="1"/>
  <c r="F104" i="1" s="1"/>
  <c r="G52" i="1"/>
  <c r="D48" i="2" s="1"/>
  <c r="H52" i="1"/>
  <c r="I52" i="1"/>
  <c r="I104" i="1" s="1"/>
  <c r="F71" i="1"/>
  <c r="C49" i="2" s="1"/>
  <c r="C54" i="2" s="1"/>
  <c r="F103" i="1"/>
  <c r="G103" i="1"/>
  <c r="G104" i="1"/>
  <c r="G185" i="1" s="1"/>
  <c r="G618" i="1" s="1"/>
  <c r="J618" i="1" s="1"/>
  <c r="J103" i="1"/>
  <c r="J104" i="1" s="1"/>
  <c r="J185" i="1" s="1"/>
  <c r="F86" i="1"/>
  <c r="H71" i="1"/>
  <c r="H86" i="1"/>
  <c r="H103" i="1"/>
  <c r="H104" i="1"/>
  <c r="I103" i="1"/>
  <c r="F113" i="1"/>
  <c r="F128" i="1"/>
  <c r="F132" i="1" s="1"/>
  <c r="G113" i="1"/>
  <c r="G128" i="1"/>
  <c r="G132" i="1" s="1"/>
  <c r="G154" i="1"/>
  <c r="H618" i="1"/>
  <c r="H113" i="1"/>
  <c r="H128" i="1"/>
  <c r="H132" i="1" s="1"/>
  <c r="I113" i="1"/>
  <c r="I128" i="1"/>
  <c r="I132" i="1" s="1"/>
  <c r="J113" i="1"/>
  <c r="J132" i="1" s="1"/>
  <c r="J128" i="1"/>
  <c r="F139" i="1"/>
  <c r="F154" i="1"/>
  <c r="F161" i="1" s="1"/>
  <c r="C39" i="10" s="1"/>
  <c r="G139" i="1"/>
  <c r="G161" i="1" s="1"/>
  <c r="H139" i="1"/>
  <c r="H161" i="1" s="1"/>
  <c r="H154" i="1"/>
  <c r="I139" i="1"/>
  <c r="I154" i="1"/>
  <c r="I161" i="1"/>
  <c r="C13" i="10"/>
  <c r="C15" i="10"/>
  <c r="C20" i="10"/>
  <c r="L242" i="1"/>
  <c r="C23" i="10" s="1"/>
  <c r="L324" i="1"/>
  <c r="E105" i="2" s="1"/>
  <c r="L246" i="1"/>
  <c r="C24" i="10"/>
  <c r="C25" i="10"/>
  <c r="L260" i="1"/>
  <c r="C134" i="2" s="1"/>
  <c r="L261" i="1"/>
  <c r="C26" i="10" s="1"/>
  <c r="L341" i="1"/>
  <c r="L342" i="1"/>
  <c r="I655" i="1"/>
  <c r="L239" i="1"/>
  <c r="H650" i="1" s="1"/>
  <c r="F652" i="1"/>
  <c r="G652" i="1"/>
  <c r="I660" i="1"/>
  <c r="I659" i="1"/>
  <c r="C42" i="10"/>
  <c r="C32" i="10"/>
  <c r="L366" i="1"/>
  <c r="L367" i="1"/>
  <c r="L368" i="1"/>
  <c r="L369" i="1"/>
  <c r="L370" i="1"/>
  <c r="L374" i="1" s="1"/>
  <c r="G626" i="1" s="1"/>
  <c r="J626" i="1" s="1"/>
  <c r="L371" i="1"/>
  <c r="L372" i="1"/>
  <c r="B2" i="10"/>
  <c r="L336" i="1"/>
  <c r="E126" i="2" s="1"/>
  <c r="L337" i="1"/>
  <c r="L343" i="1"/>
  <c r="L338" i="1"/>
  <c r="E129" i="2" s="1"/>
  <c r="L339" i="1"/>
  <c r="K343" i="1"/>
  <c r="L512" i="1"/>
  <c r="F540" i="1" s="1"/>
  <c r="L513" i="1"/>
  <c r="F541" i="1"/>
  <c r="L516" i="1"/>
  <c r="G539" i="1"/>
  <c r="L517" i="1"/>
  <c r="G540" i="1" s="1"/>
  <c r="G542" i="1" s="1"/>
  <c r="L518" i="1"/>
  <c r="G541" i="1" s="1"/>
  <c r="L521" i="1"/>
  <c r="H539" i="1"/>
  <c r="L523" i="1"/>
  <c r="H541" i="1" s="1"/>
  <c r="L526" i="1"/>
  <c r="I539" i="1" s="1"/>
  <c r="I542" i="1" s="1"/>
  <c r="L527" i="1"/>
  <c r="I540" i="1"/>
  <c r="L528" i="1"/>
  <c r="I541" i="1"/>
  <c r="L531" i="1"/>
  <c r="J539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C19" i="2" s="1"/>
  <c r="D9" i="2"/>
  <c r="E9" i="2"/>
  <c r="F9" i="2"/>
  <c r="I431" i="1"/>
  <c r="I438" i="1" s="1"/>
  <c r="G632" i="1" s="1"/>
  <c r="J9" i="1"/>
  <c r="G9" i="2" s="1"/>
  <c r="C10" i="2"/>
  <c r="D10" i="2"/>
  <c r="D19" i="2" s="1"/>
  <c r="E10" i="2"/>
  <c r="E19" i="2" s="1"/>
  <c r="F10" i="2"/>
  <c r="F19" i="2" s="1"/>
  <c r="I432" i="1"/>
  <c r="J10" i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C32" i="2" s="1"/>
  <c r="D22" i="2"/>
  <c r="E22" i="2"/>
  <c r="F22" i="2"/>
  <c r="I440" i="1"/>
  <c r="J23" i="1" s="1"/>
  <c r="C23" i="2"/>
  <c r="D23" i="2"/>
  <c r="E23" i="2"/>
  <c r="E32" i="2" s="1"/>
  <c r="F23" i="2"/>
  <c r="F32" i="2" s="1"/>
  <c r="I441" i="1"/>
  <c r="J24" i="1"/>
  <c r="G23" i="2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J32" i="1"/>
  <c r="G31" i="2" s="1"/>
  <c r="C34" i="2"/>
  <c r="D34" i="2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D42" i="2" s="1"/>
  <c r="D43" i="2" s="1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E48" i="2"/>
  <c r="E55" i="2" s="1"/>
  <c r="E96" i="2" s="1"/>
  <c r="F48" i="2"/>
  <c r="E49" i="2"/>
  <c r="E54" i="2" s="1"/>
  <c r="C50" i="2"/>
  <c r="E50" i="2"/>
  <c r="C51" i="2"/>
  <c r="D51" i="2"/>
  <c r="D54" i="2" s="1"/>
  <c r="E51" i="2"/>
  <c r="F51" i="2"/>
  <c r="D52" i="2"/>
  <c r="C53" i="2"/>
  <c r="D53" i="2"/>
  <c r="E53" i="2"/>
  <c r="F53" i="2"/>
  <c r="F54" i="2" s="1"/>
  <c r="F55" i="2" s="1"/>
  <c r="C58" i="2"/>
  <c r="C62" i="2" s="1"/>
  <c r="C59" i="2"/>
  <c r="C61" i="2"/>
  <c r="D61" i="2"/>
  <c r="E61" i="2"/>
  <c r="E62" i="2"/>
  <c r="F61" i="2"/>
  <c r="F62" i="2" s="1"/>
  <c r="G61" i="2"/>
  <c r="G62" i="2"/>
  <c r="D62" i="2"/>
  <c r="C64" i="2"/>
  <c r="C70" i="2" s="1"/>
  <c r="C73" i="2" s="1"/>
  <c r="F64" i="2"/>
  <c r="F70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C83" i="2" s="1"/>
  <c r="D77" i="2"/>
  <c r="D83" i="2" s="1"/>
  <c r="E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C95" i="2" s="1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D95" i="2" s="1"/>
  <c r="E90" i="2"/>
  <c r="E91" i="2"/>
  <c r="E92" i="2"/>
  <c r="E93" i="2"/>
  <c r="E94" i="2"/>
  <c r="E95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E104" i="2"/>
  <c r="E106" i="2"/>
  <c r="C102" i="2"/>
  <c r="D107" i="2"/>
  <c r="F107" i="2"/>
  <c r="G107" i="2"/>
  <c r="C110" i="2"/>
  <c r="E110" i="2"/>
  <c r="C111" i="2"/>
  <c r="E111" i="2"/>
  <c r="C112" i="2"/>
  <c r="C115" i="2"/>
  <c r="C116" i="2"/>
  <c r="E113" i="2"/>
  <c r="E114" i="2"/>
  <c r="E115" i="2"/>
  <c r="F120" i="2"/>
  <c r="G120" i="2"/>
  <c r="C122" i="2"/>
  <c r="D126" i="2"/>
  <c r="D136" i="2" s="1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/>
  <c r="L257" i="1"/>
  <c r="C129" i="2" s="1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 s="1"/>
  <c r="G490" i="1"/>
  <c r="C153" i="2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 s="1"/>
  <c r="H493" i="1"/>
  <c r="D156" i="2"/>
  <c r="I493" i="1"/>
  <c r="E156" i="2" s="1"/>
  <c r="J493" i="1"/>
  <c r="F156" i="2"/>
  <c r="F19" i="1"/>
  <c r="G19" i="1"/>
  <c r="H19" i="1"/>
  <c r="G609" i="1" s="1"/>
  <c r="J609" i="1" s="1"/>
  <c r="I19" i="1"/>
  <c r="F33" i="1"/>
  <c r="G33" i="1"/>
  <c r="H33" i="1"/>
  <c r="I33" i="1"/>
  <c r="F43" i="1"/>
  <c r="F44" i="1" s="1"/>
  <c r="H607" i="1" s="1"/>
  <c r="G607" i="1"/>
  <c r="J607" i="1" s="1"/>
  <c r="G43" i="1"/>
  <c r="H43" i="1"/>
  <c r="H44" i="1" s="1"/>
  <c r="H609" i="1" s="1"/>
  <c r="I43" i="1"/>
  <c r="G44" i="1"/>
  <c r="I44" i="1"/>
  <c r="H610" i="1" s="1"/>
  <c r="F169" i="1"/>
  <c r="I169" i="1"/>
  <c r="I184" i="1" s="1"/>
  <c r="F175" i="1"/>
  <c r="F184" i="1" s="1"/>
  <c r="G175" i="1"/>
  <c r="H175" i="1"/>
  <c r="H184" i="1" s="1"/>
  <c r="I175" i="1"/>
  <c r="J175" i="1"/>
  <c r="J184" i="1"/>
  <c r="F180" i="1"/>
  <c r="G180" i="1"/>
  <c r="H180" i="1"/>
  <c r="I180" i="1"/>
  <c r="G184" i="1"/>
  <c r="F203" i="1"/>
  <c r="F249" i="1" s="1"/>
  <c r="F263" i="1" s="1"/>
  <c r="G203" i="1"/>
  <c r="H203" i="1"/>
  <c r="I203" i="1"/>
  <c r="I221" i="1"/>
  <c r="I239" i="1"/>
  <c r="I249" i="1"/>
  <c r="I263" i="1" s="1"/>
  <c r="J203" i="1"/>
  <c r="J249" i="1" s="1"/>
  <c r="K203" i="1"/>
  <c r="K249" i="1" s="1"/>
  <c r="K263" i="1" s="1"/>
  <c r="K221" i="1"/>
  <c r="K239" i="1"/>
  <c r="F221" i="1"/>
  <c r="G221" i="1"/>
  <c r="G248" i="1"/>
  <c r="G239" i="1"/>
  <c r="G249" i="1"/>
  <c r="G263" i="1" s="1"/>
  <c r="H221" i="1"/>
  <c r="H249" i="1" s="1"/>
  <c r="H263" i="1" s="1"/>
  <c r="J221" i="1"/>
  <c r="F239" i="1"/>
  <c r="H239" i="1"/>
  <c r="J239" i="1"/>
  <c r="J594" i="1" s="1"/>
  <c r="F248" i="1"/>
  <c r="L248" i="1" s="1"/>
  <c r="H622" i="1"/>
  <c r="H248" i="1"/>
  <c r="I248" i="1"/>
  <c r="J248" i="1"/>
  <c r="K248" i="1"/>
  <c r="F282" i="1"/>
  <c r="G282" i="1"/>
  <c r="G330" i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K330" i="1"/>
  <c r="K344" i="1" s="1"/>
  <c r="F330" i="1"/>
  <c r="F344" i="1"/>
  <c r="J330" i="1"/>
  <c r="J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H400" i="1"/>
  <c r="H634" i="1" s="1"/>
  <c r="J634" i="1" s="1"/>
  <c r="I400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38" i="1"/>
  <c r="G629" i="1" s="1"/>
  <c r="J629" i="1" s="1"/>
  <c r="G438" i="1"/>
  <c r="G630" i="1" s="1"/>
  <c r="J630" i="1" s="1"/>
  <c r="H438" i="1"/>
  <c r="F444" i="1"/>
  <c r="G444" i="1"/>
  <c r="H444" i="1"/>
  <c r="H451" i="1" s="1"/>
  <c r="H631" i="1" s="1"/>
  <c r="F450" i="1"/>
  <c r="G450" i="1"/>
  <c r="H450" i="1"/>
  <c r="F451" i="1"/>
  <c r="H629" i="1" s="1"/>
  <c r="G451" i="1"/>
  <c r="H630" i="1" s="1"/>
  <c r="F460" i="1"/>
  <c r="F466" i="1" s="1"/>
  <c r="H612" i="1" s="1"/>
  <c r="G460" i="1"/>
  <c r="G466" i="1" s="1"/>
  <c r="H613" i="1" s="1"/>
  <c r="H460" i="1"/>
  <c r="H466" i="1" s="1"/>
  <c r="H614" i="1" s="1"/>
  <c r="I460" i="1"/>
  <c r="I466" i="1" s="1"/>
  <c r="H615" i="1" s="1"/>
  <c r="J460" i="1"/>
  <c r="J466" i="1" s="1"/>
  <c r="H616" i="1" s="1"/>
  <c r="F464" i="1"/>
  <c r="G613" i="1"/>
  <c r="J613" i="1" s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19" i="1"/>
  <c r="G514" i="1"/>
  <c r="H514" i="1"/>
  <c r="H535" i="1" s="1"/>
  <c r="H534" i="1"/>
  <c r="H529" i="1"/>
  <c r="H524" i="1"/>
  <c r="H519" i="1"/>
  <c r="I514" i="1"/>
  <c r="I535" i="1" s="1"/>
  <c r="J514" i="1"/>
  <c r="J535" i="1" s="1"/>
  <c r="J524" i="1"/>
  <c r="K514" i="1"/>
  <c r="K535" i="1" s="1"/>
  <c r="L529" i="1"/>
  <c r="I519" i="1"/>
  <c r="J519" i="1"/>
  <c r="K519" i="1"/>
  <c r="G524" i="1"/>
  <c r="I524" i="1"/>
  <c r="K524" i="1"/>
  <c r="F529" i="1"/>
  <c r="G529" i="1"/>
  <c r="I529" i="1"/>
  <c r="J529" i="1"/>
  <c r="K529" i="1"/>
  <c r="F534" i="1"/>
  <c r="G534" i="1"/>
  <c r="I534" i="1"/>
  <c r="J534" i="1"/>
  <c r="K534" i="1"/>
  <c r="L547" i="1"/>
  <c r="L550" i="1" s="1"/>
  <c r="L561" i="1" s="1"/>
  <c r="L548" i="1"/>
  <c r="L549" i="1"/>
  <c r="F550" i="1"/>
  <c r="G550" i="1"/>
  <c r="G561" i="1" s="1"/>
  <c r="G555" i="1"/>
  <c r="G560" i="1"/>
  <c r="H550" i="1"/>
  <c r="H561" i="1" s="1"/>
  <c r="I550" i="1"/>
  <c r="I561" i="1" s="1"/>
  <c r="J550" i="1"/>
  <c r="J561" i="1" s="1"/>
  <c r="K550" i="1"/>
  <c r="K561" i="1" s="1"/>
  <c r="L552" i="1"/>
  <c r="L553" i="1"/>
  <c r="L554" i="1"/>
  <c r="L555" i="1"/>
  <c r="F555" i="1"/>
  <c r="H555" i="1"/>
  <c r="I555" i="1"/>
  <c r="J555" i="1"/>
  <c r="K555" i="1"/>
  <c r="L557" i="1"/>
  <c r="L560" i="1" s="1"/>
  <c r="L558" i="1"/>
  <c r="L559" i="1"/>
  <c r="F560" i="1"/>
  <c r="H560" i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 s="1"/>
  <c r="J641" i="1" s="1"/>
  <c r="K592" i="1"/>
  <c r="K593" i="1"/>
  <c r="F604" i="1"/>
  <c r="G604" i="1"/>
  <c r="H604" i="1"/>
  <c r="I604" i="1"/>
  <c r="J604" i="1"/>
  <c r="K604" i="1"/>
  <c r="G608" i="1"/>
  <c r="J608" i="1" s="1"/>
  <c r="H608" i="1"/>
  <c r="G610" i="1"/>
  <c r="G615" i="1"/>
  <c r="J615" i="1" s="1"/>
  <c r="H617" i="1"/>
  <c r="H619" i="1"/>
  <c r="H620" i="1"/>
  <c r="H621" i="1"/>
  <c r="H623" i="1"/>
  <c r="H626" i="1"/>
  <c r="H627" i="1"/>
  <c r="H628" i="1"/>
  <c r="G631" i="1"/>
  <c r="G633" i="1"/>
  <c r="G634" i="1"/>
  <c r="G635" i="1"/>
  <c r="J635" i="1" s="1"/>
  <c r="G639" i="1"/>
  <c r="J639" i="1" s="1"/>
  <c r="H640" i="1"/>
  <c r="G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C42" i="2"/>
  <c r="C43" i="2" s="1"/>
  <c r="G152" i="2"/>
  <c r="F95" i="2"/>
  <c r="E83" i="2"/>
  <c r="A13" i="12"/>
  <c r="D15" i="13"/>
  <c r="C15" i="13"/>
  <c r="D12" i="13"/>
  <c r="C12" i="13" s="1"/>
  <c r="D6" i="13"/>
  <c r="C6" i="13" s="1"/>
  <c r="C136" i="2" l="1"/>
  <c r="I652" i="1"/>
  <c r="H185" i="1"/>
  <c r="G619" i="1" s="1"/>
  <c r="J619" i="1" s="1"/>
  <c r="D55" i="2"/>
  <c r="D96" i="2" s="1"/>
  <c r="E107" i="2"/>
  <c r="G156" i="2"/>
  <c r="G137" i="2"/>
  <c r="G36" i="2"/>
  <c r="G42" i="2" s="1"/>
  <c r="G43" i="2" s="1"/>
  <c r="J43" i="1"/>
  <c r="J542" i="1"/>
  <c r="F185" i="1"/>
  <c r="G617" i="1" s="1"/>
  <c r="J617" i="1" s="1"/>
  <c r="F535" i="1"/>
  <c r="F73" i="2"/>
  <c r="F96" i="2"/>
  <c r="L249" i="1"/>
  <c r="L263" i="1" s="1"/>
  <c r="G622" i="1" s="1"/>
  <c r="J622" i="1" s="1"/>
  <c r="F650" i="1"/>
  <c r="G19" i="2"/>
  <c r="K540" i="1"/>
  <c r="G33" i="13"/>
  <c r="J33" i="1"/>
  <c r="G22" i="2"/>
  <c r="G32" i="2" s="1"/>
  <c r="G621" i="1"/>
  <c r="J621" i="1" s="1"/>
  <c r="G636" i="1"/>
  <c r="J595" i="1"/>
  <c r="H653" i="1"/>
  <c r="H654" i="1" s="1"/>
  <c r="J610" i="1"/>
  <c r="H638" i="1"/>
  <c r="J263" i="1"/>
  <c r="G153" i="2"/>
  <c r="F33" i="13"/>
  <c r="C8" i="13"/>
  <c r="L514" i="1"/>
  <c r="F539" i="1"/>
  <c r="J633" i="1"/>
  <c r="H542" i="1"/>
  <c r="C25" i="13"/>
  <c r="H33" i="13"/>
  <c r="J631" i="1"/>
  <c r="L524" i="1"/>
  <c r="C38" i="10"/>
  <c r="G96" i="2"/>
  <c r="K541" i="1"/>
  <c r="I185" i="1"/>
  <c r="G620" i="1" s="1"/>
  <c r="J620" i="1" s="1"/>
  <c r="L301" i="1"/>
  <c r="L330" i="1" s="1"/>
  <c r="L344" i="1" s="1"/>
  <c r="G623" i="1" s="1"/>
  <c r="J623" i="1" s="1"/>
  <c r="H625" i="1"/>
  <c r="I450" i="1"/>
  <c r="I451" i="1" s="1"/>
  <c r="H632" i="1" s="1"/>
  <c r="J632" i="1" s="1"/>
  <c r="C114" i="2"/>
  <c r="C106" i="2"/>
  <c r="C101" i="2"/>
  <c r="C21" i="10"/>
  <c r="C35" i="10"/>
  <c r="D5" i="13"/>
  <c r="H594" i="1"/>
  <c r="J19" i="1"/>
  <c r="G611" i="1" s="1"/>
  <c r="G614" i="1"/>
  <c r="J614" i="1" s="1"/>
  <c r="C113" i="2"/>
  <c r="C120" i="2" s="1"/>
  <c r="C105" i="2"/>
  <c r="C48" i="2"/>
  <c r="C55" i="2" s="1"/>
  <c r="C96" i="2" s="1"/>
  <c r="E16" i="13"/>
  <c r="C16" i="13" s="1"/>
  <c r="C10" i="10"/>
  <c r="L519" i="1"/>
  <c r="D119" i="2"/>
  <c r="D120" i="2" s="1"/>
  <c r="D137" i="2" s="1"/>
  <c r="C19" i="10"/>
  <c r="L354" i="1"/>
  <c r="K493" i="1"/>
  <c r="L400" i="1"/>
  <c r="E117" i="2"/>
  <c r="E120" i="2" s="1"/>
  <c r="C103" i="2"/>
  <c r="F651" i="1"/>
  <c r="I651" i="1" s="1"/>
  <c r="G612" i="1"/>
  <c r="J612" i="1" s="1"/>
  <c r="L534" i="1"/>
  <c r="H651" i="1"/>
  <c r="K490" i="1"/>
  <c r="F122" i="2"/>
  <c r="F136" i="2" s="1"/>
  <c r="F137" i="2" s="1"/>
  <c r="I595" i="1"/>
  <c r="E122" i="2"/>
  <c r="E136" i="2" s="1"/>
  <c r="H657" i="1" l="1"/>
  <c r="H662" i="1"/>
  <c r="C6" i="10" s="1"/>
  <c r="C107" i="2"/>
  <c r="C137" i="2" s="1"/>
  <c r="G616" i="1"/>
  <c r="J616" i="1" s="1"/>
  <c r="J44" i="1"/>
  <c r="H611" i="1" s="1"/>
  <c r="J611" i="1" s="1"/>
  <c r="C28" i="10"/>
  <c r="D10" i="10" s="1"/>
  <c r="G650" i="1"/>
  <c r="G654" i="1" s="1"/>
  <c r="E137" i="2"/>
  <c r="D31" i="13"/>
  <c r="C31" i="13" s="1"/>
  <c r="G627" i="1"/>
  <c r="J627" i="1" s="1"/>
  <c r="H636" i="1"/>
  <c r="F542" i="1"/>
  <c r="K539" i="1"/>
  <c r="K542" i="1" s="1"/>
  <c r="F654" i="1"/>
  <c r="I650" i="1"/>
  <c r="I654" i="1" s="1"/>
  <c r="C27" i="10"/>
  <c r="G625" i="1"/>
  <c r="J625" i="1" s="1"/>
  <c r="H595" i="1"/>
  <c r="F653" i="1"/>
  <c r="I653" i="1" s="1"/>
  <c r="K594" i="1"/>
  <c r="K595" i="1" s="1"/>
  <c r="G638" i="1" s="1"/>
  <c r="J638" i="1" s="1"/>
  <c r="L535" i="1"/>
  <c r="C5" i="13"/>
  <c r="D33" i="13"/>
  <c r="D36" i="13" s="1"/>
  <c r="J636" i="1"/>
  <c r="C36" i="10"/>
  <c r="E33" i="13"/>
  <c r="D35" i="13" s="1"/>
  <c r="F662" i="1" l="1"/>
  <c r="C4" i="10" s="1"/>
  <c r="F657" i="1"/>
  <c r="G657" i="1"/>
  <c r="G662" i="1"/>
  <c r="C5" i="10" s="1"/>
  <c r="D21" i="10"/>
  <c r="C41" i="10"/>
  <c r="D36" i="10" s="1"/>
  <c r="I662" i="1"/>
  <c r="C7" i="10" s="1"/>
  <c r="I657" i="1"/>
  <c r="C30" i="10"/>
  <c r="D22" i="10"/>
  <c r="D25" i="10"/>
  <c r="D20" i="10"/>
  <c r="D13" i="10"/>
  <c r="D23" i="10"/>
  <c r="D15" i="10"/>
  <c r="D12" i="10"/>
  <c r="D17" i="10"/>
  <c r="D18" i="10"/>
  <c r="D24" i="10"/>
  <c r="D11" i="10"/>
  <c r="D28" i="10" s="1"/>
  <c r="D26" i="10"/>
  <c r="D16" i="10"/>
  <c r="D27" i="10"/>
  <c r="D19" i="10"/>
  <c r="H646" i="1"/>
  <c r="D40" i="10" l="1"/>
  <c r="D37" i="10"/>
  <c r="D39" i="10"/>
  <c r="D38" i="10"/>
  <c r="D35" i="10"/>
  <c r="D41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29A953C-2858-4300-A045-51B2FFAFDC0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8BF0343-5957-4B3A-926B-2866FD4CCFA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6638CC3-6227-4A5C-A566-E3F58064059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BC9FE13-5846-46E1-BEF6-ED4978696D9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AF7D175-49BB-474E-83BC-8144C46419B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6C9191F-A2BA-4500-B72D-15D3C37DB6C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BE6680C-5633-44ED-B544-ED8ED726831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9B61696-A0F5-4A63-A7B4-A771519535E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6A93FFD-EA80-4661-B019-6E907ABDE2D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426B34D-7E0F-4B6B-B86F-92A49ED1B1A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EBA8C3F-C7D9-41BF-924E-E77C701B7CB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7AF55B0-DC53-49BB-9FA3-E78B429E468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<sst xmlns="http://schemas.openxmlformats.org/spreadsheetml/2006/main" count="3862" uniqueCount="899">
  <si>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</si>
  <si>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</si>
  <si>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</si>
  <si>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</si>
  <si>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</si>
  <si>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</si>
  <si>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</si>
  <si>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</si>
  <si>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</si>
  <si>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</si>
  <si>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</si>
  <si>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</si>
  <si>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</si>
  <si>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</si>
  <si>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</si>
  <si>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</si>
  <si>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</si>
  <si>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</si>
  <si>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</si>
  <si>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</si>
  <si>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</si>
  <si>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</si>
  <si>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</si>
  <si>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</si>
  <si>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</si>
  <si>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</si>
  <si>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</si>
  <si>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</si>
  <si>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</si>
  <si>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</si>
  <si>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</si>
  <si>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</si>
  <si>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</si>
  <si>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</si>
  <si>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</si>
  <si>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</si>
  <si>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</si>
  <si>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</si>
  <si>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</si>
  <si>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</si>
  <si>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</si>
  <si>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</si>
  <si>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</si>
  <si>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</si>
  <si>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</si>
  <si>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</si>
  <si>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</si>
  <si>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</si>
  <si>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</si>
  <si>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</si>
  <si>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</si>
  <si>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</si>
  <si>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</si>
  <si>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</si>
  <si>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</si>
  <si>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</si>
  <si>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</si>
  <si>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</si>
  <si>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</si>
  <si>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</si>
  <si>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</si>
  <si>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</si>
  <si>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</si>
  <si>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</si>
  <si>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</si>
  <si>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</si>
  <si>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</si>
  <si>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</si>
  <si>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</si>
  <si>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</si>
  <si>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</si>
  <si>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</si>
  <si>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</si>
  <si>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</si>
  <si>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</si>
  <si>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</si>
  <si>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</si>
  <si>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</si>
  <si>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</si>
  <si>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</si>
  <si>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</si>
  <si>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</si>
  <si>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</si>
  <si>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</si>
  <si>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</si>
  <si>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</si>
  <si>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</si>
  <si>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</si>
  <si>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</si>
  <si>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</si>
  <si>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</si>
  <si>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</si>
  <si>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</si>
  <si>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</si>
  <si>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</si>
  <si>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</si>
  <si>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</si>
  <si>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</si>
  <si>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</si>
  <si>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</si>
  <si>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</si>
  <si>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</si>
  <si>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</si>
  <si>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</si>
  <si>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</si>
  <si>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</si>
  <si>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</si>
  <si>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</si>
  <si>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</si>
  <si>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</si>
  <si>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</si>
  <si>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</si>
  <si>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</si>
  <si>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</si>
  <si>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</si>
  <si>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</si>
  <si>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</si>
  <si>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</si>
  <si>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</si>
  <si>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</si>
  <si>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</si>
  <si>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</si>
  <si>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</si>
  <si>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</si>
  <si>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</si>
  <si>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</si>
  <si>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</si>
  <si>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</si>
  <si>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</si>
  <si>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</si>
  <si>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</si>
  <si>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</si>
  <si>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</si>
  <si>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</si>
  <si>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</si>
  <si>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</si>
  <si>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</si>
  <si>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</si>
  <si>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</si>
  <si>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</si>
  <si>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</si>
  <si>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</si>
  <si>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</si>
  <si>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</si>
  <si>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</si>
  <si>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</si>
  <si>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</si>
  <si>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</si>
  <si>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</si>
  <si>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</si>
  <si>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</si>
  <si>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</si>
  <si>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</si>
  <si>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</si>
  <si>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</si>
  <si>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</si>
  <si>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</si>
  <si>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</si>
  <si>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</si>
  <si>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</si>
  <si>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</si>
  <si>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</si>
  <si>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</si>
  <si>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</si>
  <si>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</si>
  <si>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</si>
  <si>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</si>
  <si>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</si>
  <si>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</si>
  <si>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</si>
  <si>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</si>
  <si>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</si>
  <si>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</si>
  <si>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</si>
  <si>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</si>
  <si>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</si>
  <si>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</si>
  <si>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</si>
  <si>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</si>
  <si>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</si>
  <si>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</si>
  <si>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</si>
  <si>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</si>
  <si>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</si>
  <si>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</si>
  <si>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</si>
  <si>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</si>
  <si>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</si>
  <si>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</si>
  <si>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</si>
  <si>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</si>
  <si>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</si>
  <si>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</si>
  <si>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</si>
  <si>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</si>
  <si>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</si>
  <si>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</si>
  <si>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</si>
  <si>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</si>
  <si>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</si>
  <si>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</si>
  <si>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</si>
  <si>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</si>
  <si>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</si>
  <si>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</si>
  <si>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</si>
  <si>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</si>
  <si>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</si>
  <si>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</si>
  <si>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</si>
  <si>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</si>
  <si>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</si>
  <si>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</si>
  <si>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</si>
  <si>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</si>
  <si>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</si>
  <si>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</si>
  <si>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</si>
  <si>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</si>
  <si>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</si>
  <si>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</si>
  <si>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</si>
  <si>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</si>
  <si>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</si>
  <si>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</si>
  <si>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</si>
  <si>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</si>
  <si>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</si>
  <si>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</si>
  <si>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</si>
  <si>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</si>
  <si>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</si>
  <si>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</si>
  <si>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</si>
  <si>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</si>
  <si>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</si>
  <si>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</si>
  <si>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</si>
  <si>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</si>
  <si>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</si>
  <si>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</si>
  <si>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</si>
  <si>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</si>
  <si>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</si>
  <si>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</si>
  <si>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</si>
  <si>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</si>
  <si>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</si>
  <si>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</si>
  <si>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</si>
  <si>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</si>
  <si>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</si>
  <si>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</si>
  <si>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</si>
  <si>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</si>
  <si>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</si>
  <si>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</si>
  <si>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</si>
  <si>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</si>
  <si>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</si>
  <si>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</si>
  <si>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</si>
  <si>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</si>
  <si>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</si>
  <si>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</si>
  <si>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</si>
  <si>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</si>
  <si>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</si>
  <si>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</si>
  <si>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</si>
  <si>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</si>
  <si>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</si>
  <si>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</si>
  <si>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</si>
  <si>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</si>
  <si>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</si>
  <si>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</si>
  <si>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</si>
  <si>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</si>
  <si>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</si>
  <si>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</si>
  <si>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</si>
  <si>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</si>
  <si>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</si>
  <si>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</si>
  <si>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</si>
  <si>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</si>
  <si>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</si>
  <si>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</si>
  <si>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</si>
  <si>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</si>
  <si>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</si>
  <si>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</si>
  <si>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</si>
  <si>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</si>
  <si>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</si>
  <si>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</si>
  <si>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</si>
  <si>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</si>
  <si>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</si>
  <si>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</si>
  <si>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</si>
  <si>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</si>
  <si>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</si>
  <si>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</si>
  <si>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</si>
  <si>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</si>
  <si>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</si>
  <si>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</si>
  <si>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</si>
  <si>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</si>
  <si>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</si>
  <si>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</si>
  <si>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</si>
  <si>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</si>
  <si>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</si>
  <si>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</si>
  <si>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</si>
  <si>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</si>
  <si>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</si>
  <si>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</si>
  <si>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</si>
  <si>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</si>
  <si>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</si>
  <si>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</si>
  <si>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</si>
  <si>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</si>
  <si>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</si>
  <si>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</si>
  <si>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</si>
  <si>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</si>
  <si>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</si>
  <si>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</si>
  <si>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</si>
  <si>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</si>
  <si>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</si>
  <si>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</si>
  <si>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</si>
  <si>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</si>
  <si>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</si>
  <si>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</si>
  <si>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</si>
  <si>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</si>
  <si>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</si>
  <si>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</si>
  <si>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</si>
  <si>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</si>
  <si>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</si>
  <si>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</si>
  <si>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</si>
  <si>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</si>
  <si>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</si>
  <si>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</si>
  <si>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</si>
  <si>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</si>
  <si>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</si>
  <si>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</si>
  <si>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</si>
  <si>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</si>
  <si>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</si>
  <si>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</si>
  <si>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</si>
  <si>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</si>
  <si>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</si>
  <si>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</si>
  <si>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</si>
  <si>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</si>
  <si>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</si>
  <si>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</si>
  <si>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</si>
  <si>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</si>
  <si>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</si>
  <si>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</si>
  <si>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</si>
  <si>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</si>
  <si>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</si>
  <si>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</si>
  <si>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</si>
  <si>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</si>
  <si>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</si>
  <si>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</si>
  <si>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</si>
  <si>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</si>
  <si>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</si>
  <si>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</si>
  <si>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</si>
  <si>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</si>
  <si>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</si>
  <si>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</si>
  <si>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</si>
  <si>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</si>
  <si>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</si>
  <si>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</si>
  <si>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</si>
  <si>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</si>
  <si>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</si>
  <si>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</si>
  <si>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</si>
  <si>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</si>
  <si>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</si>
  <si>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</si>
  <si>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</si>
  <si>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</si>
  <si>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</si>
  <si>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</si>
  <si>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</si>
  <si>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</si>
  <si>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</si>
  <si>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</si>
  <si>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</si>
  <si>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</si>
  <si>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</si>
  <si>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</si>
  <si>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</si>
  <si>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</si>
  <si>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</si>
  <si>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</si>
  <si>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</si>
  <si>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</si>
  <si>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</si>
  <si>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</si>
  <si>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</si>
  <si>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</si>
  <si>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</si>
  <si>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</si>
  <si>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</si>
  <si>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</si>
  <si>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</si>
  <si>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</si>
  <si>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</si>
  <si>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</si>
  <si>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</si>
  <si>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</si>
  <si>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</si>
  <si>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</si>
  <si>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</si>
  <si>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</si>
  <si>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</si>
  <si>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</si>
  <si>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</si>
  <si>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</si>
  <si>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</si>
  <si>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</si>
  <si>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</si>
  <si>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</si>
  <si>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</si>
  <si>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</si>
  <si>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</si>
  <si>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</si>
  <si>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</si>
  <si>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</si>
  <si>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</si>
  <si>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</si>
  <si>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</si>
  <si>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</si>
  <si>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</si>
  <si>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</si>
  <si>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</si>
  <si>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</si>
  <si>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</si>
  <si>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</si>
  <si>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</si>
  <si>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</si>
  <si>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</si>
  <si>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</si>
  <si>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</si>
  <si>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</si>
  <si>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</si>
  <si>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</si>
  <si>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</si>
  <si>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</si>
  <si>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</si>
  <si>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</si>
  <si>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</si>
  <si>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</si>
  <si>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</si>
  <si>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</si>
  <si>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</si>
  <si>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</si>
  <si>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</si>
  <si>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</si>
  <si>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</si>
  <si>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</si>
  <si>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</si>
  <si>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</si>
  <si>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</si>
  <si>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</si>
  <si>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</si>
  <si>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</si>
  <si>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</si>
  <si>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</si>
  <si>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</si>
  <si>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</si>
  <si>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</si>
  <si>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</si>
  <si>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</si>
  <si>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</si>
  <si>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</si>
  <si>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</si>
  <si>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</si>
  <si>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</si>
  <si>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</si>
  <si>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</si>
  <si>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</si>
  <si>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</si>
  <si>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</si>
  <si>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</si>
  <si>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</si>
  <si>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</si>
  <si>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</si>
  <si>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</si>
  <si>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</si>
  <si>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</si>
  <si>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</si>
  <si>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</si>
  <si>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</si>
  <si>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</si>
  <si>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</si>
  <si>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</si>
  <si>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</si>
  <si>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</si>
  <si>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</si>
  <si>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</si>
  <si>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</si>
  <si>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</si>
  <si>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</si>
  <si>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</si>
  <si>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</si>
  <si>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</si>
  <si>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</si>
  <si>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</si>
  <si>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</si>
  <si>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</si>
  <si>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</si>
  <si>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</si>
  <si>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</si>
  <si>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</si>
  <si>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</si>
  <si>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</si>
  <si>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</si>
  <si>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</si>
  <si>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</si>
  <si>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</si>
  <si>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</si>
  <si>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</si>
  <si>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</si>
  <si>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</si>
  <si>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</si>
  <si>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</si>
  <si>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</si>
  <si>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</si>
  <si>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</si>
  <si>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</si>
  <si>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</si>
  <si>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</si>
  <si>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</si>
  <si>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</si>
  <si>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</si>
  <si>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</si>
  <si>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</si>
  <si>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</si>
  <si>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</si>
  <si>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</si>
  <si>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</si>
  <si>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</si>
  <si>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</si>
  <si>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</si>
  <si>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</si>
  <si>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</si>
  <si>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</si>
  <si>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</si>
  <si>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</si>
  <si>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</si>
  <si>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</si>
  <si>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</si>
  <si>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</si>
  <si>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</si>
  <si>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</si>
  <si>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</si>
  <si>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</si>
  <si>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</si>
  <si>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</si>
  <si>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</si>
  <si>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</si>
  <si>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</si>
  <si>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</si>
  <si>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</si>
  <si>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</si>
  <si>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</si>
  <si>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</si>
  <si>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</si>
  <si>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</si>
  <si>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</si>
  <si>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</si>
  <si>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</si>
  <si>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</si>
  <si>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</si>
  <si>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</si>
  <si>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</si>
  <si>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</si>
  <si>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</si>
  <si>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</si>
  <si>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</si>
  <si>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</si>
  <si>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</si>
  <si>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</si>
  <si>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</si>
  <si>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</si>
  <si>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</si>
  <si>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</si>
  <si>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</si>
  <si>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</si>
  <si>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</si>
  <si>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</si>
  <si>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</si>
  <si>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</si>
  <si>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</si>
  <si>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</si>
  <si>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</si>
  <si>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</si>
  <si>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</si>
  <si>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</si>
  <si>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</si>
  <si>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</si>
  <si>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</si>
  <si>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</si>
  <si>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</si>
  <si>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</si>
  <si>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</si>
  <si>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</si>
  <si>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</si>
  <si>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</si>
  <si>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</si>
  <si>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</si>
  <si>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</si>
  <si>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</si>
  <si>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</si>
  <si>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</si>
  <si>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</si>
  <si>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</si>
  <si>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</si>
  <si>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</si>
  <si>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</si>
  <si>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</si>
  <si>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</si>
  <si>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</si>
  <si>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</si>
  <si>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</si>
  <si>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</si>
  <si>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</si>
  <si>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</si>
  <si>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</si>
  <si>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</si>
  <si>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</si>
  <si>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</si>
  <si>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</si>
  <si>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</si>
  <si>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</si>
  <si>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</si>
  <si>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</si>
  <si>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</si>
  <si>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</si>
  <si>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</si>
  <si>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</si>
  <si>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</si>
  <si>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</si>
  <si>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</si>
  <si>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</si>
  <si>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</si>
  <si>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</si>
  <si>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</si>
  <si>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</si>
  <si>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</si>
  <si>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</si>
  <si>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</si>
  <si>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</si>
  <si>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</si>
  <si>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</si>
  <si>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</si>
  <si>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</si>
  <si>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</si>
  <si>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</si>
  <si>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</si>
  <si>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</si>
  <si>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</si>
  <si>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</si>
  <si>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</si>
  <si>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</si>
  <si>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</si>
  <si>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</si>
  <si>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</si>
  <si>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</si>
  <si>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</si>
  <si>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</si>
  <si>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</si>
  <si>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</si>
  <si>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</si>
  <si>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</si>
  <si>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</si>
  <si>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</si>
  <si>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</si>
  <si>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</si>
  <si>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</si>
  <si>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</si>
  <si>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</si>
  <si>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</si>
  <si>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</si>
  <si>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</si>
  <si>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</si>
  <si>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</si>
  <si>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</si>
  <si>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</si>
  <si>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</si>
  <si>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</si>
  <si>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</si>
  <si>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</si>
  <si>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</si>
  <si>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</si>
  <si>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</si>
  <si>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</si>
  <si>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</si>
  <si>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</si>
  <si>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</si>
  <si>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</si>
  <si>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</si>
  <si>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</si>
  <si>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</si>
  <si>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</si>
  <si>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</si>
  <si>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</si>
  <si>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</si>
  <si>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</si>
  <si>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</si>
  <si>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</si>
  <si>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</si>
  <si>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</si>
  <si>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</si>
  <si>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</si>
  <si>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</si>
  <si>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</si>
  <si>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</si>
  <si>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</si>
  <si>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</si>
  <si>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</si>
  <si>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</si>
  <si>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</si>
  <si>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</si>
  <si>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</si>
  <si>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</si>
  <si>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</si>
  <si>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</si>
  <si>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</si>
  <si>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</si>
  <si>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</si>
  <si>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</si>
  <si>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</si>
  <si>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</si>
  <si>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</si>
  <si>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</si>
  <si>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</si>
  <si>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</si>
  <si>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</si>
  <si>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</si>
  <si>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</si>
  <si>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</si>
  <si>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</si>
  <si>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</si>
  <si>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</si>
  <si>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</si>
  <si>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</si>
  <si>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</si>
  <si>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</si>
  <si>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</si>
  <si>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</si>
  <si>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</si>
  <si>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</si>
  <si>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</si>
  <si>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</si>
  <si>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</si>
  <si>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</si>
  <si>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</si>
  <si>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</si>
  <si>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</si>
  <si>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</si>
  <si>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</si>
  <si>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</si>
  <si>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</si>
  <si>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</si>
  <si>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</si>
  <si>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</si>
  <si>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</si>
  <si>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</si>
  <si>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</si>
  <si>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</si>
  <si>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</si>
  <si>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</si>
  <si>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</si>
  <si>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</si>
  <si>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</si>
  <si>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</si>
  <si>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</si>
  <si>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</si>
  <si>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</si>
  <si>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</si>
  <si>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</si>
  <si>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</si>
  <si>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</si>
  <si>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</si>
  <si>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</si>
  <si>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</si>
  <si>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</si>
  <si>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</si>
  <si>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</si>
  <si>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</si>
  <si>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</si>
  <si>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</si>
  <si>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</si>
  <si>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</si>
  <si>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</si>
  <si>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</si>
  <si>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</si>
  <si>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</si>
  <si>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</si>
  <si>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</si>
  <si>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</si>
  <si>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</si>
  <si>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</si>
  <si>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</si>
  <si>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</si>
  <si>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</si>
  <si>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</si>
  <si>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</si>
  <si>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</si>
  <si>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</si>
  <si>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</si>
  <si>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</si>
  <si>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</si>
  <si>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</si>
  <si>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</si>
  <si>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</si>
  <si>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</si>
  <si>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</si>
  <si>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</si>
  <si>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</si>
  <si>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</si>
  <si>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</si>
  <si>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</si>
  <si>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</si>
  <si>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</si>
  <si>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</si>
  <si>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</si>
  <si>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</si>
  <si>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</si>
  <si>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</si>
  <si>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</si>
  <si>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</si>
  <si>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</si>
  <si>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</si>
  <si>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</si>
  <si>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</si>
  <si>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</si>
  <si>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</si>
  <si>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</si>
  <si>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</si>
  <si>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</si>
  <si>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</si>
  <si>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</si>
  <si>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</si>
  <si>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</si>
  <si>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</si>
  <si>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</si>
  <si>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</si>
  <si>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</si>
  <si>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</si>
  <si>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</si>
  <si>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</si>
  <si>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</si>
  <si>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</si>
  <si>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</si>
  <si>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</si>
  <si>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</si>
  <si>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</si>
  <si>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</si>
  <si>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</si>
  <si>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</si>
  <si>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</si>
  <si>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</si>
  <si>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</si>
  <si>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</si>
  <si>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</si>
  <si>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</si>
  <si>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</si>
  <si>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</si>
  <si>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</si>
  <si>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Franklin</t>
  </si>
  <si>
    <t>8/99</t>
  </si>
  <si>
    <t>8/19</t>
  </si>
  <si>
    <t>05/06</t>
  </si>
  <si>
    <t>05/26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</si>
</sst>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6F1E-8B09-47D1-8C72-FC9E95ADCFE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185</v>
      </c>
      <c r="C2" s="21">
        <v>185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12930.18</v>
      </c>
      <c r="G9" s="18">
        <v>92995.5</v>
      </c>
      <c r="H9" s="18"/>
      <c r="I9" s="18"/>
      <c r="J9" s="67">
        <f>SUM(I431)</f>
        <v>261195.92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267398.46000000002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114633.67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136004.49</v>
      </c>
      <c r="G13" s="18">
        <v>83369.41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7500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13758.95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>
        <v>6881.56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538466.80000000005</v>
      </c>
      <c r="G19" s="41">
        <f>SUM(G9:G18)</f>
        <v>197005.42</v>
      </c>
      <c r="H19" s="41">
        <f>SUM(H9:H18)</f>
        <v>0</v>
      </c>
      <c r="I19" s="41">
        <f>SUM(I9:I18)</f>
        <v>0</v>
      </c>
      <c r="J19" s="41">
        <f>SUM(J9:J18)</f>
        <v>261195.92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114633.67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4504.05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134312.46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80164.97</v>
      </c>
      <c r="G29" s="18">
        <v>4213.38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5296.18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2622.23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218981.47999999998</v>
      </c>
      <c r="G33" s="41">
        <f>SUM(G23:G32)</f>
        <v>126765.46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13758.95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>
        <v>6881.56</v>
      </c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319485.32</v>
      </c>
      <c r="G37" s="18">
        <v>15407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34192.449999999997</v>
      </c>
      <c r="H41" s="18"/>
      <c r="I41" s="18"/>
      <c r="J41" s="13">
        <f>SUM(I449)</f>
        <v>261195.92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319485.32</v>
      </c>
      <c r="G43" s="41">
        <f>SUM(G35:G42)</f>
        <v>70239.959999999992</v>
      </c>
      <c r="H43" s="41">
        <f>SUM(H35:H42)</f>
        <v>0</v>
      </c>
      <c r="I43" s="41">
        <f>SUM(I35:I42)</f>
        <v>0</v>
      </c>
      <c r="J43" s="41">
        <f>SUM(J35:J42)</f>
        <v>261195.92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538466.80000000005</v>
      </c>
      <c r="G44" s="41">
        <f>G43+G33</f>
        <v>197005.41999999998</v>
      </c>
      <c r="H44" s="41">
        <f>H43+H33</f>
        <v>0</v>
      </c>
      <c r="I44" s="41">
        <f>I43+I33</f>
        <v>0</v>
      </c>
      <c r="J44" s="41">
        <f>J43+J33</f>
        <v>261195.92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3005396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3005396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739323.36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739323.36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256.14</v>
      </c>
      <c r="G88" s="18">
        <v>171.64</v>
      </c>
      <c r="H88" s="18"/>
      <c r="I88" s="18"/>
      <c r="J88" s="18">
        <v>388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181914.37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7000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3137.75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128553.01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138946.9</v>
      </c>
      <c r="G103" s="41">
        <f>SUM(G88:G102)</f>
        <v>182086.01</v>
      </c>
      <c r="H103" s="41">
        <f>SUM(H88:H102)</f>
        <v>0</v>
      </c>
      <c r="I103" s="41">
        <f>SUM(I88:I102)</f>
        <v>0</v>
      </c>
      <c r="J103" s="41">
        <f>SUM(J88:J102)</f>
        <v>388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3883666.26</v>
      </c>
      <c r="G104" s="41">
        <f>G52+G103</f>
        <v>182086.01</v>
      </c>
      <c r="H104" s="41">
        <f>H52+H71+H86+H103</f>
        <v>0</v>
      </c>
      <c r="I104" s="41">
        <f>I52+I103</f>
        <v>0</v>
      </c>
      <c r="J104" s="41">
        <f>J52+J103</f>
        <v>388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8208931.3799999999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1337334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297735.62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9844000.9999999981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181944.16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165370.54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5197.99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9947.58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352512.69</v>
      </c>
      <c r="G128" s="41">
        <f>SUM(G115:G127)</f>
        <v>9947.58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10196513.689999998</v>
      </c>
      <c r="G132" s="41">
        <f>G113+SUM(G128:G129)</f>
        <v>9947.58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314907.03999999998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123160.97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35281.72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123160.97</v>
      </c>
      <c r="G154" s="41">
        <f>SUM(G142:G153)</f>
        <v>350188.76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75000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198160.97</v>
      </c>
      <c r="G161" s="41">
        <f>G139+G154+SUM(G155:G160)</f>
        <v>350188.76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14278340.919999998</v>
      </c>
      <c r="G185" s="47">
        <f>G104+G132+G161+G184</f>
        <v>542222.35</v>
      </c>
      <c r="H185" s="47">
        <f>H104+H132+H161+H184</f>
        <v>0</v>
      </c>
      <c r="I185" s="47">
        <f>I104+I132+I161+I184</f>
        <v>0</v>
      </c>
      <c r="J185" s="47">
        <f>J104+J132+J184</f>
        <v>388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1327100.75</v>
      </c>
      <c r="G189" s="18">
        <v>407635.11</v>
      </c>
      <c r="H189" s="18">
        <v>20877.23</v>
      </c>
      <c r="I189" s="18">
        <v>61297.07</v>
      </c>
      <c r="J189" s="18">
        <v>361.29</v>
      </c>
      <c r="K189" s="18">
        <v>0</v>
      </c>
      <c r="L189" s="19">
        <f>SUM(F189:K189)</f>
        <v>1817271.45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632167.71</v>
      </c>
      <c r="G190" s="18">
        <v>264045.87</v>
      </c>
      <c r="H190" s="18">
        <v>36770.04</v>
      </c>
      <c r="I190" s="18">
        <v>6786.43</v>
      </c>
      <c r="J190" s="18">
        <v>855.92</v>
      </c>
      <c r="K190" s="18">
        <v>551.08000000000004</v>
      </c>
      <c r="L190" s="19">
        <f>SUM(F190:K190)</f>
        <v>941177.05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2250</v>
      </c>
      <c r="G192" s="18">
        <v>281.17</v>
      </c>
      <c r="H192" s="18"/>
      <c r="I192" s="18"/>
      <c r="J192" s="18"/>
      <c r="K192" s="18"/>
      <c r="L192" s="19">
        <f>SUM(F192:K192)</f>
        <v>2531.17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283906.77</v>
      </c>
      <c r="G194" s="18">
        <v>104068.34</v>
      </c>
      <c r="H194" s="18">
        <v>259834.27</v>
      </c>
      <c r="I194" s="18">
        <v>6052.39</v>
      </c>
      <c r="J194" s="18">
        <v>801.03</v>
      </c>
      <c r="K194" s="18">
        <v>540</v>
      </c>
      <c r="L194" s="19">
        <f t="shared" ref="L194:L200" si="0">SUM(F194:K194)</f>
        <v>655202.80000000005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25969.19</v>
      </c>
      <c r="G195" s="18">
        <v>13897.27</v>
      </c>
      <c r="H195" s="18">
        <v>29208.639999999999</v>
      </c>
      <c r="I195" s="18">
        <v>1889.95</v>
      </c>
      <c r="J195" s="18">
        <v>178.68</v>
      </c>
      <c r="K195" s="18">
        <v>0</v>
      </c>
      <c r="L195" s="19">
        <f t="shared" si="0"/>
        <v>71143.73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900</v>
      </c>
      <c r="G196" s="18">
        <v>89.37</v>
      </c>
      <c r="H196" s="18">
        <v>218087.41</v>
      </c>
      <c r="I196" s="18">
        <v>200.41</v>
      </c>
      <c r="J196" s="18"/>
      <c r="K196" s="18">
        <v>1982.41</v>
      </c>
      <c r="L196" s="19">
        <f t="shared" si="0"/>
        <v>221259.6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217668.44</v>
      </c>
      <c r="G197" s="18">
        <v>95575.02</v>
      </c>
      <c r="H197" s="18">
        <v>6441.46</v>
      </c>
      <c r="I197" s="18">
        <v>4191.22</v>
      </c>
      <c r="J197" s="18">
        <v>0</v>
      </c>
      <c r="K197" s="18">
        <v>1077.99</v>
      </c>
      <c r="L197" s="19">
        <f t="shared" si="0"/>
        <v>324954.13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174314.27</v>
      </c>
      <c r="G199" s="18">
        <v>75716.929999999993</v>
      </c>
      <c r="H199" s="18">
        <v>133907.01</v>
      </c>
      <c r="I199" s="18">
        <v>117115.36</v>
      </c>
      <c r="J199" s="18">
        <v>977.72</v>
      </c>
      <c r="K199" s="18"/>
      <c r="L199" s="19">
        <f t="shared" si="0"/>
        <v>502031.28999999992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144671.47</v>
      </c>
      <c r="I200" s="18">
        <v>15513.24</v>
      </c>
      <c r="J200" s="18"/>
      <c r="K200" s="18"/>
      <c r="L200" s="19">
        <f t="shared" si="0"/>
        <v>160184.71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2664277.13</v>
      </c>
      <c r="G203" s="41">
        <f t="shared" si="1"/>
        <v>961309.08000000007</v>
      </c>
      <c r="H203" s="41">
        <f t="shared" si="1"/>
        <v>849797.52999999991</v>
      </c>
      <c r="I203" s="41">
        <f t="shared" si="1"/>
        <v>213046.07</v>
      </c>
      <c r="J203" s="41">
        <f t="shared" si="1"/>
        <v>3174.6400000000003</v>
      </c>
      <c r="K203" s="41">
        <f t="shared" si="1"/>
        <v>4151.4799999999996</v>
      </c>
      <c r="L203" s="41">
        <f t="shared" si="1"/>
        <v>4695755.93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1184827.06</v>
      </c>
      <c r="G207" s="18">
        <v>474710.54</v>
      </c>
      <c r="H207" s="18">
        <v>25445.31</v>
      </c>
      <c r="I207" s="18">
        <v>45187.18</v>
      </c>
      <c r="J207" s="18">
        <v>941.7</v>
      </c>
      <c r="K207" s="18"/>
      <c r="L207" s="19">
        <f>SUM(F207:K207)</f>
        <v>1731111.79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288391.13</v>
      </c>
      <c r="G208" s="18">
        <v>148733.88</v>
      </c>
      <c r="H208" s="18">
        <v>136586.19</v>
      </c>
      <c r="I208" s="18">
        <v>5552.44</v>
      </c>
      <c r="J208" s="18">
        <v>1024.28</v>
      </c>
      <c r="K208" s="18">
        <v>659.49</v>
      </c>
      <c r="L208" s="19">
        <f>SUM(F208:K208)</f>
        <v>580947.40999999992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30331.1</v>
      </c>
      <c r="G210" s="18">
        <v>8983.6299999999992</v>
      </c>
      <c r="H210" s="18">
        <v>10046.549999999999</v>
      </c>
      <c r="I210" s="18">
        <v>3975.52</v>
      </c>
      <c r="J210" s="18">
        <v>5872.44</v>
      </c>
      <c r="K210" s="18">
        <v>1390</v>
      </c>
      <c r="L210" s="19">
        <f>SUM(F210:K210)</f>
        <v>60599.24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157081.15</v>
      </c>
      <c r="G212" s="18">
        <v>56019.05</v>
      </c>
      <c r="H212" s="18">
        <v>129618.66</v>
      </c>
      <c r="I212" s="18">
        <v>2261.6799999999998</v>
      </c>
      <c r="J212" s="18">
        <v>630</v>
      </c>
      <c r="K212" s="18">
        <v>175</v>
      </c>
      <c r="L212" s="19">
        <f t="shared" ref="L212:L218" si="2">SUM(F212:K212)</f>
        <v>345785.54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44624</v>
      </c>
      <c r="G213" s="18">
        <v>18435.54</v>
      </c>
      <c r="H213" s="18">
        <v>18544.189999999999</v>
      </c>
      <c r="I213" s="18">
        <v>2323.5300000000002</v>
      </c>
      <c r="J213" s="18">
        <v>545.91</v>
      </c>
      <c r="K213" s="18"/>
      <c r="L213" s="19">
        <f t="shared" si="2"/>
        <v>84473.17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900</v>
      </c>
      <c r="G214" s="18">
        <v>89.37</v>
      </c>
      <c r="H214" s="18">
        <v>218087.41</v>
      </c>
      <c r="I214" s="18">
        <v>200.41</v>
      </c>
      <c r="J214" s="18"/>
      <c r="K214" s="18">
        <v>1982.41</v>
      </c>
      <c r="L214" s="19">
        <f t="shared" si="2"/>
        <v>221259.6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182930.01</v>
      </c>
      <c r="G215" s="18">
        <v>69758.5</v>
      </c>
      <c r="H215" s="18">
        <v>7550.83</v>
      </c>
      <c r="I215" s="18">
        <v>3032.81</v>
      </c>
      <c r="J215" s="18">
        <v>427</v>
      </c>
      <c r="K215" s="18">
        <v>2498.15</v>
      </c>
      <c r="L215" s="19">
        <f t="shared" si="2"/>
        <v>266197.30000000005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150359.29</v>
      </c>
      <c r="G217" s="18">
        <v>72305.67</v>
      </c>
      <c r="H217" s="18">
        <v>64148.639999999999</v>
      </c>
      <c r="I217" s="18">
        <v>121517.71</v>
      </c>
      <c r="J217" s="18">
        <v>717.72</v>
      </c>
      <c r="K217" s="18"/>
      <c r="L217" s="19">
        <f t="shared" si="2"/>
        <v>409049.03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108186.83</v>
      </c>
      <c r="I218" s="18">
        <v>15513.24</v>
      </c>
      <c r="J218" s="18"/>
      <c r="K218" s="18"/>
      <c r="L218" s="19">
        <f t="shared" si="2"/>
        <v>123700.07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14996.64</v>
      </c>
      <c r="G219" s="18">
        <v>19356.669999999998</v>
      </c>
      <c r="H219" s="18"/>
      <c r="I219" s="18"/>
      <c r="J219" s="18"/>
      <c r="K219" s="18"/>
      <c r="L219" s="19">
        <f>SUM(F219:K219)</f>
        <v>34353.31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2054440.38</v>
      </c>
      <c r="G221" s="41">
        <f>SUM(G207:G220)</f>
        <v>868392.85000000009</v>
      </c>
      <c r="H221" s="41">
        <f>SUM(H207:H220)</f>
        <v>718214.60999999987</v>
      </c>
      <c r="I221" s="41">
        <f>SUM(I207:I220)</f>
        <v>199564.52</v>
      </c>
      <c r="J221" s="41">
        <f>SUM(J207:J220)</f>
        <v>10159.049999999999</v>
      </c>
      <c r="K221" s="41">
        <f t="shared" si="3"/>
        <v>6705.0499999999993</v>
      </c>
      <c r="L221" s="41">
        <f t="shared" si="3"/>
        <v>3857476.4600000009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1367021.42</v>
      </c>
      <c r="G225" s="18">
        <v>477136.84</v>
      </c>
      <c r="H225" s="18">
        <v>70033.05</v>
      </c>
      <c r="I225" s="18">
        <v>64965.68</v>
      </c>
      <c r="J225" s="18">
        <v>867.35</v>
      </c>
      <c r="K225" s="18">
        <v>3468.98</v>
      </c>
      <c r="L225" s="19">
        <f>SUM(F225:K225)</f>
        <v>1983493.32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235931.19</v>
      </c>
      <c r="G226" s="18">
        <v>104783.91</v>
      </c>
      <c r="H226" s="18">
        <v>548659.75</v>
      </c>
      <c r="I226" s="18">
        <v>3069.3</v>
      </c>
      <c r="J226" s="18">
        <v>4069.6</v>
      </c>
      <c r="K226" s="18">
        <v>632.39</v>
      </c>
      <c r="L226" s="19">
        <f>SUM(F226:K226)</f>
        <v>897146.14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15159.97</v>
      </c>
      <c r="I227" s="18"/>
      <c r="J227" s="18"/>
      <c r="K227" s="18"/>
      <c r="L227" s="19">
        <f>SUM(F227:K227)</f>
        <v>15159.97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93085.27</v>
      </c>
      <c r="G228" s="18">
        <v>33232.68</v>
      </c>
      <c r="H228" s="18">
        <v>33598.300000000003</v>
      </c>
      <c r="I228" s="18">
        <v>12285.01</v>
      </c>
      <c r="J228" s="18">
        <v>13487.22</v>
      </c>
      <c r="K228" s="18">
        <v>7354.07</v>
      </c>
      <c r="L228" s="19">
        <f>SUM(F228:K228)</f>
        <v>193042.55000000002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222725.71</v>
      </c>
      <c r="G230" s="18">
        <v>103359.3</v>
      </c>
      <c r="H230" s="18">
        <v>96685.34</v>
      </c>
      <c r="I230" s="18">
        <v>3082.4</v>
      </c>
      <c r="J230" s="18">
        <v>1230.95</v>
      </c>
      <c r="K230" s="18">
        <v>205</v>
      </c>
      <c r="L230" s="19">
        <f t="shared" ref="L230:L236" si="4">SUM(F230:K230)</f>
        <v>427288.7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48663.08</v>
      </c>
      <c r="G231" s="18">
        <v>24723.279999999999</v>
      </c>
      <c r="H231" s="18">
        <v>16433.849999999999</v>
      </c>
      <c r="I231" s="18">
        <v>14278.02</v>
      </c>
      <c r="J231" s="18">
        <v>26917.91</v>
      </c>
      <c r="K231" s="18"/>
      <c r="L231" s="19">
        <f t="shared" si="4"/>
        <v>131016.14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900</v>
      </c>
      <c r="G232" s="18">
        <v>89.37</v>
      </c>
      <c r="H232" s="18">
        <v>218087.41</v>
      </c>
      <c r="I232" s="18">
        <v>200.41</v>
      </c>
      <c r="J232" s="18"/>
      <c r="K232" s="18">
        <v>1982.41</v>
      </c>
      <c r="L232" s="19">
        <f t="shared" si="4"/>
        <v>221259.6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222947.91</v>
      </c>
      <c r="G233" s="18">
        <v>80396.509999999995</v>
      </c>
      <c r="H233" s="18">
        <v>8677.7999999999993</v>
      </c>
      <c r="I233" s="18">
        <v>2246.0100000000002</v>
      </c>
      <c r="J233" s="18">
        <v>2187.2600000000002</v>
      </c>
      <c r="K233" s="18"/>
      <c r="L233" s="19">
        <f t="shared" si="4"/>
        <v>316455.49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147118.32999999999</v>
      </c>
      <c r="G235" s="18">
        <v>71855.199999999997</v>
      </c>
      <c r="H235" s="18">
        <v>114498.26</v>
      </c>
      <c r="I235" s="18">
        <v>172121.45</v>
      </c>
      <c r="J235" s="18">
        <v>6548</v>
      </c>
      <c r="K235" s="18"/>
      <c r="L235" s="19">
        <f t="shared" si="4"/>
        <v>512141.24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243043.63</v>
      </c>
      <c r="I236" s="18">
        <v>15513.24</v>
      </c>
      <c r="J236" s="18"/>
      <c r="K236" s="18"/>
      <c r="L236" s="19">
        <f t="shared" si="4"/>
        <v>258556.87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14996.64</v>
      </c>
      <c r="G237" s="18">
        <v>19356.669999999998</v>
      </c>
      <c r="H237" s="18"/>
      <c r="I237" s="18"/>
      <c r="J237" s="18"/>
      <c r="K237" s="18"/>
      <c r="L237" s="19">
        <f>SUM(F237:K237)</f>
        <v>34353.31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2353389.5500000003</v>
      </c>
      <c r="G239" s="41">
        <f t="shared" si="5"/>
        <v>914933.76000000013</v>
      </c>
      <c r="H239" s="41">
        <f t="shared" si="5"/>
        <v>1364877.3599999999</v>
      </c>
      <c r="I239" s="41">
        <f t="shared" si="5"/>
        <v>287761.52</v>
      </c>
      <c r="J239" s="41">
        <f t="shared" si="5"/>
        <v>55308.29</v>
      </c>
      <c r="K239" s="41">
        <f t="shared" si="5"/>
        <v>13642.849999999999</v>
      </c>
      <c r="L239" s="41">
        <f t="shared" si="5"/>
        <v>4989913.33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6003</v>
      </c>
      <c r="G243" s="18">
        <v>494.26</v>
      </c>
      <c r="H243" s="18"/>
      <c r="I243" s="18"/>
      <c r="J243" s="18"/>
      <c r="K243" s="18"/>
      <c r="L243" s="19">
        <f t="shared" si="6"/>
        <v>6497.26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6003</v>
      </c>
      <c r="G248" s="41">
        <f t="shared" si="7"/>
        <v>494.26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6497.26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7078110.0600000005</v>
      </c>
      <c r="G249" s="41">
        <f t="shared" si="8"/>
        <v>2745129.95</v>
      </c>
      <c r="H249" s="41">
        <f t="shared" si="8"/>
        <v>2932889.4999999995</v>
      </c>
      <c r="I249" s="41">
        <f t="shared" si="8"/>
        <v>700372.11</v>
      </c>
      <c r="J249" s="41">
        <f t="shared" si="8"/>
        <v>68641.98</v>
      </c>
      <c r="K249" s="41">
        <f t="shared" si="8"/>
        <v>24499.379999999997</v>
      </c>
      <c r="L249" s="41">
        <f t="shared" si="8"/>
        <v>13549642.98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427409.71</v>
      </c>
      <c r="L252" s="19">
        <f>SUM(F252:K252)</f>
        <v>427409.71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174706.4</v>
      </c>
      <c r="L253" s="19">
        <f>SUM(F253:K253)</f>
        <v>174706.4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13164</v>
      </c>
      <c r="L261" s="19">
        <f t="shared" si="9"/>
        <v>13164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615280.11</v>
      </c>
      <c r="L262" s="41">
        <f t="shared" si="9"/>
        <v>615280.11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7078110.0600000005</v>
      </c>
      <c r="G263" s="42">
        <f t="shared" si="11"/>
        <v>2745129.95</v>
      </c>
      <c r="H263" s="42">
        <f t="shared" si="11"/>
        <v>2932889.4999999995</v>
      </c>
      <c r="I263" s="42">
        <f t="shared" si="11"/>
        <v>700372.11</v>
      </c>
      <c r="J263" s="42">
        <f t="shared" si="11"/>
        <v>68641.98</v>
      </c>
      <c r="K263" s="42">
        <f t="shared" si="11"/>
        <v>639779.49</v>
      </c>
      <c r="L263" s="42">
        <f t="shared" si="11"/>
        <v>14164923.09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94360.52</v>
      </c>
      <c r="G350" s="18">
        <v>35921</v>
      </c>
      <c r="H350" s="18">
        <v>4776.79</v>
      </c>
      <c r="I350" s="18">
        <v>111508.2</v>
      </c>
      <c r="J350" s="18">
        <v>8295</v>
      </c>
      <c r="K350" s="18"/>
      <c r="L350" s="13">
        <f>SUM(F350:K350)</f>
        <v>254861.51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59398.81</v>
      </c>
      <c r="G351" s="18">
        <v>16756.52</v>
      </c>
      <c r="H351" s="18">
        <v>4776.79</v>
      </c>
      <c r="I351" s="18">
        <v>111090.63</v>
      </c>
      <c r="J351" s="18">
        <v>0</v>
      </c>
      <c r="K351" s="18"/>
      <c r="L351" s="19">
        <f>SUM(F351:K351)</f>
        <v>192022.75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72581.149999999994</v>
      </c>
      <c r="G352" s="18">
        <v>26554.21</v>
      </c>
      <c r="H352" s="18">
        <v>4776.79</v>
      </c>
      <c r="I352" s="18">
        <v>86034.94</v>
      </c>
      <c r="J352" s="18">
        <v>8547.0400000000009</v>
      </c>
      <c r="K352" s="18"/>
      <c r="L352" s="19">
        <f>SUM(F352:K352)</f>
        <v>198494.12999999998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226340.48000000001</v>
      </c>
      <c r="G354" s="47">
        <f t="shared" si="22"/>
        <v>79231.73000000001</v>
      </c>
      <c r="H354" s="47">
        <f t="shared" si="22"/>
        <v>14330.369999999999</v>
      </c>
      <c r="I354" s="47">
        <f t="shared" si="22"/>
        <v>308633.77</v>
      </c>
      <c r="J354" s="47">
        <f t="shared" si="22"/>
        <v>16842.04</v>
      </c>
      <c r="K354" s="47">
        <f t="shared" si="22"/>
        <v>0</v>
      </c>
      <c r="L354" s="47">
        <f t="shared" si="22"/>
        <v>645378.39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108116.32</v>
      </c>
      <c r="G359" s="18">
        <v>107698.74</v>
      </c>
      <c r="H359" s="18">
        <v>82643.05</v>
      </c>
      <c r="I359" s="56">
        <f>SUM(F359:H359)</f>
        <v>298458.11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3391.88</v>
      </c>
      <c r="G360" s="63">
        <v>3391.89</v>
      </c>
      <c r="H360" s="63">
        <v>3391.89</v>
      </c>
      <c r="I360" s="56">
        <f>SUM(F360:H360)</f>
        <v>10175.66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111508.20000000001</v>
      </c>
      <c r="G361" s="47">
        <f>SUM(G359:G360)</f>
        <v>111090.63</v>
      </c>
      <c r="H361" s="47">
        <f>SUM(H359:H360)</f>
        <v>86034.94</v>
      </c>
      <c r="I361" s="47">
        <f>SUM(I359:I360)</f>
        <v>308633.76999999996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149.07</v>
      </c>
      <c r="I388" s="18"/>
      <c r="J388" s="24" t="s">
        <v>312</v>
      </c>
      <c r="K388" s="24" t="s">
        <v>312</v>
      </c>
      <c r="L388" s="56">
        <f t="shared" si="26"/>
        <v>149.07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238.93</v>
      </c>
      <c r="I389" s="18"/>
      <c r="J389" s="24" t="s">
        <v>312</v>
      </c>
      <c r="K389" s="24" t="s">
        <v>312</v>
      </c>
      <c r="L389" s="56">
        <f t="shared" si="26"/>
        <v>238.93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388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388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388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388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261195.92</v>
      </c>
      <c r="G431" s="18"/>
      <c r="H431" s="18"/>
      <c r="I431" s="56">
        <f t="shared" ref="I431:I437" si="33">SUM(F431:H431)</f>
        <v>261195.92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261195.92</v>
      </c>
      <c r="G438" s="13">
        <f>SUM(G431:G437)</f>
        <v>0</v>
      </c>
      <c r="H438" s="13">
        <f>SUM(H431:H437)</f>
        <v>0</v>
      </c>
      <c r="I438" s="13">
        <f>SUM(I431:I437)</f>
        <v>261195.92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261195.92</v>
      </c>
      <c r="G449" s="18"/>
      <c r="H449" s="18"/>
      <c r="I449" s="56">
        <f>SUM(F449:H449)</f>
        <v>261195.92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261195.92</v>
      </c>
      <c r="G450" s="83">
        <f>SUM(G446:G449)</f>
        <v>0</v>
      </c>
      <c r="H450" s="83">
        <f>SUM(H446:H449)</f>
        <v>0</v>
      </c>
      <c r="I450" s="83">
        <f>SUM(I446:I449)</f>
        <v>261195.92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261195.92</v>
      </c>
      <c r="G451" s="42">
        <f>G444+G450</f>
        <v>0</v>
      </c>
      <c r="H451" s="42">
        <f>H444+H450</f>
        <v>0</v>
      </c>
      <c r="I451" s="42">
        <f>I444+I450</f>
        <v>261195.92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206067.49</v>
      </c>
      <c r="G455" s="18">
        <v>173396</v>
      </c>
      <c r="H455" s="18"/>
      <c r="I455" s="18"/>
      <c r="J455" s="18">
        <v>260807.92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14278340.92</v>
      </c>
      <c r="G458" s="18">
        <v>542222.35</v>
      </c>
      <c r="H458" s="18"/>
      <c r="I458" s="18"/>
      <c r="J458" s="18">
        <v>388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14278340.92</v>
      </c>
      <c r="G460" s="53">
        <f>SUM(G458:G459)</f>
        <v>542222.35</v>
      </c>
      <c r="H460" s="53">
        <f>SUM(H458:H459)</f>
        <v>0</v>
      </c>
      <c r="I460" s="53">
        <f>SUM(I458:I459)</f>
        <v>0</v>
      </c>
      <c r="J460" s="53">
        <f>SUM(J458:J459)</f>
        <v>388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14164923.09</v>
      </c>
      <c r="G462" s="18">
        <f>660785.39-15407</f>
        <v>645378.39</v>
      </c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14164923.09</v>
      </c>
      <c r="G464" s="53">
        <f>SUM(G462:G463)</f>
        <v>645378.39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319485.3200000003</v>
      </c>
      <c r="G466" s="53">
        <f>(G455+G460)- G464</f>
        <v>70239.959999999963</v>
      </c>
      <c r="H466" s="53">
        <f>(H455+H460)- H464</f>
        <v>0</v>
      </c>
      <c r="I466" s="53">
        <f>(I455+I460)- I464</f>
        <v>0</v>
      </c>
      <c r="J466" s="53">
        <f>(J455+J460)- J464</f>
        <v>261195.92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5010376</v>
      </c>
      <c r="G483" s="18">
        <v>2700000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>
        <v>4.26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2250000</v>
      </c>
      <c r="G485" s="18">
        <v>2149288.77</v>
      </c>
      <c r="H485" s="18"/>
      <c r="I485" s="18"/>
      <c r="J485" s="18"/>
      <c r="K485" s="53">
        <f>SUM(F485:J485)</f>
        <v>4399288.7699999996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250000</v>
      </c>
      <c r="G487" s="18">
        <v>142105.26</v>
      </c>
      <c r="H487" s="18"/>
      <c r="I487" s="18"/>
      <c r="J487" s="18"/>
      <c r="K487" s="53">
        <f t="shared" si="34"/>
        <v>392105.26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2000000</v>
      </c>
      <c r="G488" s="205">
        <v>2007183.51</v>
      </c>
      <c r="H488" s="205"/>
      <c r="I488" s="205"/>
      <c r="J488" s="205"/>
      <c r="K488" s="206">
        <f t="shared" si="34"/>
        <v>4007183.51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537039.5</v>
      </c>
      <c r="G489" s="18">
        <v>721974</v>
      </c>
      <c r="H489" s="18"/>
      <c r="I489" s="18"/>
      <c r="J489" s="18"/>
      <c r="K489" s="53">
        <f t="shared" si="34"/>
        <v>1259013.5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2537039.5</v>
      </c>
      <c r="G490" s="42">
        <f>SUM(G488:G489)</f>
        <v>2729157.51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5266197.01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250000</v>
      </c>
      <c r="G491" s="205">
        <v>142105.26</v>
      </c>
      <c r="H491" s="205"/>
      <c r="I491" s="205"/>
      <c r="J491" s="205"/>
      <c r="K491" s="206">
        <f t="shared" si="34"/>
        <v>392105.26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112773</v>
      </c>
      <c r="G492" s="18">
        <v>88834.68</v>
      </c>
      <c r="H492" s="18"/>
      <c r="I492" s="18"/>
      <c r="J492" s="18"/>
      <c r="K492" s="53">
        <f t="shared" si="34"/>
        <v>201607.67999999999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362773</v>
      </c>
      <c r="G493" s="42">
        <f>SUM(G491:G492)</f>
        <v>230939.94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593712.93999999994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0</v>
      </c>
      <c r="G497" s="144">
        <v>0</v>
      </c>
      <c r="H497" s="144">
        <v>0</v>
      </c>
      <c r="I497" s="144">
        <v>0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372527.35999999999</v>
      </c>
      <c r="G511" s="18">
        <f>148525.2-12545.33</f>
        <v>135979.87000000002</v>
      </c>
      <c r="H511" s="18">
        <v>35782</v>
      </c>
      <c r="I511" s="18">
        <v>6786.43</v>
      </c>
      <c r="J511" s="18">
        <v>855.92</v>
      </c>
      <c r="K511" s="18">
        <v>551.08000000000004</v>
      </c>
      <c r="L511" s="88">
        <f>SUM(F511:K511)</f>
        <v>552482.66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60574</v>
      </c>
      <c r="G512" s="18">
        <v>36185</v>
      </c>
      <c r="H512" s="18">
        <v>135403</v>
      </c>
      <c r="I512" s="18">
        <v>5552.44</v>
      </c>
      <c r="J512" s="18">
        <v>1024.28</v>
      </c>
      <c r="K512" s="18">
        <v>659.49</v>
      </c>
      <c r="L512" s="88">
        <f>SUM(F512:K512)</f>
        <v>239398.21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133774</v>
      </c>
      <c r="G513" s="18">
        <f>69855.94-7000</f>
        <v>62855.94</v>
      </c>
      <c r="H513" s="18">
        <v>565996</v>
      </c>
      <c r="I513" s="18">
        <v>3069.3</v>
      </c>
      <c r="J513" s="18">
        <v>4069.6</v>
      </c>
      <c r="K513" s="18">
        <v>632.39</v>
      </c>
      <c r="L513" s="88">
        <f>SUM(F513:K513)</f>
        <v>770397.23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566875.36</v>
      </c>
      <c r="G514" s="108">
        <f t="shared" ref="G514:L514" si="35">SUM(G511:G513)</f>
        <v>235020.81000000003</v>
      </c>
      <c r="H514" s="108">
        <f t="shared" si="35"/>
        <v>737181</v>
      </c>
      <c r="I514" s="108">
        <f t="shared" si="35"/>
        <v>15408.169999999998</v>
      </c>
      <c r="J514" s="108">
        <f t="shared" si="35"/>
        <v>5949.7999999999993</v>
      </c>
      <c r="K514" s="108">
        <f t="shared" si="35"/>
        <v>1842.96</v>
      </c>
      <c r="L514" s="89">
        <f t="shared" si="35"/>
        <v>1562278.1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238883.35</v>
      </c>
      <c r="G516" s="18">
        <v>115520.67</v>
      </c>
      <c r="H516" s="18">
        <v>105824</v>
      </c>
      <c r="I516" s="18">
        <v>1985</v>
      </c>
      <c r="J516" s="18"/>
      <c r="K516" s="18"/>
      <c r="L516" s="88">
        <f>SUM(F516:K516)</f>
        <v>462213.02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198676.44</v>
      </c>
      <c r="G517" s="18">
        <f>112548.88-15013.26</f>
        <v>97535.62000000001</v>
      </c>
      <c r="H517" s="18">
        <v>122787</v>
      </c>
      <c r="I517" s="18">
        <v>0</v>
      </c>
      <c r="J517" s="18"/>
      <c r="K517" s="18"/>
      <c r="L517" s="88">
        <f>SUM(F517:K517)</f>
        <v>418999.06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74836.89</v>
      </c>
      <c r="G518" s="18">
        <f>34927.97-7396.28</f>
        <v>27531.690000000002</v>
      </c>
      <c r="H518" s="18">
        <v>76286</v>
      </c>
      <c r="I518" s="18">
        <v>0</v>
      </c>
      <c r="J518" s="18"/>
      <c r="K518" s="18"/>
      <c r="L518" s="88">
        <f>SUM(F518:K518)</f>
        <v>178654.58000000002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512396.68000000005</v>
      </c>
      <c r="G519" s="89">
        <f t="shared" ref="G519:L519" si="36">SUM(G516:G518)</f>
        <v>240587.98</v>
      </c>
      <c r="H519" s="89">
        <f t="shared" si="36"/>
        <v>304897</v>
      </c>
      <c r="I519" s="89">
        <f t="shared" si="36"/>
        <v>1985</v>
      </c>
      <c r="J519" s="89">
        <f t="shared" si="36"/>
        <v>0</v>
      </c>
      <c r="K519" s="89">
        <f t="shared" si="36"/>
        <v>0</v>
      </c>
      <c r="L519" s="89">
        <f t="shared" si="36"/>
        <v>1059866.6600000001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19005+1750</f>
        <v>20755</v>
      </c>
      <c r="G521" s="18">
        <v>12545.33</v>
      </c>
      <c r="H521" s="18">
        <v>988.34</v>
      </c>
      <c r="I521" s="18">
        <v>1423.26</v>
      </c>
      <c r="J521" s="18">
        <v>855.91</v>
      </c>
      <c r="K521" s="18">
        <v>551.08000000000004</v>
      </c>
      <c r="L521" s="88">
        <f>SUM(F521:K521)</f>
        <v>37118.920000000006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22743.69+7170</f>
        <v>29913.69</v>
      </c>
      <c r="G522" s="18">
        <v>15013.26</v>
      </c>
      <c r="H522" s="18">
        <v>1182.76</v>
      </c>
      <c r="I522" s="18">
        <v>1703.25</v>
      </c>
      <c r="J522" s="18">
        <v>1024.28</v>
      </c>
      <c r="K522" s="18">
        <v>659.49</v>
      </c>
      <c r="L522" s="88">
        <f>SUM(F522:K522)</f>
        <v>49496.729999999996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21809.02+1000</f>
        <v>22809.02</v>
      </c>
      <c r="G523" s="18">
        <v>14396.28</v>
      </c>
      <c r="H523" s="18">
        <v>1134.1600000000001</v>
      </c>
      <c r="I523" s="18">
        <v>1633.25</v>
      </c>
      <c r="J523" s="18">
        <v>982.19</v>
      </c>
      <c r="K523" s="18">
        <v>632.39</v>
      </c>
      <c r="L523" s="88">
        <f>SUM(F523:K523)</f>
        <v>41587.290000000008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73477.710000000006</v>
      </c>
      <c r="G524" s="89">
        <f t="shared" ref="G524:L524" si="37">SUM(G521:G523)</f>
        <v>41954.87</v>
      </c>
      <c r="H524" s="89">
        <f t="shared" si="37"/>
        <v>3305.26</v>
      </c>
      <c r="I524" s="89">
        <f t="shared" si="37"/>
        <v>4759.76</v>
      </c>
      <c r="J524" s="89">
        <f t="shared" si="37"/>
        <v>2862.38</v>
      </c>
      <c r="K524" s="89">
        <f t="shared" si="37"/>
        <v>1842.96</v>
      </c>
      <c r="L524" s="89">
        <f t="shared" si="37"/>
        <v>128202.94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0</v>
      </c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185</v>
      </c>
      <c r="I531" s="18"/>
      <c r="J531" s="18"/>
      <c r="K531" s="18"/>
      <c r="L531" s="88">
        <f>SUM(F531:K531)</f>
        <v>185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27229.599999999999</v>
      </c>
      <c r="I532" s="18"/>
      <c r="J532" s="18"/>
      <c r="K532" s="18"/>
      <c r="L532" s="88">
        <f>SUM(F532:K532)</f>
        <v>27229.599999999999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142897.15</v>
      </c>
      <c r="I533" s="18"/>
      <c r="J533" s="18"/>
      <c r="K533" s="18"/>
      <c r="L533" s="88">
        <f>SUM(F533:K533)</f>
        <v>142897.15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170311.75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170311.75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1152749.75</v>
      </c>
      <c r="G535" s="89">
        <f t="shared" ref="G535:L535" si="40">G514+G519+G524+G529+G534</f>
        <v>517563.66000000003</v>
      </c>
      <c r="H535" s="89">
        <f t="shared" si="40"/>
        <v>1215695.01</v>
      </c>
      <c r="I535" s="89">
        <f t="shared" si="40"/>
        <v>22152.93</v>
      </c>
      <c r="J535" s="89">
        <f t="shared" si="40"/>
        <v>8812.18</v>
      </c>
      <c r="K535" s="89">
        <f t="shared" si="40"/>
        <v>3685.92</v>
      </c>
      <c r="L535" s="89">
        <f t="shared" si="40"/>
        <v>2920659.45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552482.66</v>
      </c>
      <c r="G539" s="87">
        <f>L516</f>
        <v>462213.02</v>
      </c>
      <c r="H539" s="87">
        <f>L521</f>
        <v>37118.920000000006</v>
      </c>
      <c r="I539" s="87">
        <f>L526</f>
        <v>0</v>
      </c>
      <c r="J539" s="87">
        <f>L531</f>
        <v>185</v>
      </c>
      <c r="K539" s="87">
        <f>SUM(F539:J539)</f>
        <v>1051999.6000000001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239398.21</v>
      </c>
      <c r="G540" s="87">
        <f>L517</f>
        <v>418999.06</v>
      </c>
      <c r="H540" s="87">
        <f>L522</f>
        <v>49496.729999999996</v>
      </c>
      <c r="I540" s="87">
        <f>L527</f>
        <v>0</v>
      </c>
      <c r="J540" s="87">
        <f>L532</f>
        <v>27229.599999999999</v>
      </c>
      <c r="K540" s="87">
        <f>SUM(F540:J540)</f>
        <v>735123.6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770397.23</v>
      </c>
      <c r="G541" s="87">
        <f>L518</f>
        <v>178654.58000000002</v>
      </c>
      <c r="H541" s="87">
        <f>L523</f>
        <v>41587.290000000008</v>
      </c>
      <c r="I541" s="87">
        <f>L528</f>
        <v>0</v>
      </c>
      <c r="J541" s="87">
        <f>L533</f>
        <v>142897.15</v>
      </c>
      <c r="K541" s="87">
        <f>SUM(F541:J541)</f>
        <v>1133536.25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1562278.1</v>
      </c>
      <c r="G542" s="89">
        <f t="shared" si="41"/>
        <v>1059866.6600000001</v>
      </c>
      <c r="H542" s="89">
        <f t="shared" si="41"/>
        <v>128202.94</v>
      </c>
      <c r="I542" s="89">
        <f t="shared" si="41"/>
        <v>0</v>
      </c>
      <c r="J542" s="89">
        <f t="shared" si="41"/>
        <v>170311.75</v>
      </c>
      <c r="K542" s="89">
        <f t="shared" si="41"/>
        <v>2920659.45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12866</v>
      </c>
      <c r="G552" s="18">
        <v>4821.25</v>
      </c>
      <c r="H552" s="18"/>
      <c r="I552" s="18"/>
      <c r="J552" s="18"/>
      <c r="K552" s="18"/>
      <c r="L552" s="88">
        <f>SUM(F552:K552)</f>
        <v>17687.25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12866</v>
      </c>
      <c r="G553" s="18">
        <v>4821.25</v>
      </c>
      <c r="H553" s="18"/>
      <c r="I553" s="18"/>
      <c r="J553" s="18"/>
      <c r="K553" s="18"/>
      <c r="L553" s="88">
        <f>SUM(F553:K553)</f>
        <v>17687.25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12866</v>
      </c>
      <c r="G554" s="18">
        <v>4821.25</v>
      </c>
      <c r="H554" s="18"/>
      <c r="I554" s="18"/>
      <c r="J554" s="18"/>
      <c r="K554" s="18"/>
      <c r="L554" s="88">
        <f>SUM(F554:K554)</f>
        <v>17687.25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38598</v>
      </c>
      <c r="G555" s="89">
        <f t="shared" si="43"/>
        <v>14463.75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53061.75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45831</v>
      </c>
      <c r="G557" s="18">
        <v>9742.69</v>
      </c>
      <c r="H557" s="18"/>
      <c r="I557" s="18"/>
      <c r="J557" s="18"/>
      <c r="K557" s="18"/>
      <c r="L557" s="88">
        <f>SUM(F557:K557)</f>
        <v>55573.69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45831</v>
      </c>
      <c r="G560" s="194">
        <f t="shared" ref="G560:L560" si="44">SUM(G557:G559)</f>
        <v>9742.69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55573.69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84429</v>
      </c>
      <c r="G561" s="89">
        <f t="shared" ref="G561:L561" si="45">G550+G555+G560</f>
        <v>24206.440000000002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108635.44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12379.76</v>
      </c>
      <c r="I568" s="87">
        <f t="shared" si="46"/>
        <v>12379.76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5661.68</v>
      </c>
      <c r="G569" s="18"/>
      <c r="H569" s="18">
        <v>66824.34</v>
      </c>
      <c r="I569" s="87">
        <f t="shared" si="46"/>
        <v>72486.01999999999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30120.02</f>
        <v>30120.02</v>
      </c>
      <c r="G572" s="18">
        <v>135403.43</v>
      </c>
      <c r="H572" s="18">
        <v>348732.31</v>
      </c>
      <c r="I572" s="87">
        <f t="shared" si="46"/>
        <v>514255.76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93858.94</v>
      </c>
      <c r="I573" s="87">
        <f t="shared" si="46"/>
        <v>93858.94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15159.97</v>
      </c>
      <c r="I574" s="87">
        <f t="shared" si="46"/>
        <v>15159.97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153842.21</v>
      </c>
      <c r="I581" s="18">
        <v>84677.72</v>
      </c>
      <c r="J581" s="18">
        <v>84676.71</v>
      </c>
      <c r="K581" s="104">
        <f t="shared" ref="K581:K587" si="47">SUM(H581:J581)</f>
        <v>323196.64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185</v>
      </c>
      <c r="I582" s="18">
        <v>27229.599999999999</v>
      </c>
      <c r="J582" s="18">
        <v>142897.15</v>
      </c>
      <c r="K582" s="104">
        <f t="shared" si="47"/>
        <v>170311.75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1786.01</v>
      </c>
      <c r="K583" s="104">
        <f t="shared" si="47"/>
        <v>1786.01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6181.08</v>
      </c>
      <c r="J584" s="18">
        <v>27269.16</v>
      </c>
      <c r="K584" s="104">
        <f t="shared" si="47"/>
        <v>33450.239999999998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6157.5</v>
      </c>
      <c r="I585" s="18">
        <v>5611.67</v>
      </c>
      <c r="J585" s="18">
        <v>1927.84</v>
      </c>
      <c r="K585" s="104">
        <f t="shared" si="47"/>
        <v>13697.01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160184.71</v>
      </c>
      <c r="I588" s="108">
        <f>SUM(I581:I587)</f>
        <v>123700.07</v>
      </c>
      <c r="J588" s="108">
        <f>SUM(J581:J587)</f>
        <v>258556.87</v>
      </c>
      <c r="K588" s="108">
        <f>SUM(K581:K587)</f>
        <v>542441.65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</f>
        <v>3174.6400000000003</v>
      </c>
      <c r="I594" s="18">
        <f>J221</f>
        <v>10159.049999999999</v>
      </c>
      <c r="J594" s="18">
        <f>J239</f>
        <v>55308.29</v>
      </c>
      <c r="K594" s="104">
        <f>SUM(H594:J594)</f>
        <v>68641.98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3174.6400000000003</v>
      </c>
      <c r="I595" s="108">
        <f>SUM(I592:I594)</f>
        <v>10159.049999999999</v>
      </c>
      <c r="J595" s="108">
        <f>SUM(J592:J594)</f>
        <v>55308.29</v>
      </c>
      <c r="K595" s="108">
        <f>SUM(K592:K594)</f>
        <v>68641.98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19008.75</v>
      </c>
      <c r="G601" s="18">
        <v>1707.22</v>
      </c>
      <c r="H601" s="18"/>
      <c r="I601" s="18">
        <v>337.14</v>
      </c>
      <c r="J601" s="18"/>
      <c r="K601" s="18"/>
      <c r="L601" s="88">
        <f>SUM(F601:K601)</f>
        <v>21053.11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9133.75</v>
      </c>
      <c r="G602" s="18">
        <v>986.97</v>
      </c>
      <c r="H602" s="18"/>
      <c r="I602" s="18"/>
      <c r="J602" s="18"/>
      <c r="K602" s="18"/>
      <c r="L602" s="88">
        <f>SUM(F602:K602)</f>
        <v>10120.719999999999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723.75</v>
      </c>
      <c r="G603" s="18">
        <v>58.74</v>
      </c>
      <c r="H603" s="18"/>
      <c r="I603" s="18"/>
      <c r="J603" s="18"/>
      <c r="K603" s="18"/>
      <c r="L603" s="88">
        <f>SUM(F603:K603)</f>
        <v>782.49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28866.25</v>
      </c>
      <c r="G604" s="108">
        <f t="shared" si="48"/>
        <v>2752.93</v>
      </c>
      <c r="H604" s="108">
        <f t="shared" si="48"/>
        <v>0</v>
      </c>
      <c r="I604" s="108">
        <f t="shared" si="48"/>
        <v>337.14</v>
      </c>
      <c r="J604" s="108">
        <f t="shared" si="48"/>
        <v>0</v>
      </c>
      <c r="K604" s="108">
        <f t="shared" si="48"/>
        <v>0</v>
      </c>
      <c r="L604" s="89">
        <f t="shared" si="48"/>
        <v>31956.320000000003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538466.80000000005</v>
      </c>
      <c r="H607" s="109">
        <f>SUM(F44)</f>
        <v>538466.80000000005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197005.42</v>
      </c>
      <c r="H608" s="109">
        <f>SUM(G44)</f>
        <v>197005.41999999998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261195.92</v>
      </c>
      <c r="H611" s="109">
        <f>SUM(J44)</f>
        <v>261195.92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319485.32</v>
      </c>
      <c r="H612" s="109">
        <f>F466</f>
        <v>319485.3200000003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70239.959999999992</v>
      </c>
      <c r="H613" s="109">
        <f>G466</f>
        <v>70239.959999999963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261195.92</v>
      </c>
      <c r="H616" s="109">
        <f>J466</f>
        <v>261195.92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14278340.919999998</v>
      </c>
      <c r="H617" s="104">
        <f>SUM(F458)</f>
        <v>14278340.92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542222.35</v>
      </c>
      <c r="H618" s="104">
        <f>SUM(G458)</f>
        <v>542222.35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388</v>
      </c>
      <c r="H621" s="104">
        <f>SUM(J458)</f>
        <v>388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14164923.09</v>
      </c>
      <c r="H622" s="104">
        <f>SUM(F462)</f>
        <v>14164923.09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308633.77</v>
      </c>
      <c r="H624" s="104">
        <f>I361</f>
        <v>308633.76999999996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645378.39</v>
      </c>
      <c r="H625" s="104">
        <f>SUM(G462)</f>
        <v>645378.39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388</v>
      </c>
      <c r="H627" s="164">
        <f>SUM(J458)</f>
        <v>388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261195.92</v>
      </c>
      <c r="H629" s="104">
        <f>SUM(F451)</f>
        <v>261195.92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261195.92</v>
      </c>
      <c r="H632" s="104">
        <f>SUM(I451)</f>
        <v>261195.92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388</v>
      </c>
      <c r="H634" s="104">
        <f>H400</f>
        <v>388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388</v>
      </c>
      <c r="H636" s="104">
        <f>L400</f>
        <v>388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542441.65</v>
      </c>
      <c r="H637" s="104">
        <f>L200+L218+L236</f>
        <v>542441.65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68641.98</v>
      </c>
      <c r="H638" s="104">
        <f>(J249+J330)-(J247+J328)</f>
        <v>68641.98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160184.71</v>
      </c>
      <c r="H639" s="104">
        <f>H588</f>
        <v>160184.71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123700.07</v>
      </c>
      <c r="H640" s="104">
        <f>I588</f>
        <v>123700.07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258556.87</v>
      </c>
      <c r="H641" s="104">
        <f>J588</f>
        <v>258556.87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4950617.4399999995</v>
      </c>
      <c r="G650" s="19">
        <f>(L221+L301+L351)</f>
        <v>4049499.2100000009</v>
      </c>
      <c r="H650" s="19">
        <f>(L239+L320+L352)</f>
        <v>5188407.46</v>
      </c>
      <c r="I650" s="19">
        <f>SUM(F650:H650)</f>
        <v>14188524.109999999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71838.431139441615</v>
      </c>
      <c r="G651" s="19">
        <f>(L351/IF(SUM(L350:L352)=0,1,SUM(L350:L352))*(SUM(G89:G102)))</f>
        <v>54125.917652615382</v>
      </c>
      <c r="H651" s="19">
        <f>(L352/IF(SUM(L350:L352)=0,1,SUM(L350:L352))*(SUM(G89:G102)))</f>
        <v>55950.021207942977</v>
      </c>
      <c r="I651" s="19">
        <f>SUM(F651:H651)</f>
        <v>181914.36999999997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160184.71</v>
      </c>
      <c r="G652" s="19">
        <f>(L218+L298)-(J218+J298)</f>
        <v>123700.07</v>
      </c>
      <c r="H652" s="19">
        <f>(L236+L317)-(J236+J317)</f>
        <v>258556.87</v>
      </c>
      <c r="I652" s="19">
        <f>SUM(F652:H652)</f>
        <v>542441.65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60009.45</v>
      </c>
      <c r="G653" s="200">
        <f>SUM(G565:G577)+SUM(I592:I594)+L602</f>
        <v>155683.19999999998</v>
      </c>
      <c r="H653" s="200">
        <f>SUM(H565:H577)+SUM(J592:J594)+L603</f>
        <v>593046.1</v>
      </c>
      <c r="I653" s="19">
        <f>SUM(F653:H653)</f>
        <v>808738.75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4658584.8488605581</v>
      </c>
      <c r="G654" s="19">
        <f>G650-SUM(G651:G653)</f>
        <v>3715990.0223473855</v>
      </c>
      <c r="H654" s="19">
        <f>H650-SUM(H651:H653)</f>
        <v>4280854.4687920567</v>
      </c>
      <c r="I654" s="19">
        <f>I650-SUM(I651:I653)</f>
        <v>12655429.34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460.29</v>
      </c>
      <c r="G655" s="249">
        <v>411.18</v>
      </c>
      <c r="H655" s="249">
        <v>425.63</v>
      </c>
      <c r="I655" s="19">
        <f>SUM(F655:H655)</f>
        <v>1297.0999999999999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10120.98</v>
      </c>
      <c r="G657" s="19">
        <f>ROUND(G654/G655,2)</f>
        <v>9037.3799999999992</v>
      </c>
      <c r="H657" s="19">
        <f>ROUND(H654/H655,2)</f>
        <v>10057.69</v>
      </c>
      <c r="I657" s="19">
        <f>ROUND(I654/I655,2)</f>
        <v>9756.7099999999991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-12.29</v>
      </c>
      <c r="I660" s="19">
        <f>SUM(F660:H660)</f>
        <v>-12.29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10120.98</v>
      </c>
      <c r="G662" s="19">
        <f>ROUND((G654+G659)/(G655+G660),2)</f>
        <v>9037.3799999999992</v>
      </c>
      <c r="H662" s="19">
        <f>ROUND((H654+H659)/(H655+H660),2)</f>
        <v>10356.74</v>
      </c>
      <c r="I662" s="19">
        <f>ROUND((I654+I659)/(I655+I660),2)</f>
        <v>9850.0400000000009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2DC1-B798-4956-9155-843D8DDDB397}">
  <sheetPr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Franklin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3878949.23</v>
      </c>
      <c r="C9" s="230">
        <f>'DOE25'!G189+'DOE25'!G207+'DOE25'!G225+'DOE25'!G268+'DOE25'!G287+'DOE25'!G306</f>
        <v>1359482.49</v>
      </c>
    </row>
    <row r="10" spans="1:3" x14ac:dyDescent="0.2">
      <c r="A10" t="s">
        <v>810</v>
      </c>
      <c r="B10" s="241">
        <v>3694528.72</v>
      </c>
      <c r="C10" s="241">
        <v>1324616.76</v>
      </c>
    </row>
    <row r="11" spans="1:3" x14ac:dyDescent="0.2">
      <c r="A11" t="s">
        <v>811</v>
      </c>
      <c r="B11" s="241">
        <v>54972.32</v>
      </c>
      <c r="C11" s="241">
        <v>22568.15</v>
      </c>
    </row>
    <row r="12" spans="1:3" x14ac:dyDescent="0.2">
      <c r="A12" t="s">
        <v>812</v>
      </c>
      <c r="B12" s="241">
        <v>129448.19</v>
      </c>
      <c r="C12" s="241">
        <v>12297.58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3878949.23</v>
      </c>
      <c r="C13" s="232">
        <f>SUM(C10:C12)</f>
        <v>1359482.49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1156490.03</v>
      </c>
      <c r="C18" s="230">
        <f>'DOE25'!G190+'DOE25'!G208+'DOE25'!G226+'DOE25'!G269+'DOE25'!G288+'DOE25'!G307</f>
        <v>517563.66000000003</v>
      </c>
    </row>
    <row r="19" spans="1:3" x14ac:dyDescent="0.2">
      <c r="A19" t="s">
        <v>810</v>
      </c>
      <c r="B19" s="241">
        <v>566875.36</v>
      </c>
      <c r="C19" s="241">
        <v>235020.82</v>
      </c>
    </row>
    <row r="20" spans="1:3" x14ac:dyDescent="0.2">
      <c r="A20" t="s">
        <v>811</v>
      </c>
      <c r="B20" s="241">
        <v>512396.68</v>
      </c>
      <c r="C20" s="241">
        <v>240587.98</v>
      </c>
    </row>
    <row r="21" spans="1:3" x14ac:dyDescent="0.2">
      <c r="A21" t="s">
        <v>812</v>
      </c>
      <c r="B21" s="241">
        <v>77219.990000000005</v>
      </c>
      <c r="C21" s="241">
        <v>41954.86</v>
      </c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1156492.03</v>
      </c>
      <c r="C22" s="232">
        <f>SUM(C19:C21)</f>
        <v>517563.66000000003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125666.37</v>
      </c>
      <c r="C36" s="236">
        <f>'DOE25'!G192+'DOE25'!G210+'DOE25'!G228+'DOE25'!G271+'DOE25'!G290+'DOE25'!G309</f>
        <v>42497.479999999996</v>
      </c>
    </row>
    <row r="37" spans="1:3" x14ac:dyDescent="0.2">
      <c r="A37" t="s">
        <v>810</v>
      </c>
      <c r="B37" s="241">
        <v>125666.39</v>
      </c>
      <c r="C37" s="241">
        <v>42497.48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Error</v>
      </c>
      <c r="B40" s="232">
        <f>SUM(B37:B39)</f>
        <v>125666.39</v>
      </c>
      <c r="C40" s="232">
        <f>SUM(C37:C39)</f>
        <v>42497.48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991B-7E36-4139-B3B3-6438C32674F7}">
  <sheetPr>
    <tabColor indexed="11"/>
  </sheetPr>
  <dimension ref="A1:I51"/>
  <sheetViews>
    <sheetView workbookViewId="0">
      <pane ySplit="4" topLeftCell="A14" activePane="bottomLeft" state="frozen"/>
      <selection pane="bottomLeft" activeCell="D56" sqref="D5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Franklin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8222480.0899999999</v>
      </c>
      <c r="D5" s="20">
        <f>SUM('DOE25'!L189:L192)+SUM('DOE25'!L207:L210)+SUM('DOE25'!L225:L228)-F5-G5</f>
        <v>8180944.2800000003</v>
      </c>
      <c r="E5" s="244"/>
      <c r="F5" s="256">
        <f>SUM('DOE25'!J189:J192)+SUM('DOE25'!J207:J210)+SUM('DOE25'!J225:J228)</f>
        <v>27479.8</v>
      </c>
      <c r="G5" s="53">
        <f>SUM('DOE25'!K189:K192)+SUM('DOE25'!K207:K210)+SUM('DOE25'!K225:K228)</f>
        <v>14056.009999999998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1428277.04</v>
      </c>
      <c r="D6" s="20">
        <f>'DOE25'!L194+'DOE25'!L212+'DOE25'!L230-F6-G6</f>
        <v>1424695.06</v>
      </c>
      <c r="E6" s="244"/>
      <c r="F6" s="256">
        <f>'DOE25'!J194+'DOE25'!J212+'DOE25'!J230</f>
        <v>2661.98</v>
      </c>
      <c r="G6" s="53">
        <f>'DOE25'!K194+'DOE25'!K212+'DOE25'!K230</f>
        <v>920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286633.03999999998</v>
      </c>
      <c r="D7" s="20">
        <f>'DOE25'!L195+'DOE25'!L213+'DOE25'!L231-F7-G7</f>
        <v>258990.53999999998</v>
      </c>
      <c r="E7" s="244"/>
      <c r="F7" s="256">
        <f>'DOE25'!J195+'DOE25'!J213+'DOE25'!J231</f>
        <v>27642.5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409008.8600000001</v>
      </c>
      <c r="D8" s="244"/>
      <c r="E8" s="20">
        <f>'DOE25'!L196+'DOE25'!L214+'DOE25'!L232-F8-G8-D9-D11</f>
        <v>403061.63000000012</v>
      </c>
      <c r="F8" s="256">
        <f>'DOE25'!J196+'DOE25'!J214+'DOE25'!J232</f>
        <v>0</v>
      </c>
      <c r="G8" s="53">
        <f>'DOE25'!K196+'DOE25'!K214+'DOE25'!K232</f>
        <v>5947.2300000000005</v>
      </c>
      <c r="H8" s="260"/>
    </row>
    <row r="9" spans="1:9" x14ac:dyDescent="0.2">
      <c r="A9" s="32">
        <v>2310</v>
      </c>
      <c r="B9" t="s">
        <v>849</v>
      </c>
      <c r="C9" s="246">
        <f t="shared" si="0"/>
        <v>9069.94</v>
      </c>
      <c r="D9" s="245">
        <v>9069.94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23500</v>
      </c>
      <c r="D10" s="244"/>
      <c r="E10" s="245">
        <v>23500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245700</v>
      </c>
      <c r="D11" s="245">
        <v>245700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907606.92</v>
      </c>
      <c r="D12" s="20">
        <f>'DOE25'!L197+'DOE25'!L215+'DOE25'!L233-F12-G12</f>
        <v>901416.52</v>
      </c>
      <c r="E12" s="244"/>
      <c r="F12" s="256">
        <f>'DOE25'!J197+'DOE25'!J215+'DOE25'!J233</f>
        <v>2614.2600000000002</v>
      </c>
      <c r="G12" s="53">
        <f>'DOE25'!K197+'DOE25'!K215+'DOE25'!K233</f>
        <v>3576.1400000000003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1423221.56</v>
      </c>
      <c r="D14" s="20">
        <f>'DOE25'!L199+'DOE25'!L217+'DOE25'!L235-F14-G14</f>
        <v>1414978.12</v>
      </c>
      <c r="E14" s="244"/>
      <c r="F14" s="256">
        <f>'DOE25'!J199+'DOE25'!J217+'DOE25'!J235</f>
        <v>8243.44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542441.65</v>
      </c>
      <c r="D15" s="20">
        <f>'DOE25'!L200+'DOE25'!L218+'DOE25'!L236-F15-G15</f>
        <v>542441.65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68706.62</v>
      </c>
      <c r="D16" s="244"/>
      <c r="E16" s="20">
        <f>'DOE25'!L201+'DOE25'!L219+'DOE25'!L237-F16-G16</f>
        <v>68706.62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6497.26</v>
      </c>
      <c r="D17" s="20">
        <f>'DOE25'!L243-F17-G17</f>
        <v>6497.26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602116.11</v>
      </c>
      <c r="D25" s="244"/>
      <c r="E25" s="244"/>
      <c r="F25" s="259"/>
      <c r="G25" s="257"/>
      <c r="H25" s="258">
        <f>'DOE25'!L252+'DOE25'!L253+'DOE25'!L333+'DOE25'!L334</f>
        <v>602116.11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346920.28</v>
      </c>
      <c r="D29" s="20">
        <f>'DOE25'!L350+'DOE25'!L351+'DOE25'!L352-'DOE25'!I359-F29-G29</f>
        <v>330078.24000000005</v>
      </c>
      <c r="E29" s="244"/>
      <c r="F29" s="256">
        <f>'DOE25'!J350+'DOE25'!J351+'DOE25'!J352</f>
        <v>16842.04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13314811.609999998</v>
      </c>
      <c r="E33" s="247">
        <f>SUM(E5:E31)</f>
        <v>495268.25000000012</v>
      </c>
      <c r="F33" s="247">
        <f>SUM(F5:F31)</f>
        <v>85484.01999999999</v>
      </c>
      <c r="G33" s="247">
        <f>SUM(G5:G31)</f>
        <v>24499.379999999997</v>
      </c>
      <c r="H33" s="247">
        <f>SUM(H5:H31)</f>
        <v>602116.11</v>
      </c>
    </row>
    <row r="35" spans="2:8" ht="12" thickBot="1" x14ac:dyDescent="0.25">
      <c r="B35" s="254" t="s">
        <v>878</v>
      </c>
      <c r="D35" s="255">
        <f>E33</f>
        <v>495268.25000000012</v>
      </c>
      <c r="E35" s="250"/>
    </row>
    <row r="36" spans="2:8" ht="12" thickTop="1" x14ac:dyDescent="0.2">
      <c r="B36" t="s">
        <v>846</v>
      </c>
      <c r="D36" s="20">
        <f>D33</f>
        <v>13314811.609999998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D91A-4A07-4B9D-8F5C-A995F41DA24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12930.18</v>
      </c>
      <c r="D9" s="95">
        <f>'DOE25'!G9</f>
        <v>92995.5</v>
      </c>
      <c r="E9" s="95">
        <f>'DOE25'!H9</f>
        <v>0</v>
      </c>
      <c r="F9" s="95">
        <f>'DOE25'!I9</f>
        <v>0</v>
      </c>
      <c r="G9" s="95">
        <f>'DOE25'!J9</f>
        <v>261195.92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267398.46000000002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114633.67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136004.49</v>
      </c>
      <c r="D13" s="95">
        <f>'DOE25'!G13</f>
        <v>83369.41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7500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13758.95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6881.56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538466.80000000005</v>
      </c>
      <c r="D19" s="41">
        <f>SUM(D9:D18)</f>
        <v>197005.42</v>
      </c>
      <c r="E19" s="41">
        <f>SUM(E9:E18)</f>
        <v>0</v>
      </c>
      <c r="F19" s="41">
        <f>SUM(F9:F18)</f>
        <v>0</v>
      </c>
      <c r="G19" s="41">
        <f>SUM(G9:G18)</f>
        <v>261195.92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114633.67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4504.05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134312.46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80164.97</v>
      </c>
      <c r="D28" s="95">
        <f>'DOE25'!G29</f>
        <v>4213.38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5296.18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2622.23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218981.47999999998</v>
      </c>
      <c r="D32" s="41">
        <f>SUM(D22:D31)</f>
        <v>126765.46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13758.95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6881.56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319485.32</v>
      </c>
      <c r="D36" s="95">
        <f>'DOE25'!G37</f>
        <v>15407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34192.449999999997</v>
      </c>
      <c r="E40" s="95">
        <f>'DOE25'!H41</f>
        <v>0</v>
      </c>
      <c r="F40" s="95">
        <f>'DOE25'!I41</f>
        <v>0</v>
      </c>
      <c r="G40" s="95">
        <f>'DOE25'!J41</f>
        <v>261195.92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319485.32</v>
      </c>
      <c r="D42" s="41">
        <f>SUM(D34:D41)</f>
        <v>70239.959999999992</v>
      </c>
      <c r="E42" s="41">
        <f>SUM(E34:E41)</f>
        <v>0</v>
      </c>
      <c r="F42" s="41">
        <f>SUM(F34:F41)</f>
        <v>0</v>
      </c>
      <c r="G42" s="41">
        <f>SUM(G34:G41)</f>
        <v>261195.92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538466.80000000005</v>
      </c>
      <c r="D43" s="41">
        <f>D42+D32</f>
        <v>197005.41999999998</v>
      </c>
      <c r="E43" s="41">
        <f>E42+E32</f>
        <v>0</v>
      </c>
      <c r="F43" s="41">
        <f>F42+F32</f>
        <v>0</v>
      </c>
      <c r="G43" s="41">
        <f>G42+G32</f>
        <v>261195.92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3005396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739323.36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256.14</v>
      </c>
      <c r="D51" s="95">
        <f>'DOE25'!G88</f>
        <v>171.64</v>
      </c>
      <c r="E51" s="95">
        <f>'DOE25'!H88</f>
        <v>0</v>
      </c>
      <c r="F51" s="95">
        <f>'DOE25'!I88</f>
        <v>0</v>
      </c>
      <c r="G51" s="95">
        <f>'DOE25'!J88</f>
        <v>388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181914.37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138690.76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878270.26</v>
      </c>
      <c r="D54" s="130">
        <f>SUM(D49:D53)</f>
        <v>182086.01</v>
      </c>
      <c r="E54" s="130">
        <f>SUM(E49:E53)</f>
        <v>0</v>
      </c>
      <c r="F54" s="130">
        <f>SUM(F49:F53)</f>
        <v>0</v>
      </c>
      <c r="G54" s="130">
        <f>SUM(G49:G53)</f>
        <v>388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3883666.26</v>
      </c>
      <c r="D55" s="22">
        <f>D48+D54</f>
        <v>182086.01</v>
      </c>
      <c r="E55" s="22">
        <f>E48+E54</f>
        <v>0</v>
      </c>
      <c r="F55" s="22">
        <f>F48+F54</f>
        <v>0</v>
      </c>
      <c r="G55" s="22">
        <f>G48+G54</f>
        <v>388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8208931.3799999999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1337334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297735.62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9844000.9999999981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181944.16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165370.54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5197.99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9947.58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352512.69</v>
      </c>
      <c r="D70" s="130">
        <f>SUM(D64:D69)</f>
        <v>9947.58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10196513.689999998</v>
      </c>
      <c r="D73" s="130">
        <f>SUM(D71:D72)+D70+D62</f>
        <v>9947.58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123160.97</v>
      </c>
      <c r="D80" s="95">
        <f>SUM('DOE25'!G145:G153)</f>
        <v>350188.76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75000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198160.97</v>
      </c>
      <c r="D83" s="131">
        <f>SUM(D77:D82)</f>
        <v>350188.76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14278340.919999998</v>
      </c>
      <c r="D96" s="86">
        <f>D55+D73+D83+D95</f>
        <v>542222.35</v>
      </c>
      <c r="E96" s="86">
        <f>E55+E73+E83+E95</f>
        <v>0</v>
      </c>
      <c r="F96" s="86">
        <f>F55+F73+F83+F95</f>
        <v>0</v>
      </c>
      <c r="G96" s="86">
        <f>G55+G73+G95</f>
        <v>388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5531876.5600000005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2419270.6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15159.97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256172.96000000002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6497.26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8228977.3499999996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1428277.04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286633.03999999998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663778.80000000005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907606.92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1423221.56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542441.65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68706.62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645378.39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5320665.63</v>
      </c>
      <c r="D120" s="86">
        <f>SUM(D110:D119)</f>
        <v>645378.39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427409.71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174706.4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388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-388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13164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615280.11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14164923.09</v>
      </c>
      <c r="D137" s="86">
        <f>(D107+D120+D136)</f>
        <v>645378.39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8/99</v>
      </c>
      <c r="C144" s="152" t="str">
        <f>'DOE25'!G481</f>
        <v>05/06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8/19</v>
      </c>
      <c r="C145" s="152" t="str">
        <f>'DOE25'!G482</f>
        <v>05/26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5010376</v>
      </c>
      <c r="C146" s="137">
        <f>'DOE25'!G483</f>
        <v>2700000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4.26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2250000</v>
      </c>
      <c r="C148" s="137">
        <f>'DOE25'!G485</f>
        <v>2149288.77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4399288.7699999996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250000</v>
      </c>
      <c r="C150" s="137">
        <f>'DOE25'!G487</f>
        <v>142105.26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392105.26</v>
      </c>
    </row>
    <row r="151" spans="1:7" x14ac:dyDescent="0.2">
      <c r="A151" s="22" t="s">
        <v>35</v>
      </c>
      <c r="B151" s="137">
        <f>'DOE25'!F488</f>
        <v>2000000</v>
      </c>
      <c r="C151" s="137">
        <f>'DOE25'!G488</f>
        <v>2007183.51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4007183.51</v>
      </c>
    </row>
    <row r="152" spans="1:7" x14ac:dyDescent="0.2">
      <c r="A152" s="22" t="s">
        <v>36</v>
      </c>
      <c r="B152" s="137">
        <f>'DOE25'!F489</f>
        <v>537039.5</v>
      </c>
      <c r="C152" s="137">
        <f>'DOE25'!G489</f>
        <v>721974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1259013.5</v>
      </c>
    </row>
    <row r="153" spans="1:7" x14ac:dyDescent="0.2">
      <c r="A153" s="22" t="s">
        <v>37</v>
      </c>
      <c r="B153" s="137">
        <f>'DOE25'!F490</f>
        <v>2537039.5</v>
      </c>
      <c r="C153" s="137">
        <f>'DOE25'!G490</f>
        <v>2729157.51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5266197.01</v>
      </c>
    </row>
    <row r="154" spans="1:7" x14ac:dyDescent="0.2">
      <c r="A154" s="22" t="s">
        <v>38</v>
      </c>
      <c r="B154" s="137">
        <f>'DOE25'!F491</f>
        <v>250000</v>
      </c>
      <c r="C154" s="137">
        <f>'DOE25'!G491</f>
        <v>142105.26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392105.26</v>
      </c>
    </row>
    <row r="155" spans="1:7" x14ac:dyDescent="0.2">
      <c r="A155" s="22" t="s">
        <v>39</v>
      </c>
      <c r="B155" s="137">
        <f>'DOE25'!F492</f>
        <v>112773</v>
      </c>
      <c r="C155" s="137">
        <f>'DOE25'!G492</f>
        <v>88834.68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201607.67999999999</v>
      </c>
    </row>
    <row r="156" spans="1:7" x14ac:dyDescent="0.2">
      <c r="A156" s="22" t="s">
        <v>269</v>
      </c>
      <c r="B156" s="137">
        <f>'DOE25'!F493</f>
        <v>362773</v>
      </c>
      <c r="C156" s="137">
        <f>'DOE25'!G493</f>
        <v>230939.94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593712.93999999994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F3C1-DBBA-4A39-8F35-901792416CA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Franklin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10121</v>
      </c>
    </row>
    <row r="5" spans="1:4" x14ac:dyDescent="0.2">
      <c r="B5" t="s">
        <v>735</v>
      </c>
      <c r="C5" s="179">
        <f>IF('DOE25'!G655+'DOE25'!G660=0,0,ROUND('DOE25'!G662,0))</f>
        <v>9037</v>
      </c>
    </row>
    <row r="6" spans="1:4" x14ac:dyDescent="0.2">
      <c r="B6" t="s">
        <v>62</v>
      </c>
      <c r="C6" s="179">
        <f>IF('DOE25'!H655+'DOE25'!H660=0,0,ROUND('DOE25'!H662,0))</f>
        <v>10357</v>
      </c>
    </row>
    <row r="7" spans="1:4" x14ac:dyDescent="0.2">
      <c r="B7" t="s">
        <v>736</v>
      </c>
      <c r="C7" s="179">
        <f>IF('DOE25'!I655+'DOE25'!I660=0,0,ROUND('DOE25'!I662,0))</f>
        <v>9850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5531877</v>
      </c>
      <c r="D10" s="182">
        <f>ROUND((C10/$C$28)*100,1)</f>
        <v>39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2419271</v>
      </c>
      <c r="D11" s="182">
        <f>ROUND((C11/$C$28)*100,1)</f>
        <v>17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15160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256173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1428277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286633</v>
      </c>
      <c r="D16" s="182">
        <f t="shared" si="0"/>
        <v>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732485</v>
      </c>
      <c r="D17" s="182">
        <f t="shared" si="0"/>
        <v>5.2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907607</v>
      </c>
      <c r="D18" s="182">
        <f t="shared" si="0"/>
        <v>6.4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1423222</v>
      </c>
      <c r="D20" s="182">
        <f t="shared" si="0"/>
        <v>10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542442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6497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174706</v>
      </c>
      <c r="D25" s="182">
        <f t="shared" si="0"/>
        <v>1.2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13164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463463.63</v>
      </c>
      <c r="D27" s="182">
        <f t="shared" si="0"/>
        <v>3.3</v>
      </c>
    </row>
    <row r="28" spans="1:4" x14ac:dyDescent="0.2">
      <c r="B28" s="187" t="s">
        <v>754</v>
      </c>
      <c r="C28" s="180">
        <f>SUM(C10:C27)</f>
        <v>14200977.630000001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14200977.630000001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427410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3005396</v>
      </c>
      <c r="D35" s="182">
        <f t="shared" ref="D35:D40" si="1">ROUND((C35/$C$41)*100,1)</f>
        <v>20.5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878829.89999999944</v>
      </c>
      <c r="D36" s="182">
        <f t="shared" si="1"/>
        <v>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9844001</v>
      </c>
      <c r="D37" s="182">
        <f t="shared" si="1"/>
        <v>67.2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362460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548350</v>
      </c>
      <c r="D39" s="182">
        <f t="shared" si="1"/>
        <v>3.7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14639036.899999999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4352-FBD0-4434-B4A3-29EA43FCBD0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Franklin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3:M73"/>
    <mergeCell ref="C74:M74"/>
    <mergeCell ref="C66:M66"/>
    <mergeCell ref="C67:M67"/>
    <mergeCell ref="C68:M68"/>
    <mergeCell ref="C69:M69"/>
    <mergeCell ref="C20:M20"/>
    <mergeCell ref="C29:M29"/>
    <mergeCell ref="C25:M25"/>
    <mergeCell ref="C26:M26"/>
    <mergeCell ref="C70:M70"/>
    <mergeCell ref="A72:E72"/>
    <mergeCell ref="C27:M27"/>
    <mergeCell ref="C28:M28"/>
    <mergeCell ref="C21:M21"/>
    <mergeCell ref="C22:M2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42:M42"/>
    <mergeCell ref="P30:Z30"/>
    <mergeCell ref="AC30:AM30"/>
    <mergeCell ref="AP30:AZ30"/>
    <mergeCell ref="C41:M41"/>
    <mergeCell ref="C33:M33"/>
    <mergeCell ref="AC38:AM38"/>
    <mergeCell ref="AP38:AZ38"/>
    <mergeCell ref="HC29:HM29"/>
    <mergeCell ref="HP29:HZ29"/>
    <mergeCell ref="IC29:IM29"/>
    <mergeCell ref="IP29:IV29"/>
    <mergeCell ref="FC29:FM29"/>
    <mergeCell ref="FP29:FZ29"/>
    <mergeCell ref="BC30:BM30"/>
    <mergeCell ref="BP30:BZ30"/>
    <mergeCell ref="C37:M37"/>
    <mergeCell ref="C38:M38"/>
    <mergeCell ref="C39:M39"/>
    <mergeCell ref="C40:M40"/>
    <mergeCell ref="BP32:BZ32"/>
    <mergeCell ref="BC38:BM38"/>
    <mergeCell ref="P32:Z32"/>
    <mergeCell ref="AC32:AM32"/>
    <mergeCell ref="AP32:AZ32"/>
    <mergeCell ref="P38:Z38"/>
    <mergeCell ref="FC30:FM30"/>
    <mergeCell ref="CC30:CM30"/>
    <mergeCell ref="CP30:CZ30"/>
    <mergeCell ref="DC30:DM30"/>
    <mergeCell ref="DP30:DZ30"/>
    <mergeCell ref="EC30:EM30"/>
    <mergeCell ref="EP30:E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IC31:I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EC31:EM31"/>
    <mergeCell ref="EP31:EZ31"/>
    <mergeCell ref="FC31:FM31"/>
    <mergeCell ref="FC32:FM32"/>
    <mergeCell ref="GP32:GZ32"/>
    <mergeCell ref="HC32:HM32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DP31:DZ31"/>
    <mergeCell ref="CP38:CZ38"/>
    <mergeCell ref="DC38:DM38"/>
    <mergeCell ref="DP38:DZ38"/>
    <mergeCell ref="GC38:GM38"/>
    <mergeCell ref="EP32:EZ32"/>
    <mergeCell ref="FP32:FZ32"/>
    <mergeCell ref="GC32:GM32"/>
    <mergeCell ref="HP39:HZ39"/>
    <mergeCell ref="GC39:GM39"/>
    <mergeCell ref="GP39:GZ39"/>
    <mergeCell ref="GP38:GZ38"/>
    <mergeCell ref="BP38:BZ38"/>
    <mergeCell ref="CC38:CM38"/>
    <mergeCell ref="EC38:EM38"/>
    <mergeCell ref="EP38:EZ38"/>
    <mergeCell ref="FC38:FM38"/>
    <mergeCell ref="FP38:FZ38"/>
    <mergeCell ref="HC38:HM38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P39:Z39"/>
    <mergeCell ref="AC39:AM39"/>
    <mergeCell ref="AP39:AZ39"/>
    <mergeCell ref="CC39:CM39"/>
    <mergeCell ref="CP39:CZ39"/>
    <mergeCell ref="BP39:BZ39"/>
    <mergeCell ref="DP40:DZ40"/>
    <mergeCell ref="BC40:BM40"/>
    <mergeCell ref="BP40:BZ40"/>
    <mergeCell ref="DC39:DM39"/>
    <mergeCell ref="DP39:DZ39"/>
    <mergeCell ref="EC39:EM39"/>
    <mergeCell ref="P40:Z40"/>
    <mergeCell ref="AC40:AM40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2011-10-17T21:58:24Z</cp:lastPrinted>
  <dcterms:created xsi:type="dcterms:W3CDTF">1997-12-04T19:04:30Z</dcterms:created>
  <dcterms:modified xsi:type="dcterms:W3CDTF">2025-01-09T20:39:58Z</dcterms:modified>
</cp:coreProperties>
</file>