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workbookPassword="B30A" lockStructure="1"/>
  <bookViews>
    <workbookView xWindow="900" yWindow="-90" windowWidth="12735" windowHeight="6600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37" i="12" l="1"/>
  <c r="B21" i="12"/>
  <c r="B19" i="12"/>
  <c r="B10" i="12"/>
  <c r="B12" i="12"/>
  <c r="F29" i="1"/>
  <c r="G25" i="1"/>
  <c r="H516" i="1"/>
  <c r="J511" i="1"/>
  <c r="I511" i="1"/>
  <c r="H511" i="1"/>
  <c r="G511" i="1"/>
  <c r="F511" i="1"/>
  <c r="I350" i="1"/>
  <c r="H200" i="1"/>
  <c r="K196" i="1"/>
  <c r="H196" i="1"/>
  <c r="G196" i="1"/>
  <c r="F196" i="1"/>
  <c r="H194" i="1"/>
  <c r="G190" i="1"/>
  <c r="F190" i="1"/>
  <c r="H190" i="1"/>
  <c r="H230" i="1"/>
  <c r="H225" i="1"/>
  <c r="H236" i="1"/>
  <c r="J199" i="1"/>
  <c r="I199" i="1"/>
  <c r="H199" i="1"/>
  <c r="G199" i="1"/>
  <c r="F199" i="1"/>
  <c r="K197" i="1"/>
  <c r="I197" i="1"/>
  <c r="H197" i="1"/>
  <c r="G197" i="1"/>
  <c r="F197" i="1"/>
  <c r="I196" i="1"/>
  <c r="J195" i="1"/>
  <c r="I195" i="1"/>
  <c r="H195" i="1"/>
  <c r="G195" i="1"/>
  <c r="F195" i="1"/>
  <c r="J194" i="1"/>
  <c r="I194" i="1"/>
  <c r="G194" i="1"/>
  <c r="F194" i="1"/>
  <c r="L194" i="1"/>
  <c r="H192" i="1"/>
  <c r="G192" i="1"/>
  <c r="F192" i="1"/>
  <c r="J190" i="1"/>
  <c r="I190" i="1"/>
  <c r="G189" i="1"/>
  <c r="J189" i="1"/>
  <c r="I189" i="1"/>
  <c r="F189" i="1"/>
  <c r="H151" i="1"/>
  <c r="H147" i="1"/>
  <c r="H146" i="1"/>
  <c r="F102" i="1"/>
  <c r="F9" i="1"/>
  <c r="H29" i="1"/>
  <c r="F30" i="1"/>
  <c r="C37" i="10"/>
  <c r="C60" i="2"/>
  <c r="B2" i="13"/>
  <c r="F8" i="13"/>
  <c r="G8" i="13"/>
  <c r="L196" i="1"/>
  <c r="L214" i="1"/>
  <c r="L232" i="1"/>
  <c r="D39" i="13"/>
  <c r="F13" i="13"/>
  <c r="G13" i="13"/>
  <c r="L198" i="1"/>
  <c r="L216" i="1"/>
  <c r="C114" i="2" s="1"/>
  <c r="L234" i="1"/>
  <c r="E13" i="13"/>
  <c r="C13" i="13" s="1"/>
  <c r="F16" i="13"/>
  <c r="G16" i="13"/>
  <c r="L201" i="1"/>
  <c r="L219" i="1"/>
  <c r="C117" i="2" s="1"/>
  <c r="L237" i="1"/>
  <c r="E16" i="13"/>
  <c r="C16" i="13" s="1"/>
  <c r="F5" i="13"/>
  <c r="G5" i="13"/>
  <c r="L189" i="1"/>
  <c r="L190" i="1"/>
  <c r="L191" i="1"/>
  <c r="L192" i="1"/>
  <c r="L207" i="1"/>
  <c r="L208" i="1"/>
  <c r="L209" i="1"/>
  <c r="L210" i="1"/>
  <c r="L225" i="1"/>
  <c r="L226" i="1"/>
  <c r="L227" i="1"/>
  <c r="L228" i="1"/>
  <c r="F6" i="13"/>
  <c r="G6" i="13"/>
  <c r="L212" i="1"/>
  <c r="L230" i="1"/>
  <c r="F7" i="13"/>
  <c r="G7" i="13"/>
  <c r="L195" i="1"/>
  <c r="L213" i="1"/>
  <c r="L231" i="1"/>
  <c r="F12" i="13"/>
  <c r="G12" i="13"/>
  <c r="L197" i="1"/>
  <c r="L215" i="1"/>
  <c r="L233" i="1"/>
  <c r="F14" i="13"/>
  <c r="G14" i="13"/>
  <c r="L199" i="1"/>
  <c r="L217" i="1"/>
  <c r="L235" i="1"/>
  <c r="F15" i="13"/>
  <c r="G15" i="13"/>
  <c r="L200" i="1"/>
  <c r="L218" i="1"/>
  <c r="L236" i="1"/>
  <c r="F17" i="13"/>
  <c r="G17" i="13"/>
  <c r="L243" i="1"/>
  <c r="D17" i="13"/>
  <c r="C17" i="13" s="1"/>
  <c r="F18" i="13"/>
  <c r="G18" i="13"/>
  <c r="L244" i="1"/>
  <c r="F19" i="13"/>
  <c r="G19" i="13"/>
  <c r="L245" i="1"/>
  <c r="F29" i="13"/>
  <c r="G29" i="13"/>
  <c r="L350" i="1"/>
  <c r="L351" i="1"/>
  <c r="L352" i="1"/>
  <c r="I359" i="1"/>
  <c r="J282" i="1"/>
  <c r="J301" i="1"/>
  <c r="J320" i="1"/>
  <c r="K282" i="1"/>
  <c r="K301" i="1"/>
  <c r="K320" i="1"/>
  <c r="L268" i="1"/>
  <c r="L269" i="1"/>
  <c r="L270" i="1"/>
  <c r="L271" i="1"/>
  <c r="L273" i="1"/>
  <c r="L274" i="1"/>
  <c r="L275" i="1"/>
  <c r="L276" i="1"/>
  <c r="L277" i="1"/>
  <c r="L278" i="1"/>
  <c r="L279" i="1"/>
  <c r="L280" i="1"/>
  <c r="L287" i="1"/>
  <c r="L288" i="1"/>
  <c r="L301" i="1" s="1"/>
  <c r="L289" i="1"/>
  <c r="L290" i="1"/>
  <c r="L292" i="1"/>
  <c r="L293" i="1"/>
  <c r="L294" i="1"/>
  <c r="L295" i="1"/>
  <c r="L296" i="1"/>
  <c r="L297" i="1"/>
  <c r="L298" i="1"/>
  <c r="G652" i="1" s="1"/>
  <c r="L299" i="1"/>
  <c r="L306" i="1"/>
  <c r="L307" i="1"/>
  <c r="L308" i="1"/>
  <c r="L309" i="1"/>
  <c r="L311" i="1"/>
  <c r="L312" i="1"/>
  <c r="L313" i="1"/>
  <c r="L314" i="1"/>
  <c r="L315" i="1"/>
  <c r="L316" i="1"/>
  <c r="L317" i="1"/>
  <c r="L318" i="1"/>
  <c r="L325" i="1"/>
  <c r="L326" i="1"/>
  <c r="L327" i="1"/>
  <c r="L252" i="1"/>
  <c r="L253" i="1"/>
  <c r="L333" i="1"/>
  <c r="L334" i="1"/>
  <c r="L247" i="1"/>
  <c r="C122" i="2" s="1"/>
  <c r="L328" i="1"/>
  <c r="C11" i="13"/>
  <c r="C10" i="13"/>
  <c r="C9" i="13"/>
  <c r="L353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79" i="1"/>
  <c r="L380" i="1"/>
  <c r="L381" i="1"/>
  <c r="L382" i="1"/>
  <c r="L383" i="1"/>
  <c r="L384" i="1"/>
  <c r="L387" i="1"/>
  <c r="L388" i="1"/>
  <c r="L389" i="1"/>
  <c r="L390" i="1"/>
  <c r="L391" i="1"/>
  <c r="L392" i="1"/>
  <c r="L395" i="1"/>
  <c r="L396" i="1"/>
  <c r="L397" i="1"/>
  <c r="L398" i="1"/>
  <c r="L258" i="1"/>
  <c r="J52" i="1"/>
  <c r="G48" i="2" s="1"/>
  <c r="G51" i="2"/>
  <c r="G53" i="2"/>
  <c r="F2" i="11"/>
  <c r="L603" i="1"/>
  <c r="H653" i="1" s="1"/>
  <c r="L602" i="1"/>
  <c r="G653" i="1" s="1"/>
  <c r="L601" i="1"/>
  <c r="C40" i="10"/>
  <c r="F52" i="1"/>
  <c r="G52" i="1"/>
  <c r="H52" i="1"/>
  <c r="I52" i="1"/>
  <c r="F48" i="2" s="1"/>
  <c r="F71" i="1"/>
  <c r="F86" i="1"/>
  <c r="F103" i="1"/>
  <c r="G103" i="1"/>
  <c r="H71" i="1"/>
  <c r="H86" i="1"/>
  <c r="E50" i="2" s="1"/>
  <c r="H103" i="1"/>
  <c r="I103" i="1"/>
  <c r="J103" i="1"/>
  <c r="F113" i="1"/>
  <c r="F128" i="1"/>
  <c r="G113" i="1"/>
  <c r="G128" i="1"/>
  <c r="G132" i="1" s="1"/>
  <c r="H113" i="1"/>
  <c r="H128" i="1"/>
  <c r="H132" i="1" s="1"/>
  <c r="I113" i="1"/>
  <c r="I128" i="1"/>
  <c r="J113" i="1"/>
  <c r="J128" i="1"/>
  <c r="F139" i="1"/>
  <c r="C77" i="2" s="1"/>
  <c r="F154" i="1"/>
  <c r="F161" i="1" s="1"/>
  <c r="G139" i="1"/>
  <c r="G154" i="1"/>
  <c r="G161" i="1" s="1"/>
  <c r="H139" i="1"/>
  <c r="E77" i="2" s="1"/>
  <c r="H154" i="1"/>
  <c r="H161" i="1" s="1"/>
  <c r="I139" i="1"/>
  <c r="F77" i="2" s="1"/>
  <c r="I154" i="1"/>
  <c r="C12" i="10"/>
  <c r="L242" i="1"/>
  <c r="C105" i="2" s="1"/>
  <c r="L324" i="1"/>
  <c r="L246" i="1"/>
  <c r="L260" i="1"/>
  <c r="L261" i="1"/>
  <c r="L341" i="1"/>
  <c r="E134" i="2" s="1"/>
  <c r="L342" i="1"/>
  <c r="E135" i="2" s="1"/>
  <c r="I655" i="1"/>
  <c r="I660" i="1"/>
  <c r="G651" i="1"/>
  <c r="I659" i="1"/>
  <c r="C5" i="10"/>
  <c r="C42" i="10"/>
  <c r="L366" i="1"/>
  <c r="L367" i="1"/>
  <c r="L368" i="1"/>
  <c r="L369" i="1"/>
  <c r="L370" i="1"/>
  <c r="L371" i="1"/>
  <c r="L372" i="1"/>
  <c r="B2" i="10"/>
  <c r="L336" i="1"/>
  <c r="L337" i="1"/>
  <c r="E127" i="2" s="1"/>
  <c r="L338" i="1"/>
  <c r="L339" i="1"/>
  <c r="K343" i="1"/>
  <c r="L511" i="1"/>
  <c r="F539" i="1" s="1"/>
  <c r="L512" i="1"/>
  <c r="L513" i="1"/>
  <c r="F541" i="1" s="1"/>
  <c r="L516" i="1"/>
  <c r="L517" i="1"/>
  <c r="G540" i="1" s="1"/>
  <c r="L518" i="1"/>
  <c r="G541" i="1" s="1"/>
  <c r="L521" i="1"/>
  <c r="H539" i="1" s="1"/>
  <c r="L522" i="1"/>
  <c r="H540" i="1" s="1"/>
  <c r="L523" i="1"/>
  <c r="H541" i="1" s="1"/>
  <c r="L526" i="1"/>
  <c r="I539" i="1" s="1"/>
  <c r="L527" i="1"/>
  <c r="I540" i="1" s="1"/>
  <c r="L528" i="1"/>
  <c r="I541" i="1" s="1"/>
  <c r="L531" i="1"/>
  <c r="J539" i="1" s="1"/>
  <c r="L532" i="1"/>
  <c r="J540" i="1" s="1"/>
  <c r="L533" i="1"/>
  <c r="J541" i="1" s="1"/>
  <c r="E123" i="2"/>
  <c r="K262" i="1"/>
  <c r="J262" i="1"/>
  <c r="I262" i="1"/>
  <c r="H262" i="1"/>
  <c r="G262" i="1"/>
  <c r="F262" i="1"/>
  <c r="C124" i="2"/>
  <c r="A1" i="2"/>
  <c r="A2" i="2"/>
  <c r="C9" i="2"/>
  <c r="D9" i="2"/>
  <c r="E9" i="2"/>
  <c r="F9" i="2"/>
  <c r="I431" i="1"/>
  <c r="C10" i="2"/>
  <c r="D10" i="2"/>
  <c r="E10" i="2"/>
  <c r="F10" i="2"/>
  <c r="I432" i="1"/>
  <c r="J10" i="1" s="1"/>
  <c r="G10" i="2" s="1"/>
  <c r="C11" i="2"/>
  <c r="C12" i="2"/>
  <c r="D12" i="2"/>
  <c r="E12" i="2"/>
  <c r="F12" i="2"/>
  <c r="I433" i="1"/>
  <c r="J12" i="1" s="1"/>
  <c r="G12" i="2" s="1"/>
  <c r="C13" i="2"/>
  <c r="D13" i="2"/>
  <c r="E13" i="2"/>
  <c r="F13" i="2"/>
  <c r="I434" i="1"/>
  <c r="J13" i="1" s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 s="1"/>
  <c r="G18" i="2" s="1"/>
  <c r="C22" i="2"/>
  <c r="D22" i="2"/>
  <c r="E22" i="2"/>
  <c r="F22" i="2"/>
  <c r="I440" i="1"/>
  <c r="C23" i="2"/>
  <c r="D23" i="2"/>
  <c r="E23" i="2"/>
  <c r="F23" i="2"/>
  <c r="I441" i="1"/>
  <c r="J24" i="1" s="1"/>
  <c r="G23" i="2"/>
  <c r="C24" i="2"/>
  <c r="D24" i="2"/>
  <c r="E24" i="2"/>
  <c r="F24" i="2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/>
  <c r="C34" i="2"/>
  <c r="D34" i="2"/>
  <c r="E34" i="2"/>
  <c r="F34" i="2"/>
  <c r="C35" i="2"/>
  <c r="D35" i="2"/>
  <c r="E35" i="2"/>
  <c r="F35" i="2"/>
  <c r="C36" i="2"/>
  <c r="D36" i="2"/>
  <c r="E36" i="2"/>
  <c r="F36" i="2"/>
  <c r="I446" i="1"/>
  <c r="J37" i="1"/>
  <c r="C37" i="2"/>
  <c r="D37" i="2"/>
  <c r="E37" i="2"/>
  <c r="F37" i="2"/>
  <c r="I447" i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C48" i="2"/>
  <c r="E48" i="2"/>
  <c r="C49" i="2"/>
  <c r="C50" i="2"/>
  <c r="C51" i="2"/>
  <c r="D51" i="2"/>
  <c r="E51" i="2"/>
  <c r="F51" i="2"/>
  <c r="D52" i="2"/>
  <c r="C53" i="2"/>
  <c r="D53" i="2"/>
  <c r="E53" i="2"/>
  <c r="F53" i="2"/>
  <c r="F54" i="2" s="1"/>
  <c r="C58" i="2"/>
  <c r="C59" i="2"/>
  <c r="C61" i="2"/>
  <c r="D61" i="2"/>
  <c r="D62" i="2" s="1"/>
  <c r="E61" i="2"/>
  <c r="E62" i="2"/>
  <c r="F61" i="2"/>
  <c r="G61" i="2"/>
  <c r="G62" i="2" s="1"/>
  <c r="F62" i="2"/>
  <c r="C64" i="2"/>
  <c r="F64" i="2"/>
  <c r="C65" i="2"/>
  <c r="F65" i="2"/>
  <c r="C66" i="2"/>
  <c r="C67" i="2"/>
  <c r="C68" i="2"/>
  <c r="E68" i="2"/>
  <c r="F68" i="2"/>
  <c r="C69" i="2"/>
  <c r="D69" i="2"/>
  <c r="D70" i="2" s="1"/>
  <c r="E69" i="2"/>
  <c r="F69" i="2"/>
  <c r="G69" i="2"/>
  <c r="G70" i="2" s="1"/>
  <c r="E70" i="2"/>
  <c r="E73" i="2" s="1"/>
  <c r="C71" i="2"/>
  <c r="D71" i="2"/>
  <c r="E71" i="2"/>
  <c r="C72" i="2"/>
  <c r="E72" i="2"/>
  <c r="D77" i="2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F85" i="2"/>
  <c r="C86" i="2"/>
  <c r="F86" i="2"/>
  <c r="D88" i="2"/>
  <c r="E88" i="2"/>
  <c r="F88" i="2"/>
  <c r="G88" i="2"/>
  <c r="C89" i="2"/>
  <c r="D89" i="2"/>
  <c r="E89" i="2"/>
  <c r="F89" i="2"/>
  <c r="G89" i="2"/>
  <c r="C90" i="2"/>
  <c r="D90" i="2"/>
  <c r="E90" i="2"/>
  <c r="E91" i="2"/>
  <c r="E92" i="2"/>
  <c r="E93" i="2"/>
  <c r="E94" i="2"/>
  <c r="G90" i="2"/>
  <c r="C91" i="2"/>
  <c r="D91" i="2"/>
  <c r="F91" i="2"/>
  <c r="C92" i="2"/>
  <c r="D92" i="2"/>
  <c r="F92" i="2"/>
  <c r="C93" i="2"/>
  <c r="D93" i="2"/>
  <c r="F93" i="2"/>
  <c r="C94" i="2"/>
  <c r="D94" i="2"/>
  <c r="F94" i="2"/>
  <c r="G95" i="2"/>
  <c r="E104" i="2"/>
  <c r="E105" i="2"/>
  <c r="C103" i="2"/>
  <c r="C104" i="2"/>
  <c r="D107" i="2"/>
  <c r="F107" i="2"/>
  <c r="G107" i="2"/>
  <c r="E111" i="2"/>
  <c r="C115" i="2"/>
  <c r="E113" i="2"/>
  <c r="E117" i="2"/>
  <c r="F120" i="2"/>
  <c r="G120" i="2"/>
  <c r="F122" i="2"/>
  <c r="F136" i="2" s="1"/>
  <c r="D126" i="2"/>
  <c r="E126" i="2"/>
  <c r="F126" i="2"/>
  <c r="K411" i="1"/>
  <c r="K419" i="1"/>
  <c r="K425" i="1"/>
  <c r="L255" i="1"/>
  <c r="C127" i="2"/>
  <c r="L256" i="1"/>
  <c r="C128" i="2" s="1"/>
  <c r="L257" i="1"/>
  <c r="C129" i="2" s="1"/>
  <c r="E129" i="2"/>
  <c r="C134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F490" i="1"/>
  <c r="B153" i="2" s="1"/>
  <c r="G490" i="1"/>
  <c r="C153" i="2" s="1"/>
  <c r="H490" i="1"/>
  <c r="D153" i="2" s="1"/>
  <c r="I490" i="1"/>
  <c r="E153" i="2"/>
  <c r="J490" i="1"/>
  <c r="F153" i="2"/>
  <c r="B154" i="2"/>
  <c r="C154" i="2"/>
  <c r="D154" i="2"/>
  <c r="E154" i="2"/>
  <c r="F154" i="2"/>
  <c r="G154" i="2"/>
  <c r="B155" i="2"/>
  <c r="C155" i="2"/>
  <c r="D155" i="2"/>
  <c r="E155" i="2"/>
  <c r="F155" i="2"/>
  <c r="G155" i="2"/>
  <c r="F493" i="1"/>
  <c r="B156" i="2" s="1"/>
  <c r="G493" i="1"/>
  <c r="C156" i="2" s="1"/>
  <c r="H493" i="1"/>
  <c r="D156" i="2" s="1"/>
  <c r="I493" i="1"/>
  <c r="E156" i="2" s="1"/>
  <c r="J493" i="1"/>
  <c r="F156" i="2" s="1"/>
  <c r="F19" i="1"/>
  <c r="G19" i="1"/>
  <c r="G608" i="1" s="1"/>
  <c r="H19" i="1"/>
  <c r="I19" i="1"/>
  <c r="G610" i="1" s="1"/>
  <c r="F33" i="1"/>
  <c r="G33" i="1"/>
  <c r="H33" i="1"/>
  <c r="I33" i="1"/>
  <c r="F43" i="1"/>
  <c r="G43" i="1"/>
  <c r="G613" i="1" s="1"/>
  <c r="H43" i="1"/>
  <c r="I43" i="1"/>
  <c r="G615" i="1" s="1"/>
  <c r="F169" i="1"/>
  <c r="I169" i="1"/>
  <c r="F175" i="1"/>
  <c r="G175" i="1"/>
  <c r="H175" i="1"/>
  <c r="I175" i="1"/>
  <c r="J175" i="1"/>
  <c r="J184" i="1" s="1"/>
  <c r="F180" i="1"/>
  <c r="G180" i="1"/>
  <c r="H180" i="1"/>
  <c r="I180" i="1"/>
  <c r="G203" i="1"/>
  <c r="H203" i="1"/>
  <c r="I203" i="1"/>
  <c r="J203" i="1"/>
  <c r="K203" i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J248" i="1"/>
  <c r="K248" i="1"/>
  <c r="F282" i="1"/>
  <c r="G282" i="1"/>
  <c r="H282" i="1"/>
  <c r="I282" i="1"/>
  <c r="F301" i="1"/>
  <c r="G301" i="1"/>
  <c r="H301" i="1"/>
  <c r="I301" i="1"/>
  <c r="F320" i="1"/>
  <c r="G320" i="1"/>
  <c r="H320" i="1"/>
  <c r="I320" i="1"/>
  <c r="F329" i="1"/>
  <c r="G329" i="1"/>
  <c r="H329" i="1"/>
  <c r="I329" i="1"/>
  <c r="J329" i="1"/>
  <c r="K329" i="1"/>
  <c r="F354" i="1"/>
  <c r="G354" i="1"/>
  <c r="H354" i="1"/>
  <c r="I35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F399" i="1"/>
  <c r="G399" i="1"/>
  <c r="H399" i="1"/>
  <c r="I399" i="1"/>
  <c r="F400" i="1"/>
  <c r="G400" i="1"/>
  <c r="H635" i="1" s="1"/>
  <c r="H400" i="1"/>
  <c r="H634" i="1" s="1"/>
  <c r="I400" i="1"/>
  <c r="L405" i="1"/>
  <c r="L406" i="1"/>
  <c r="L407" i="1"/>
  <c r="L408" i="1"/>
  <c r="L409" i="1"/>
  <c r="L410" i="1"/>
  <c r="F411" i="1"/>
  <c r="G411" i="1"/>
  <c r="H411" i="1"/>
  <c r="I411" i="1"/>
  <c r="J411" i="1"/>
  <c r="L413" i="1"/>
  <c r="L414" i="1"/>
  <c r="L415" i="1"/>
  <c r="L416" i="1"/>
  <c r="L417" i="1"/>
  <c r="L418" i="1"/>
  <c r="F419" i="1"/>
  <c r="G419" i="1"/>
  <c r="G426" i="1" s="1"/>
  <c r="H419" i="1"/>
  <c r="I419" i="1"/>
  <c r="J419" i="1"/>
  <c r="L421" i="1"/>
  <c r="L422" i="1"/>
  <c r="L423" i="1"/>
  <c r="L424" i="1"/>
  <c r="F425" i="1"/>
  <c r="G425" i="1"/>
  <c r="H425" i="1"/>
  <c r="I425" i="1"/>
  <c r="J425" i="1"/>
  <c r="F438" i="1"/>
  <c r="G629" i="1" s="1"/>
  <c r="G438" i="1"/>
  <c r="H438" i="1"/>
  <c r="G631" i="1" s="1"/>
  <c r="F444" i="1"/>
  <c r="G444" i="1"/>
  <c r="G451" i="1" s="1"/>
  <c r="H630" i="1" s="1"/>
  <c r="J630" i="1" s="1"/>
  <c r="H444" i="1"/>
  <c r="F450" i="1"/>
  <c r="F451" i="1" s="1"/>
  <c r="H629" i="1" s="1"/>
  <c r="G450" i="1"/>
  <c r="H450" i="1"/>
  <c r="H451" i="1" s="1"/>
  <c r="H631" i="1" s="1"/>
  <c r="F460" i="1"/>
  <c r="G460" i="1"/>
  <c r="H460" i="1"/>
  <c r="I460" i="1"/>
  <c r="J460" i="1"/>
  <c r="F464" i="1"/>
  <c r="G464" i="1"/>
  <c r="H464" i="1"/>
  <c r="I464" i="1"/>
  <c r="I466" i="1" s="1"/>
  <c r="H615" i="1" s="1"/>
  <c r="J464" i="1"/>
  <c r="K485" i="1"/>
  <c r="K486" i="1"/>
  <c r="K487" i="1"/>
  <c r="K488" i="1"/>
  <c r="K489" i="1"/>
  <c r="K490" i="1"/>
  <c r="K491" i="1"/>
  <c r="K492" i="1"/>
  <c r="K493" i="1"/>
  <c r="F507" i="1"/>
  <c r="G507" i="1"/>
  <c r="H507" i="1"/>
  <c r="I507" i="1"/>
  <c r="F514" i="1"/>
  <c r="G514" i="1"/>
  <c r="H514" i="1"/>
  <c r="I514" i="1"/>
  <c r="J514" i="1"/>
  <c r="K514" i="1"/>
  <c r="F519" i="1"/>
  <c r="G519" i="1"/>
  <c r="H519" i="1"/>
  <c r="I519" i="1"/>
  <c r="J519" i="1"/>
  <c r="K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47" i="1"/>
  <c r="L548" i="1"/>
  <c r="L549" i="1"/>
  <c r="F550" i="1"/>
  <c r="G550" i="1"/>
  <c r="H550" i="1"/>
  <c r="I550" i="1"/>
  <c r="J550" i="1"/>
  <c r="K550" i="1"/>
  <c r="L552" i="1"/>
  <c r="L553" i="1"/>
  <c r="L554" i="1"/>
  <c r="L555" i="1" s="1"/>
  <c r="F555" i="1"/>
  <c r="G555" i="1"/>
  <c r="H555" i="1"/>
  <c r="I555" i="1"/>
  <c r="J555" i="1"/>
  <c r="K555" i="1"/>
  <c r="K561" i="1" s="1"/>
  <c r="L557" i="1"/>
  <c r="L558" i="1"/>
  <c r="L559" i="1"/>
  <c r="F560" i="1"/>
  <c r="G560" i="1"/>
  <c r="H560" i="1"/>
  <c r="I560" i="1"/>
  <c r="J560" i="1"/>
  <c r="K560" i="1"/>
  <c r="H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H639" i="1" s="1"/>
  <c r="I588" i="1"/>
  <c r="H640" i="1" s="1"/>
  <c r="J588" i="1"/>
  <c r="H641" i="1" s="1"/>
  <c r="K592" i="1"/>
  <c r="K593" i="1"/>
  <c r="K594" i="1"/>
  <c r="K595" i="1" s="1"/>
  <c r="G638" i="1" s="1"/>
  <c r="H595" i="1"/>
  <c r="I595" i="1"/>
  <c r="J595" i="1"/>
  <c r="F604" i="1"/>
  <c r="G604" i="1"/>
  <c r="H604" i="1"/>
  <c r="I604" i="1"/>
  <c r="J604" i="1"/>
  <c r="K604" i="1"/>
  <c r="G607" i="1"/>
  <c r="G609" i="1"/>
  <c r="G612" i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30" i="1"/>
  <c r="G633" i="1"/>
  <c r="H633" i="1"/>
  <c r="G634" i="1"/>
  <c r="J634" i="1" s="1"/>
  <c r="G635" i="1"/>
  <c r="H637" i="1"/>
  <c r="G640" i="1"/>
  <c r="G642" i="1"/>
  <c r="H642" i="1"/>
  <c r="G643" i="1"/>
  <c r="H643" i="1"/>
  <c r="G644" i="1"/>
  <c r="H644" i="1"/>
  <c r="G645" i="1"/>
  <c r="H645" i="1"/>
  <c r="E42" i="2"/>
  <c r="G152" i="2"/>
  <c r="E83" i="2"/>
  <c r="C19" i="2"/>
  <c r="J466" i="1" l="1"/>
  <c r="H616" i="1" s="1"/>
  <c r="I330" i="1"/>
  <c r="I344" i="1" s="1"/>
  <c r="G330" i="1"/>
  <c r="G344" i="1" s="1"/>
  <c r="I249" i="1"/>
  <c r="I263" i="1" s="1"/>
  <c r="F32" i="2"/>
  <c r="H104" i="1"/>
  <c r="G31" i="13"/>
  <c r="C13" i="10"/>
  <c r="C102" i="2"/>
  <c r="J644" i="1"/>
  <c r="J643" i="1"/>
  <c r="G561" i="1"/>
  <c r="I426" i="1"/>
  <c r="J635" i="1"/>
  <c r="H330" i="1"/>
  <c r="H344" i="1" s="1"/>
  <c r="G184" i="1"/>
  <c r="J615" i="1"/>
  <c r="G149" i="2"/>
  <c r="D54" i="2"/>
  <c r="F83" i="2"/>
  <c r="A31" i="12"/>
  <c r="E115" i="2"/>
  <c r="E103" i="2"/>
  <c r="F31" i="13"/>
  <c r="D14" i="13"/>
  <c r="C14" i="13" s="1"/>
  <c r="E8" i="13"/>
  <c r="C8" i="13" s="1"/>
  <c r="G156" i="2"/>
  <c r="G148" i="2"/>
  <c r="F466" i="1"/>
  <c r="H612" i="1" s="1"/>
  <c r="G466" i="1"/>
  <c r="H613" i="1" s="1"/>
  <c r="I535" i="1"/>
  <c r="I361" i="1"/>
  <c r="H624" i="1" s="1"/>
  <c r="J624" i="1"/>
  <c r="D29" i="13"/>
  <c r="C29" i="13" s="1"/>
  <c r="L262" i="1"/>
  <c r="H542" i="1"/>
  <c r="H535" i="1"/>
  <c r="D15" i="13"/>
  <c r="C15" i="13" s="1"/>
  <c r="H249" i="1"/>
  <c r="H263" i="1" s="1"/>
  <c r="L239" i="1"/>
  <c r="C113" i="2"/>
  <c r="D6" i="13"/>
  <c r="C6" i="13" s="1"/>
  <c r="C15" i="10"/>
  <c r="F203" i="1"/>
  <c r="C110" i="2"/>
  <c r="C10" i="10"/>
  <c r="G249" i="1"/>
  <c r="G263" i="1" s="1"/>
  <c r="C62" i="2"/>
  <c r="F104" i="1"/>
  <c r="J613" i="1"/>
  <c r="I542" i="1"/>
  <c r="K541" i="1"/>
  <c r="L320" i="1"/>
  <c r="D19" i="13"/>
  <c r="C19" i="13" s="1"/>
  <c r="C20" i="10"/>
  <c r="J645" i="1"/>
  <c r="J642" i="1"/>
  <c r="J633" i="1"/>
  <c r="L560" i="1"/>
  <c r="I561" i="1"/>
  <c r="F561" i="1"/>
  <c r="L524" i="1"/>
  <c r="J535" i="1"/>
  <c r="L425" i="1"/>
  <c r="L411" i="1"/>
  <c r="K249" i="1"/>
  <c r="K263" i="1" s="1"/>
  <c r="L248" i="1"/>
  <c r="F184" i="1"/>
  <c r="F44" i="1"/>
  <c r="H607" i="1" s="1"/>
  <c r="G73" i="2"/>
  <c r="E49" i="2"/>
  <c r="E54" i="2" s="1"/>
  <c r="D19" i="2"/>
  <c r="C23" i="10"/>
  <c r="C19" i="10"/>
  <c r="I161" i="1"/>
  <c r="J132" i="1"/>
  <c r="I132" i="1"/>
  <c r="F132" i="1"/>
  <c r="G54" i="2"/>
  <c r="J330" i="1"/>
  <c r="J344" i="1" s="1"/>
  <c r="H651" i="1"/>
  <c r="C16" i="10"/>
  <c r="J612" i="1"/>
  <c r="J561" i="1"/>
  <c r="L419" i="1"/>
  <c r="L329" i="1"/>
  <c r="I184" i="1"/>
  <c r="G44" i="1"/>
  <c r="H608" i="1" s="1"/>
  <c r="C17" i="10"/>
  <c r="C95" i="2"/>
  <c r="D95" i="2"/>
  <c r="F95" i="2"/>
  <c r="D83" i="2"/>
  <c r="D73" i="2"/>
  <c r="F70" i="2"/>
  <c r="F73" i="2" s="1"/>
  <c r="D42" i="2"/>
  <c r="C42" i="2"/>
  <c r="F137" i="2"/>
  <c r="G55" i="2"/>
  <c r="A40" i="12"/>
  <c r="E32" i="2"/>
  <c r="E43" i="2" s="1"/>
  <c r="D32" i="2"/>
  <c r="H44" i="1"/>
  <c r="H609" i="1" s="1"/>
  <c r="J609" i="1" s="1"/>
  <c r="C32" i="2"/>
  <c r="C43" i="2" s="1"/>
  <c r="L426" i="1"/>
  <c r="G628" i="1" s="1"/>
  <c r="J628" i="1" s="1"/>
  <c r="G535" i="1"/>
  <c r="J426" i="1"/>
  <c r="H426" i="1"/>
  <c r="F426" i="1"/>
  <c r="F249" i="1"/>
  <c r="F263" i="1" s="1"/>
  <c r="J607" i="1"/>
  <c r="K426" i="1"/>
  <c r="G126" i="2" s="1"/>
  <c r="G136" i="2" s="1"/>
  <c r="G137" i="2" s="1"/>
  <c r="J38" i="1"/>
  <c r="G37" i="2" s="1"/>
  <c r="I450" i="1"/>
  <c r="J23" i="1"/>
  <c r="I444" i="1"/>
  <c r="I451" i="1" s="1"/>
  <c r="H632" i="1" s="1"/>
  <c r="J9" i="1"/>
  <c r="I438" i="1"/>
  <c r="G632" i="1" s="1"/>
  <c r="J632" i="1" s="1"/>
  <c r="G539" i="1"/>
  <c r="G542" i="1" s="1"/>
  <c r="L519" i="1"/>
  <c r="F540" i="1"/>
  <c r="K540" i="1" s="1"/>
  <c r="L514" i="1"/>
  <c r="C35" i="10"/>
  <c r="D48" i="2"/>
  <c r="D55" i="2" s="1"/>
  <c r="D96" i="2" s="1"/>
  <c r="F22" i="13"/>
  <c r="C22" i="13" s="1"/>
  <c r="C29" i="10"/>
  <c r="E122" i="2"/>
  <c r="C32" i="10"/>
  <c r="C123" i="2"/>
  <c r="C24" i="10"/>
  <c r="C106" i="2"/>
  <c r="D5" i="13"/>
  <c r="G33" i="13"/>
  <c r="G36" i="2"/>
  <c r="G42" i="2" s="1"/>
  <c r="J43" i="1"/>
  <c r="F542" i="1"/>
  <c r="K539" i="1"/>
  <c r="K542" i="1" s="1"/>
  <c r="C26" i="10"/>
  <c r="C135" i="2"/>
  <c r="F653" i="1"/>
  <c r="I653" i="1" s="1"/>
  <c r="L604" i="1"/>
  <c r="L282" i="1"/>
  <c r="C11" i="10"/>
  <c r="E102" i="2"/>
  <c r="L354" i="1"/>
  <c r="F651" i="1"/>
  <c r="I651" i="1" s="1"/>
  <c r="D119" i="2"/>
  <c r="D120" i="2" s="1"/>
  <c r="D137" i="2" s="1"/>
  <c r="H652" i="1"/>
  <c r="G641" i="1"/>
  <c r="J641" i="1" s="1"/>
  <c r="F652" i="1"/>
  <c r="I652" i="1" s="1"/>
  <c r="C116" i="2"/>
  <c r="G639" i="1"/>
  <c r="J639" i="1" s="1"/>
  <c r="L203" i="1"/>
  <c r="C101" i="2"/>
  <c r="C107" i="2" s="1"/>
  <c r="E95" i="2"/>
  <c r="C70" i="2"/>
  <c r="C73" i="2" s="1"/>
  <c r="C54" i="2"/>
  <c r="C55" i="2" s="1"/>
  <c r="E19" i="2"/>
  <c r="J542" i="1"/>
  <c r="F55" i="2"/>
  <c r="F96" i="2" s="1"/>
  <c r="G96" i="2"/>
  <c r="L393" i="1"/>
  <c r="C131" i="2" s="1"/>
  <c r="A22" i="12"/>
  <c r="A13" i="12"/>
  <c r="L343" i="1"/>
  <c r="H25" i="13"/>
  <c r="E116" i="2"/>
  <c r="E114" i="2"/>
  <c r="E112" i="2"/>
  <c r="E110" i="2"/>
  <c r="E120" i="2" s="1"/>
  <c r="C18" i="10"/>
  <c r="D12" i="13"/>
  <c r="C12" i="13" s="1"/>
  <c r="D18" i="13"/>
  <c r="C18" i="13" s="1"/>
  <c r="J640" i="1"/>
  <c r="G614" i="1"/>
  <c r="K588" i="1"/>
  <c r="G637" i="1" s="1"/>
  <c r="J637" i="1" s="1"/>
  <c r="L550" i="1"/>
  <c r="L561" i="1" s="1"/>
  <c r="L534" i="1"/>
  <c r="K535" i="1"/>
  <c r="F535" i="1"/>
  <c r="H466" i="1"/>
  <c r="H614" i="1" s="1"/>
  <c r="J631" i="1"/>
  <c r="J629" i="1"/>
  <c r="F330" i="1"/>
  <c r="F344" i="1" s="1"/>
  <c r="J249" i="1"/>
  <c r="H184" i="1"/>
  <c r="H185" i="1" s="1"/>
  <c r="G619" i="1" s="1"/>
  <c r="J619" i="1" s="1"/>
  <c r="I44" i="1"/>
  <c r="H610" i="1" s="1"/>
  <c r="J610" i="1" s="1"/>
  <c r="J608" i="1"/>
  <c r="G153" i="2"/>
  <c r="G151" i="2"/>
  <c r="G150" i="2"/>
  <c r="C112" i="2"/>
  <c r="C111" i="2"/>
  <c r="E101" i="2"/>
  <c r="E55" i="2"/>
  <c r="E96" i="2" s="1"/>
  <c r="F42" i="2"/>
  <c r="F43" i="2" s="1"/>
  <c r="F19" i="2"/>
  <c r="E124" i="2"/>
  <c r="L374" i="1"/>
  <c r="G626" i="1" s="1"/>
  <c r="J626" i="1" s="1"/>
  <c r="C25" i="10"/>
  <c r="C21" i="10"/>
  <c r="C39" i="10"/>
  <c r="C83" i="2"/>
  <c r="C38" i="10"/>
  <c r="J104" i="1"/>
  <c r="J185" i="1" s="1"/>
  <c r="I104" i="1"/>
  <c r="I185" i="1" s="1"/>
  <c r="G620" i="1" s="1"/>
  <c r="J620" i="1" s="1"/>
  <c r="G104" i="1"/>
  <c r="G185" i="1" s="1"/>
  <c r="G618" i="1" s="1"/>
  <c r="J618" i="1" s="1"/>
  <c r="L399" i="1"/>
  <c r="C132" i="2" s="1"/>
  <c r="L385" i="1"/>
  <c r="E106" i="2"/>
  <c r="K330" i="1"/>
  <c r="K344" i="1" s="1"/>
  <c r="D7" i="13"/>
  <c r="C7" i="13" s="1"/>
  <c r="L221" i="1"/>
  <c r="G650" i="1" s="1"/>
  <c r="G654" i="1" s="1"/>
  <c r="E33" i="13" l="1"/>
  <c r="D35" i="13" s="1"/>
  <c r="D43" i="2"/>
  <c r="H650" i="1"/>
  <c r="H654" i="1" s="1"/>
  <c r="F185" i="1"/>
  <c r="G617" i="1" s="1"/>
  <c r="J617" i="1" s="1"/>
  <c r="C120" i="2"/>
  <c r="C96" i="2"/>
  <c r="C130" i="2"/>
  <c r="L400" i="1"/>
  <c r="G621" i="1"/>
  <c r="J621" i="1" s="1"/>
  <c r="G636" i="1"/>
  <c r="L249" i="1"/>
  <c r="L263" i="1" s="1"/>
  <c r="G622" i="1" s="1"/>
  <c r="J622" i="1" s="1"/>
  <c r="F650" i="1"/>
  <c r="C27" i="10"/>
  <c r="C28" i="10" s="1"/>
  <c r="D25" i="10" s="1"/>
  <c r="G625" i="1"/>
  <c r="J625" i="1" s="1"/>
  <c r="G616" i="1"/>
  <c r="J616" i="1" s="1"/>
  <c r="C36" i="10"/>
  <c r="J19" i="1"/>
  <c r="G611" i="1" s="1"/>
  <c r="G9" i="2"/>
  <c r="G19" i="2" s="1"/>
  <c r="G22" i="2"/>
  <c r="G32" i="2" s="1"/>
  <c r="J33" i="1"/>
  <c r="J44" i="1" s="1"/>
  <c r="H611" i="1" s="1"/>
  <c r="E107" i="2"/>
  <c r="E136" i="2"/>
  <c r="G657" i="1"/>
  <c r="G662" i="1"/>
  <c r="J263" i="1"/>
  <c r="H638" i="1"/>
  <c r="J638" i="1" s="1"/>
  <c r="H33" i="13"/>
  <c r="C25" i="13"/>
  <c r="L330" i="1"/>
  <c r="L344" i="1" s="1"/>
  <c r="G623" i="1" s="1"/>
  <c r="J623" i="1" s="1"/>
  <c r="D31" i="13"/>
  <c r="C31" i="13" s="1"/>
  <c r="C5" i="13"/>
  <c r="D33" i="13"/>
  <c r="D36" i="13" s="1"/>
  <c r="J614" i="1"/>
  <c r="G43" i="2"/>
  <c r="L535" i="1"/>
  <c r="F33" i="13"/>
  <c r="H662" i="1" l="1"/>
  <c r="C6" i="10" s="1"/>
  <c r="H657" i="1"/>
  <c r="D24" i="10"/>
  <c r="D26" i="10"/>
  <c r="D18" i="10"/>
  <c r="C133" i="2"/>
  <c r="C136" i="2" s="1"/>
  <c r="C137" i="2" s="1"/>
  <c r="D27" i="10"/>
  <c r="C30" i="10"/>
  <c r="D22" i="10"/>
  <c r="D13" i="10"/>
  <c r="D15" i="10"/>
  <c r="D17" i="10"/>
  <c r="D10" i="10"/>
  <c r="D19" i="10"/>
  <c r="D16" i="10"/>
  <c r="D23" i="10"/>
  <c r="D20" i="10"/>
  <c r="D12" i="10"/>
  <c r="J611" i="1"/>
  <c r="I650" i="1"/>
  <c r="I654" i="1" s="1"/>
  <c r="F654" i="1"/>
  <c r="G627" i="1"/>
  <c r="J627" i="1" s="1"/>
  <c r="H636" i="1"/>
  <c r="J636" i="1" s="1"/>
  <c r="D11" i="10"/>
  <c r="E137" i="2"/>
  <c r="D21" i="10"/>
  <c r="C41" i="10"/>
  <c r="D28" i="10" l="1"/>
  <c r="D37" i="10"/>
  <c r="D40" i="10"/>
  <c r="D39" i="10"/>
  <c r="D38" i="10"/>
  <c r="D35" i="10"/>
  <c r="F662" i="1"/>
  <c r="C4" i="10" s="1"/>
  <c r="F657" i="1"/>
  <c r="H646" i="1"/>
  <c r="D36" i="10"/>
  <c r="I657" i="1"/>
  <c r="I662" i="1"/>
  <c r="C7" i="10" s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49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<sst xmlns="http://schemas.openxmlformats.org/spreadsheetml/2006/main" count="3863" uniqueCount="899">
  <si>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</si>
  <si>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</si>
  <si>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</si>
  <si>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</si>
  <si>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</si>
  <si>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</si>
  <si>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</si>
  <si>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</si>
  <si>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</si>
  <si>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</si>
  <si>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</si>
  <si>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</si>
  <si>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</si>
  <si>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</si>
  <si>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</si>
  <si>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</si>
  <si>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</si>
  <si>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</si>
  <si>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</si>
  <si>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</si>
  <si>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</si>
  <si>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</si>
  <si>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</si>
  <si>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</si>
  <si>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</si>
  <si>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</si>
  <si>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</si>
  <si>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</si>
  <si>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</si>
  <si>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</si>
  <si>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</si>
  <si>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</si>
  <si>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</si>
  <si>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</si>
  <si>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</si>
  <si>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</si>
  <si>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</si>
  <si>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</si>
  <si>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</si>
  <si>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</si>
  <si>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</si>
  <si>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</si>
  <si>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</si>
  <si>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</si>
  <si>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</si>
  <si>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</si>
  <si>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</si>
  <si>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</si>
  <si>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</si>
  <si>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</si>
  <si>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</si>
  <si>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</si>
  <si>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</si>
  <si>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</si>
  <si>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</si>
  <si>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</si>
  <si>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</si>
  <si>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</si>
  <si>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</si>
  <si>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</si>
  <si>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</si>
  <si>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</si>
  <si>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</si>
  <si>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</si>
  <si>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</si>
  <si>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</si>
  <si>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</si>
  <si>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</si>
  <si>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</si>
  <si>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</si>
  <si>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</si>
  <si>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</si>
  <si>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</si>
  <si>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</si>
  <si>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</si>
  <si>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</si>
  <si>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</si>
  <si>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</si>
  <si>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</si>
  <si>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</si>
  <si>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</si>
  <si>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</si>
  <si>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</si>
  <si>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</si>
  <si>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</si>
  <si>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</si>
  <si>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</si>
  <si>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</si>
  <si>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</si>
  <si>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</si>
  <si>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</si>
  <si>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</si>
  <si>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</si>
  <si>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</si>
  <si>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</si>
  <si>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</si>
  <si>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</si>
  <si>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</si>
  <si>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</si>
  <si>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</si>
  <si>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</si>
  <si>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</si>
  <si>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</si>
  <si>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</si>
  <si>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</si>
  <si>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</si>
  <si>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</si>
  <si>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</si>
  <si>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</si>
  <si>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</si>
  <si>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</si>
  <si>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</si>
  <si>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</si>
  <si>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</si>
  <si>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</si>
  <si>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</si>
  <si>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</si>
  <si>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</si>
  <si>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</si>
  <si>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</si>
  <si>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</si>
  <si>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</si>
  <si>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</si>
  <si>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</si>
  <si>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</si>
  <si>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</si>
  <si>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</si>
  <si>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</si>
  <si>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</si>
  <si>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</si>
  <si>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</si>
  <si>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</si>
  <si>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</si>
  <si>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</si>
  <si>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</si>
  <si>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</si>
  <si>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</si>
  <si>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</si>
  <si>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</si>
  <si>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</si>
  <si>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</si>
  <si>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</si>
  <si>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</si>
  <si>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</si>
  <si>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</si>
  <si>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</si>
  <si>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</si>
  <si>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</si>
  <si>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</si>
  <si>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</si>
  <si>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</si>
  <si>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</si>
  <si>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</si>
  <si>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</si>
  <si>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</si>
  <si>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</si>
  <si>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</si>
  <si>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</si>
  <si>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</si>
  <si>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</si>
  <si>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</si>
  <si>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</si>
  <si>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</si>
  <si>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</si>
  <si>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</si>
  <si>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</si>
  <si>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</si>
  <si>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</si>
  <si>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</si>
  <si>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</si>
  <si>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</si>
  <si>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</si>
  <si>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</si>
  <si>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</si>
  <si>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</si>
  <si>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</si>
  <si>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</si>
  <si>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</si>
  <si>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</si>
  <si>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</si>
  <si>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</si>
  <si>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</si>
  <si>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</si>
  <si>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</si>
  <si>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</si>
  <si>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</si>
  <si>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</si>
  <si>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</si>
  <si>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</si>
  <si>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</si>
  <si>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</si>
  <si>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</si>
  <si>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</si>
  <si>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</si>
  <si>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</si>
  <si>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</si>
  <si>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</si>
  <si>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</si>
  <si>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</si>
  <si>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</si>
  <si>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</si>
  <si>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</si>
  <si>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</si>
  <si>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</si>
  <si>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</si>
  <si>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</si>
  <si>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</si>
  <si>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</si>
  <si>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</si>
  <si>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</si>
  <si>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</si>
  <si>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</si>
  <si>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</si>
  <si>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</si>
  <si>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</si>
  <si>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</si>
  <si>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</si>
  <si>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</si>
  <si>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</si>
  <si>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</si>
  <si>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</si>
  <si>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</si>
  <si>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</si>
  <si>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</si>
  <si>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</si>
  <si>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</si>
  <si>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</si>
  <si>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</si>
  <si>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</si>
  <si>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</si>
  <si>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</si>
  <si>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</si>
  <si>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</si>
  <si>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</si>
  <si>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</si>
  <si>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</si>
  <si>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</si>
  <si>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</si>
  <si>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</si>
  <si>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</si>
  <si>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</si>
  <si>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</si>
  <si>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</si>
  <si>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</si>
  <si>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</si>
  <si>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</si>
  <si>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</si>
  <si>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</si>
  <si>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</si>
  <si>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</si>
  <si>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</si>
  <si>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</si>
  <si>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</si>
  <si>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</si>
  <si>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</si>
  <si>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</si>
  <si>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</si>
  <si>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</si>
  <si>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</si>
  <si>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</si>
  <si>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</si>
  <si>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</si>
  <si>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</si>
  <si>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</si>
  <si>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</si>
  <si>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</si>
  <si>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</si>
  <si>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</si>
  <si>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</si>
  <si>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</si>
  <si>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</si>
  <si>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</si>
  <si>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</si>
  <si>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</si>
  <si>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</si>
  <si>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</si>
  <si>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</si>
  <si>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</si>
  <si>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</si>
  <si>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</si>
  <si>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</si>
  <si>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</si>
  <si>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</si>
  <si>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</si>
  <si>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</si>
  <si>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</si>
  <si>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</si>
  <si>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</si>
  <si>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</si>
  <si>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</si>
  <si>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</si>
  <si>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</si>
  <si>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</si>
  <si>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</si>
  <si>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</si>
  <si>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</si>
  <si>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</si>
  <si>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</si>
  <si>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</si>
  <si>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</si>
  <si>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</si>
  <si>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</si>
  <si>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</si>
  <si>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</si>
  <si>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</si>
  <si>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</si>
  <si>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</si>
  <si>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</si>
  <si>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</si>
  <si>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</si>
  <si>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</si>
  <si>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</si>
  <si>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</si>
  <si>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</si>
  <si>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</si>
  <si>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</si>
  <si>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</si>
  <si>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</si>
  <si>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</si>
  <si>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</si>
  <si>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</si>
  <si>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</si>
  <si>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</si>
  <si>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</si>
  <si>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</si>
  <si>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</si>
  <si>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</si>
  <si>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</si>
  <si>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</si>
  <si>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</si>
  <si>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</si>
  <si>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</si>
  <si>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</si>
  <si>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</si>
  <si>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</si>
  <si>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</si>
  <si>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</si>
  <si>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</si>
  <si>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</si>
  <si>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</si>
  <si>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</si>
  <si>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</si>
  <si>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</si>
  <si>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</si>
  <si>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</si>
  <si>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</si>
  <si>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</si>
  <si>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</si>
  <si>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</si>
  <si>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</si>
  <si>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</si>
  <si>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</si>
  <si>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</si>
  <si>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</si>
  <si>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</si>
  <si>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</si>
  <si>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</si>
  <si>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</si>
  <si>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</si>
  <si>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</si>
  <si>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</si>
  <si>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</si>
  <si>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</si>
  <si>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</si>
  <si>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</si>
  <si>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</si>
  <si>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</si>
  <si>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</si>
  <si>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</si>
  <si>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</si>
  <si>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</si>
  <si>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</si>
  <si>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</si>
  <si>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</si>
  <si>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</si>
  <si>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</si>
  <si>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</si>
  <si>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</si>
  <si>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</si>
  <si>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</si>
  <si>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</si>
  <si>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</si>
  <si>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</si>
  <si>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</si>
  <si>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</si>
  <si>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</si>
  <si>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</si>
  <si>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</si>
  <si>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</si>
  <si>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</si>
  <si>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</si>
  <si>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</si>
  <si>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</si>
  <si>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</si>
  <si>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</si>
  <si>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</si>
  <si>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</si>
  <si>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</si>
  <si>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</si>
  <si>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</si>
  <si>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</si>
  <si>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</si>
  <si>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</si>
  <si>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</si>
  <si>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</si>
  <si>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</si>
  <si>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</si>
  <si>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</si>
  <si>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</si>
  <si>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</si>
  <si>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</si>
  <si>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</si>
  <si>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</si>
  <si>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</si>
  <si>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</si>
  <si>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</si>
  <si>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</si>
  <si>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</si>
  <si>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</si>
  <si>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</si>
  <si>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</si>
  <si>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</si>
  <si>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</si>
  <si>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</si>
  <si>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</si>
  <si>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</si>
  <si>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</si>
  <si>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</si>
  <si>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</si>
  <si>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</si>
  <si>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</si>
  <si>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</si>
  <si>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</si>
  <si>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</si>
  <si>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</si>
  <si>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</si>
  <si>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</si>
  <si>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</si>
  <si>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</si>
  <si>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</si>
  <si>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</si>
  <si>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</si>
  <si>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</si>
  <si>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</si>
  <si>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</si>
  <si>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</si>
  <si>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</si>
  <si>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</si>
  <si>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</si>
  <si>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</si>
  <si>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</si>
  <si>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</si>
  <si>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</si>
  <si>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</si>
  <si>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</si>
  <si>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</si>
  <si>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</si>
  <si>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</si>
  <si>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</si>
  <si>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</si>
  <si>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</si>
  <si>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</si>
  <si>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</si>
  <si>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</si>
  <si>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</si>
  <si>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</si>
  <si>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</si>
  <si>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</si>
  <si>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</si>
  <si>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</si>
  <si>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</si>
  <si>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</si>
  <si>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</si>
  <si>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</si>
  <si>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</si>
  <si>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</si>
  <si>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</si>
  <si>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</si>
  <si>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</si>
  <si>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</si>
  <si>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</si>
  <si>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</si>
  <si>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</si>
  <si>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</si>
  <si>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</si>
  <si>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</si>
  <si>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</si>
  <si>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</si>
  <si>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</si>
  <si>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</si>
  <si>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</si>
  <si>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</si>
  <si>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</si>
  <si>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</si>
  <si>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</si>
  <si>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</si>
  <si>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</si>
  <si>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</si>
  <si>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</si>
  <si>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</si>
  <si>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</si>
  <si>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</si>
  <si>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</si>
  <si>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</si>
  <si>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</si>
  <si>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</si>
  <si>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</si>
  <si>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</si>
  <si>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</si>
  <si>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</si>
  <si>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</si>
  <si>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</si>
  <si>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</si>
  <si>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</si>
  <si>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</si>
  <si>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</si>
  <si>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</si>
  <si>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</si>
  <si>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</si>
  <si>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</si>
  <si>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</si>
  <si>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</si>
  <si>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</si>
  <si>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</si>
  <si>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</si>
  <si>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</si>
  <si>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</si>
  <si>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</si>
  <si>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</si>
  <si>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</si>
  <si>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</si>
  <si>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</si>
  <si>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</si>
  <si>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</si>
  <si>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</si>
  <si>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</si>
  <si>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</si>
  <si>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</si>
  <si>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</si>
  <si>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</si>
  <si>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</si>
  <si>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</si>
  <si>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</si>
  <si>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</si>
  <si>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</si>
  <si>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</si>
  <si>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</si>
  <si>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</si>
  <si>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</si>
  <si>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</si>
  <si>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</si>
  <si>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</si>
  <si>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</si>
  <si>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</si>
  <si>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</si>
  <si>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</si>
  <si>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</si>
  <si>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</si>
  <si>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</si>
  <si>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</si>
  <si>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</si>
  <si>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</si>
  <si>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</si>
  <si>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</si>
  <si>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</si>
  <si>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</si>
  <si>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</si>
  <si>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</si>
  <si>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</si>
  <si>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</si>
  <si>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</si>
  <si>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</si>
  <si>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</si>
  <si>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</si>
  <si>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</si>
  <si>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</si>
  <si>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</si>
  <si>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</si>
  <si>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</si>
  <si>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</si>
  <si>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</si>
  <si>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</si>
  <si>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</si>
  <si>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</si>
  <si>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</si>
  <si>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</si>
  <si>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</si>
  <si>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</si>
  <si>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</si>
  <si>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</si>
  <si>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</si>
  <si>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</si>
  <si>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</si>
  <si>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</si>
  <si>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</si>
  <si>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</si>
  <si>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</si>
  <si>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</si>
  <si>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</si>
  <si>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</si>
  <si>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</si>
  <si>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</si>
  <si>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</si>
  <si>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</si>
  <si>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</si>
  <si>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</si>
  <si>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</si>
  <si>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</si>
  <si>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</si>
  <si>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</si>
  <si>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</si>
  <si>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</si>
  <si>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</si>
  <si>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</si>
  <si>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</si>
  <si>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</si>
  <si>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</si>
  <si>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</si>
  <si>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</si>
  <si>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</si>
  <si>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</si>
  <si>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</si>
  <si>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</si>
  <si>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</si>
  <si>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</si>
  <si>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</si>
  <si>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</si>
  <si>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</si>
  <si>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</si>
  <si>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</si>
  <si>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</si>
  <si>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</si>
  <si>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</si>
  <si>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</si>
  <si>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</si>
  <si>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</si>
  <si>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</si>
  <si>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</si>
  <si>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</si>
  <si>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</si>
  <si>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</si>
  <si>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</si>
  <si>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</si>
  <si>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</si>
  <si>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</si>
  <si>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</si>
  <si>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</si>
  <si>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</si>
  <si>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</si>
  <si>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</si>
  <si>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</si>
  <si>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</si>
  <si>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</si>
  <si>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</si>
  <si>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</si>
  <si>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</si>
  <si>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</si>
  <si>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</si>
  <si>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</si>
  <si>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</si>
  <si>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</si>
  <si>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</si>
  <si>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</si>
  <si>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</si>
  <si>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</si>
  <si>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</si>
  <si>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</si>
  <si>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</si>
  <si>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</si>
  <si>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</si>
  <si>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</si>
  <si>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</si>
  <si>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</si>
  <si>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</si>
  <si>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</si>
  <si>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</si>
  <si>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</si>
  <si>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</si>
  <si>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</si>
  <si>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</si>
  <si>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</si>
  <si>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</si>
  <si>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</si>
  <si>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</si>
  <si>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</si>
  <si>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</si>
  <si>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</si>
  <si>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</si>
  <si>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</si>
  <si>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</si>
  <si>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</si>
  <si>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</si>
  <si>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</si>
  <si>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</si>
  <si>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</si>
  <si>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</si>
  <si>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</si>
  <si>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</si>
  <si>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</si>
  <si>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</si>
  <si>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</si>
  <si>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</si>
  <si>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</si>
  <si>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</si>
  <si>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</si>
  <si>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</si>
  <si>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</si>
  <si>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</si>
  <si>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</si>
  <si>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</si>
  <si>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</si>
  <si>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</si>
  <si>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</si>
  <si>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</si>
  <si>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</si>
  <si>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</si>
  <si>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</si>
  <si>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</si>
  <si>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</si>
  <si>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</si>
  <si>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</si>
  <si>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</si>
  <si>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</si>
  <si>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</si>
  <si>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</si>
  <si>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</si>
  <si>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</si>
  <si>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</si>
  <si>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</si>
  <si>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</si>
  <si>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</si>
  <si>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</si>
  <si>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</si>
  <si>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</si>
  <si>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</si>
  <si>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</si>
  <si>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</si>
  <si>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</si>
  <si>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</si>
  <si>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</si>
  <si>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</si>
  <si>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</si>
  <si>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</si>
  <si>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</si>
  <si>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</si>
  <si>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</si>
  <si>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</si>
  <si>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</si>
  <si>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</si>
  <si>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</si>
  <si>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</si>
  <si>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</si>
  <si>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</si>
  <si>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</si>
  <si>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</si>
  <si>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</si>
  <si>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</si>
  <si>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</si>
  <si>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</si>
  <si>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</si>
  <si>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</si>
  <si>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</si>
  <si>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</si>
  <si>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</si>
  <si>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</si>
  <si>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</si>
  <si>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</si>
  <si>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</si>
  <si>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</si>
  <si>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</si>
  <si>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</si>
  <si>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</si>
  <si>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</si>
  <si>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</si>
  <si>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</si>
  <si>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</si>
  <si>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</si>
  <si>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</si>
  <si>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</si>
  <si>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</si>
  <si>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</si>
  <si>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</si>
  <si>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</si>
  <si>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</si>
  <si>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</si>
  <si>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</si>
  <si>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</si>
  <si>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</si>
  <si>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</si>
  <si>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</si>
  <si>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</si>
  <si>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</si>
  <si>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</si>
  <si>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</si>
  <si>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</si>
  <si>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</si>
  <si>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</si>
  <si>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</si>
  <si>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</si>
  <si>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</si>
  <si>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</si>
  <si>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</si>
  <si>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</si>
  <si>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</si>
  <si>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</si>
  <si>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</si>
  <si>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</si>
  <si>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</si>
  <si>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</si>
  <si>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</si>
  <si>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</si>
  <si>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</si>
  <si>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</si>
  <si>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</si>
  <si>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</si>
  <si>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</si>
  <si>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</si>
  <si>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</si>
  <si>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</si>
  <si>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</si>
  <si>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</si>
  <si>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</si>
  <si>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</si>
  <si>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</si>
  <si>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</si>
  <si>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</si>
  <si>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</si>
  <si>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</si>
  <si>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</si>
  <si>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</si>
  <si>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</si>
  <si>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</si>
  <si>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</si>
  <si>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</si>
  <si>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</si>
  <si>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</si>
  <si>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</si>
  <si>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</si>
  <si>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</si>
  <si>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</si>
  <si>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</si>
  <si>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</si>
  <si>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</si>
  <si>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</si>
  <si>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</si>
  <si>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</si>
  <si>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</si>
  <si>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</si>
  <si>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</si>
  <si>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</si>
  <si>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</si>
  <si>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</si>
  <si>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</si>
  <si>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</si>
  <si>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</si>
  <si>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</si>
  <si>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</si>
  <si>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</si>
  <si>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</si>
  <si>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</si>
  <si>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</si>
  <si>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</si>
  <si>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</si>
  <si>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</si>
  <si>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</si>
  <si>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</si>
  <si>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</si>
  <si>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</si>
  <si>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</si>
  <si>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</si>
  <si>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</si>
  <si>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</si>
  <si>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</si>
  <si>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</si>
  <si>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</si>
  <si>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</si>
  <si>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</si>
  <si>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</si>
  <si>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</si>
  <si>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</si>
  <si>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</si>
  <si>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</si>
  <si>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</si>
  <si>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</si>
  <si>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</si>
  <si>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</si>
  <si>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</si>
  <si>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</si>
  <si>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</si>
  <si>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</si>
  <si>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</si>
  <si>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</si>
  <si>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</si>
  <si>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</si>
  <si>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08/03</t>
  </si>
  <si>
    <t>08/04</t>
  </si>
  <si>
    <t>07/09</t>
  </si>
  <si>
    <t>08/13</t>
  </si>
  <si>
    <t>08/14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</si>
</sst>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66"/>
  <sheetViews>
    <sheetView zoomScaleNormal="100" workbookViewId="0">
      <pane xSplit="5" ySplit="3" topLeftCell="F52" activePane="bottomRight" state="frozen"/>
      <selection pane="topRight" activeCell="F1" sqref="F1"/>
      <selection pane="bottomLeft" activeCell="A4" sqref="A4"/>
      <selection pane="bottomRight" activeCell="F4" sqref="F4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>
      <c r="A2" s="176"/>
      <c r="B2" s="21"/>
      <c r="C2" s="21"/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>
      <c r="A4" s="1" t="s">
        <v>302</v>
      </c>
      <c r="K4" s="13"/>
      <c r="L4" s="13"/>
    </row>
    <row r="5" spans="1:13" s="3" customFormat="1" ht="12" customHeight="1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888093.09+300</f>
        <v>888393.09</v>
      </c>
      <c r="G9" s="18">
        <v>119505.38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76438.47</v>
      </c>
      <c r="G10" s="18"/>
      <c r="H10" s="18"/>
      <c r="I10" s="18"/>
      <c r="J10" s="67">
        <f>SUM(I432)</f>
        <v>78270.92</v>
      </c>
      <c r="K10" s="24" t="s">
        <v>312</v>
      </c>
      <c r="L10" s="24" t="s">
        <v>312</v>
      </c>
      <c r="M10" s="8"/>
    </row>
    <row r="11" spans="1:13" s="3" customFormat="1" ht="12" customHeight="1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>
        <v>292.42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29208.61</v>
      </c>
      <c r="G13" s="18">
        <v>5138.72</v>
      </c>
      <c r="H13" s="18">
        <v>62928.93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2096.81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996136.98</v>
      </c>
      <c r="G19" s="41">
        <f>SUM(G9:G18)</f>
        <v>124936.52</v>
      </c>
      <c r="H19" s="41">
        <f>SUM(H9:H18)</f>
        <v>62928.93</v>
      </c>
      <c r="I19" s="41">
        <f>SUM(I9:I18)</f>
        <v>0</v>
      </c>
      <c r="J19" s="41">
        <f>SUM(J9:J18)</f>
        <v>78270.92</v>
      </c>
      <c r="K19" s="45" t="s">
        <v>312</v>
      </c>
      <c r="L19" s="45" t="s">
        <v>312</v>
      </c>
      <c r="M19" s="8"/>
    </row>
    <row r="20" spans="1:13" s="3" customFormat="1" ht="12" customHeight="1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110662.7</v>
      </c>
      <c r="H23" s="18">
        <v>51227.3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765760.47</v>
      </c>
      <c r="G25" s="18">
        <f>4637-674.9</f>
        <v>3962.1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f>121252.64</f>
        <v>121252.64</v>
      </c>
      <c r="G29" s="18">
        <v>8267.57</v>
      </c>
      <c r="H29" s="18">
        <f>2008.57+8300.06</f>
        <v>10308.629999999999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-286.04+212.28+198.71+0.01</f>
        <v>124.96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2044.15</v>
      </c>
      <c r="H31" s="18">
        <v>1393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887138.07</v>
      </c>
      <c r="G33" s="41">
        <f>SUM(G23:G32)</f>
        <v>124936.51999999999</v>
      </c>
      <c r="H33" s="41">
        <f>SUM(H23:H32)</f>
        <v>62928.93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78270.92</v>
      </c>
      <c r="K41" s="24" t="s">
        <v>312</v>
      </c>
      <c r="L41" s="24" t="s">
        <v>312</v>
      </c>
      <c r="M41" s="8"/>
    </row>
    <row r="42" spans="1:13" s="3" customFormat="1" ht="12" customHeight="1" thickBot="1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108998.91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108998.91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78270.92</v>
      </c>
      <c r="K43" s="45" t="s">
        <v>312</v>
      </c>
      <c r="L43" s="45" t="s">
        <v>312</v>
      </c>
      <c r="M43" s="8"/>
    </row>
    <row r="44" spans="1:13" s="3" customFormat="1" ht="12" customHeight="1" thickTop="1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996136.98</v>
      </c>
      <c r="G44" s="41">
        <f>G43+G33</f>
        <v>124936.51999999999</v>
      </c>
      <c r="H44" s="41">
        <f>H43+H33</f>
        <v>62928.93</v>
      </c>
      <c r="I44" s="41">
        <f>I43+I33</f>
        <v>0</v>
      </c>
      <c r="J44" s="41">
        <f>J43+J33</f>
        <v>78270.92</v>
      </c>
      <c r="K44" s="45" t="s">
        <v>312</v>
      </c>
      <c r="L44" s="45" t="s">
        <v>312</v>
      </c>
      <c r="M44" s="8"/>
    </row>
    <row r="45" spans="1:13" ht="12" customHeight="1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6968315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6968315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17167.5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17167.5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438.95</v>
      </c>
      <c r="G88" s="18"/>
      <c r="H88" s="18"/>
      <c r="I88" s="18"/>
      <c r="J88" s="18">
        <v>116.19</v>
      </c>
      <c r="K88" s="24" t="s">
        <v>312</v>
      </c>
      <c r="L88" s="24" t="s">
        <v>312</v>
      </c>
      <c r="M88" s="8"/>
    </row>
    <row r="89" spans="1:13" s="3" customFormat="1" ht="12" customHeight="1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106872.1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4303.5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426.06+3763.11</f>
        <v>4189.17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8931.619999999999</v>
      </c>
      <c r="G103" s="41">
        <f>SUM(G88:G102)</f>
        <v>106872.1</v>
      </c>
      <c r="H103" s="41">
        <f>SUM(H88:H102)</f>
        <v>0</v>
      </c>
      <c r="I103" s="41">
        <f>SUM(I88:I102)</f>
        <v>0</v>
      </c>
      <c r="J103" s="41">
        <f>SUM(J88:J102)</f>
        <v>116.19</v>
      </c>
      <c r="K103" s="45" t="s">
        <v>312</v>
      </c>
      <c r="L103" s="45" t="s">
        <v>312</v>
      </c>
      <c r="M103" s="8"/>
    </row>
    <row r="104" spans="1:13" s="3" customFormat="1" ht="12" customHeight="1" thickTop="1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6994414.1200000001</v>
      </c>
      <c r="G104" s="41">
        <f>G52+G103</f>
        <v>106872.1</v>
      </c>
      <c r="H104" s="41">
        <f>H52+H71+H86+H103</f>
        <v>0</v>
      </c>
      <c r="I104" s="41">
        <f>I52+I103</f>
        <v>0</v>
      </c>
      <c r="J104" s="41">
        <f>J52+J103</f>
        <v>116.19</v>
      </c>
      <c r="K104" s="45" t="s">
        <v>312</v>
      </c>
      <c r="L104" s="45" t="s">
        <v>312</v>
      </c>
      <c r="M104" s="8"/>
    </row>
    <row r="105" spans="1:13" ht="12" customHeight="1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1728405.49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887877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62439.71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2678722.2000000002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88485.52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75900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44993.760000000002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1882.92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209379.28000000003</v>
      </c>
      <c r="G128" s="41">
        <f>SUM(G115:G127)</f>
        <v>1882.92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2888101.4800000004</v>
      </c>
      <c r="G132" s="41">
        <f>G113+SUM(G128:G129)</f>
        <v>1882.92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4464.91+4545.66+43552.5+15335.95</f>
        <v>67899.02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20589.84+11268.5</f>
        <v>31858.34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54594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87651.73+2967.25+7804.67+31189.82</f>
        <v>129613.47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25000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36251.660000000003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25000</v>
      </c>
      <c r="G154" s="41">
        <f>SUM(G142:G153)</f>
        <v>54594</v>
      </c>
      <c r="H154" s="41">
        <f>SUM(H142:H153)</f>
        <v>265622.49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25000</v>
      </c>
      <c r="G161" s="41">
        <f>G139+G154+SUM(G155:G160)</f>
        <v>54594</v>
      </c>
      <c r="H161" s="41">
        <f>H139+H154+SUM(H155:H160)</f>
        <v>265622.49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9907515.6000000015</v>
      </c>
      <c r="G185" s="47">
        <f>G104+G132+G161+G184</f>
        <v>163349.02000000002</v>
      </c>
      <c r="H185" s="47">
        <f>H104+H132+H161+H184</f>
        <v>265622.49</v>
      </c>
      <c r="I185" s="47">
        <f>I104+I132+I161+I184</f>
        <v>0</v>
      </c>
      <c r="J185" s="47">
        <f>J104+J132+J184</f>
        <v>116.19</v>
      </c>
      <c r="K185" s="45" t="s">
        <v>312</v>
      </c>
      <c r="L185" s="45" t="s">
        <v>312</v>
      </c>
      <c r="M185" s="8"/>
    </row>
    <row r="186" spans="1:13" s="3" customFormat="1" ht="12" customHeight="1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1539462+49.88+39381.05+8505+14000</f>
        <v>1601397.93</v>
      </c>
      <c r="G189" s="18">
        <f>456936.54+13864.96+1575.45+116486.1+124643.67+11641.79+4577.9</f>
        <v>729726.41000000015</v>
      </c>
      <c r="H189" s="18">
        <v>0</v>
      </c>
      <c r="I189" s="18">
        <f>19914.03+8738.81+21801.8+426.75+22229.07+518.37+5669</f>
        <v>79297.829999999987</v>
      </c>
      <c r="J189" s="18">
        <f>399.98+708.41</f>
        <v>1108.3899999999999</v>
      </c>
      <c r="K189" s="18">
        <v>345</v>
      </c>
      <c r="L189" s="19">
        <f>SUM(F189:K189)</f>
        <v>2411875.56</v>
      </c>
      <c r="M189" s="8"/>
    </row>
    <row r="190" spans="1:13" s="3" customFormat="1" ht="12" customHeight="1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301689.01+42419+299721.77+28374.92+19932.5-19932.5</f>
        <v>672204.70000000007</v>
      </c>
      <c r="G190" s="18">
        <f>30100.08+8278.32+446.94+57455.73+34485.31+5126.78+1963.68-1524.84</f>
        <v>136332</v>
      </c>
      <c r="H190" s="18">
        <f>28506+49465.85+265549.45+156632.51+84237.85-399253.15</f>
        <v>185138.51</v>
      </c>
      <c r="I190" s="18">
        <f>1475.61+315.24+358.85+984.75+620</f>
        <v>3754.45</v>
      </c>
      <c r="J190" s="18">
        <f>2258.4+391.01+999.98+1528.72</f>
        <v>5178.1099999999997</v>
      </c>
      <c r="K190" s="18">
        <v>0</v>
      </c>
      <c r="L190" s="19">
        <f>SUM(F190:K190)</f>
        <v>1002607.77</v>
      </c>
      <c r="M190" s="8"/>
    </row>
    <row r="191" spans="1:13" s="3" customFormat="1" ht="12" customHeight="1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20600+16210</f>
        <v>36810</v>
      </c>
      <c r="G192" s="18">
        <f>2847.08+2810.92</f>
        <v>5658</v>
      </c>
      <c r="H192" s="18">
        <f>2497.5+1410+575</f>
        <v>4482.5</v>
      </c>
      <c r="I192" s="18">
        <v>7858.36</v>
      </c>
      <c r="J192" s="18">
        <v>1148.24</v>
      </c>
      <c r="K192" s="18">
        <v>0</v>
      </c>
      <c r="L192" s="19">
        <f>SUM(F192:K192)</f>
        <v>55957.1</v>
      </c>
      <c r="M192" s="8"/>
    </row>
    <row r="193" spans="1:13" s="3" customFormat="1" ht="12" customHeight="1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103154+60497.68+56201+146427.16+105593</f>
        <v>471872.83999999997</v>
      </c>
      <c r="G194" s="18">
        <f>36410.93+885.6+109.08+7346.54+8328.97+774.27+245.46+28932.68+608.85+68.31+4245.61+3631.94+494.01+245.46+13395.31+532.2+59.4+4300.9+421.85+122.73+36519.69+1328.4+155.52+10500.7+11793.82+1108.46+490.92+41496.14+885.6+112.32+7108.49+8494.93+792.59+368.19</f>
        <v>232315.87</v>
      </c>
      <c r="H194" s="18">
        <f>950+39152.6+4819.39+5696.5+3312.5+12793.09+6722.06+29332.8+768+6154.99+3399-14853.95</f>
        <v>98246.98000000001</v>
      </c>
      <c r="I194" s="18">
        <f>1826.55+1207.94+259+680.12+1007.43+95.95+774.31+487.18+91.95+491.74+282.2+731.4</f>
        <v>7935.7699999999986</v>
      </c>
      <c r="J194" s="18">
        <f>492.54+603.44+212.07</f>
        <v>1308.05</v>
      </c>
      <c r="K194" s="18"/>
      <c r="L194" s="19">
        <f t="shared" ref="L194:L200" si="0">SUM(F194:K194)</f>
        <v>811679.51</v>
      </c>
      <c r="M194" s="8"/>
    </row>
    <row r="195" spans="1:13" s="3" customFormat="1" ht="12" customHeight="1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11300+37241+50000</f>
        <v>98541</v>
      </c>
      <c r="G195" s="18">
        <f>769.08+779.15+21537+1493+6762.94+8705.03+700+442.8+39.96+2902.64+2970.96+279.53+122.73+8493.82+532.2+54+3804.85+4579.9+375.3+122.73</f>
        <v>65467.62</v>
      </c>
      <c r="H195" s="18">
        <f>2531.35+26992.85</f>
        <v>29524.199999999997</v>
      </c>
      <c r="I195" s="18">
        <f>270.7+365.4+2938.32+1460.49+534.53+929+7497.23+7472.33</f>
        <v>21468</v>
      </c>
      <c r="J195" s="18">
        <f>370.99+743.91+96749.39</f>
        <v>97864.29</v>
      </c>
      <c r="K195" s="18"/>
      <c r="L195" s="19">
        <f t="shared" si="0"/>
        <v>312865.11</v>
      </c>
      <c r="M195" s="8"/>
    </row>
    <row r="196" spans="1:13" s="3" customFormat="1" ht="12" customHeight="1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8000+150+1300+300+86520+85000+58147+30930.3-58147</f>
        <v>212200.3</v>
      </c>
      <c r="G196" s="18">
        <f>734.42+10443.04+975+219.24+13199.92+7962.62+7030+1284.42+490.92+3176.26+8782.55+442.8+61.56+7315.24+2866.13+5305.26+669.1+245.46+355+3145.05-18934.89</f>
        <v>55769.100000000006</v>
      </c>
      <c r="H196" s="18">
        <f>3940.5+23856.19+19015.51+1412.81+12667.5+185+1491.52+365.91+162+4492.52+8876.7+20119.01+3420+836.07+1203.16+606.31+2832.43-18052.18</f>
        <v>87430.959999999992</v>
      </c>
      <c r="I196" s="18">
        <f>64.1+4569.57+4346.71+850+444.27+1504</f>
        <v>11778.650000000001</v>
      </c>
      <c r="J196" s="18">
        <v>0</v>
      </c>
      <c r="K196" s="18">
        <f>3573.83+2634.5+2051.33+2440+530+480.39-1708.17</f>
        <v>10001.879999999999</v>
      </c>
      <c r="L196" s="19">
        <f t="shared" si="0"/>
        <v>377180.89</v>
      </c>
      <c r="M196" s="8"/>
    </row>
    <row r="197" spans="1:13" s="3" customFormat="1" ht="12" customHeight="1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234399.78+55420.72</f>
        <v>289820.5</v>
      </c>
      <c r="G197" s="18">
        <f>67518.37+1507.2+150.48+22106.74+4959.95+22825.85+1654.93+613.65+1281.9+513</f>
        <v>123132.06999999998</v>
      </c>
      <c r="H197" s="18">
        <f>23747.52+6250+9818.11+5841.76+481.76</f>
        <v>46139.150000000009</v>
      </c>
      <c r="I197" s="18">
        <f>15030.14</f>
        <v>15030.14</v>
      </c>
      <c r="J197" s="18">
        <v>769.98</v>
      </c>
      <c r="K197" s="18">
        <f>1244+1202</f>
        <v>2446</v>
      </c>
      <c r="L197" s="19">
        <f t="shared" si="0"/>
        <v>477337.83999999997</v>
      </c>
      <c r="M197" s="8"/>
    </row>
    <row r="198" spans="1:13" s="3" customFormat="1" ht="12" customHeight="1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116970.64</f>
        <v>116970.64</v>
      </c>
      <c r="G199" s="18">
        <f>31977.81+1417.8+57.24+8522.04+10781.11+876.06+2454.6</f>
        <v>56086.659999999996</v>
      </c>
      <c r="H199" s="18">
        <f>212+1650+383.43+2440.46+1616.98+30626.85+39583.82+1042+1507.44+2932.1+98+300+2646.2+700+14530</f>
        <v>100269.28000000001</v>
      </c>
      <c r="I199" s="18">
        <f>17222.99+906.35+1719.03+63520.21+56541.28+206.2</f>
        <v>140116.06</v>
      </c>
      <c r="J199" s="18">
        <f>299+1589.98+1722</f>
        <v>3610.98</v>
      </c>
      <c r="K199" s="18"/>
      <c r="L199" s="19">
        <f t="shared" si="0"/>
        <v>417053.62</v>
      </c>
      <c r="M199" s="8"/>
    </row>
    <row r="200" spans="1:13" s="3" customFormat="1" ht="12" customHeight="1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329916.52+207458.88+3896+6713.8-213327</f>
        <v>334658.20000000007</v>
      </c>
      <c r="I200" s="18"/>
      <c r="J200" s="18"/>
      <c r="K200" s="18"/>
      <c r="L200" s="19">
        <f t="shared" si="0"/>
        <v>334658.20000000007</v>
      </c>
      <c r="M200" s="8"/>
    </row>
    <row r="201" spans="1:13" s="3" customFormat="1" ht="12" customHeight="1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3499817.9099999997</v>
      </c>
      <c r="G203" s="41">
        <f t="shared" si="1"/>
        <v>1404487.7300000004</v>
      </c>
      <c r="H203" s="41">
        <f t="shared" si="1"/>
        <v>885889.78000000014</v>
      </c>
      <c r="I203" s="41">
        <f t="shared" si="1"/>
        <v>287239.26</v>
      </c>
      <c r="J203" s="41">
        <f t="shared" si="1"/>
        <v>110988.03999999998</v>
      </c>
      <c r="K203" s="41">
        <f t="shared" si="1"/>
        <v>12792.88</v>
      </c>
      <c r="L203" s="41">
        <f t="shared" si="1"/>
        <v>6201215.6000000006</v>
      </c>
      <c r="M203" s="8"/>
    </row>
    <row r="204" spans="1:13" s="3" customFormat="1" ht="12" customHeight="1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f>2938275.41</f>
        <v>2938275.41</v>
      </c>
      <c r="I225" s="18"/>
      <c r="J225" s="18"/>
      <c r="K225" s="18"/>
      <c r="L225" s="19">
        <f>SUM(F225:K225)</f>
        <v>2938275.41</v>
      </c>
      <c r="M225" s="8"/>
    </row>
    <row r="226" spans="1:13" s="3" customFormat="1" ht="12" customHeight="1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19932.5</v>
      </c>
      <c r="G226" s="18">
        <v>1524.84</v>
      </c>
      <c r="H226" s="18">
        <v>399253.15</v>
      </c>
      <c r="I226" s="18"/>
      <c r="J226" s="18"/>
      <c r="K226" s="18"/>
      <c r="L226" s="19">
        <f>SUM(F226:K226)</f>
        <v>420710.49000000005</v>
      </c>
      <c r="M226" s="8"/>
    </row>
    <row r="227" spans="1:13" s="3" customFormat="1" ht="12" customHeight="1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>
        <f>8131.89+6722.06</f>
        <v>14853.95</v>
      </c>
      <c r="I230" s="18"/>
      <c r="J230" s="18"/>
      <c r="K230" s="18"/>
      <c r="L230" s="19">
        <f t="shared" ref="L230:L236" si="4">SUM(F230:K230)</f>
        <v>14853.95</v>
      </c>
      <c r="M230" s="8"/>
    </row>
    <row r="231" spans="1:13" s="3" customFormat="1" ht="12" customHeight="1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58147</v>
      </c>
      <c r="G232" s="18">
        <v>18934.89</v>
      </c>
      <c r="H232" s="18">
        <v>18052.18</v>
      </c>
      <c r="I232" s="18"/>
      <c r="J232" s="18"/>
      <c r="K232" s="18">
        <v>1708.17</v>
      </c>
      <c r="L232" s="19">
        <f t="shared" si="4"/>
        <v>96842.240000000005</v>
      </c>
      <c r="M232" s="8"/>
    </row>
    <row r="233" spans="1:13" s="3" customFormat="1" ht="12" customHeight="1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82596.52+130730.48</f>
        <v>213327</v>
      </c>
      <c r="I236" s="18"/>
      <c r="J236" s="18"/>
      <c r="K236" s="18"/>
      <c r="L236" s="19">
        <f t="shared" si="4"/>
        <v>213327</v>
      </c>
      <c r="M236" s="8"/>
    </row>
    <row r="237" spans="1:13" s="3" customFormat="1" ht="12" customHeight="1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78079.5</v>
      </c>
      <c r="G239" s="41">
        <f t="shared" si="5"/>
        <v>20459.73</v>
      </c>
      <c r="H239" s="41">
        <f t="shared" si="5"/>
        <v>3583761.6900000004</v>
      </c>
      <c r="I239" s="41">
        <f t="shared" si="5"/>
        <v>0</v>
      </c>
      <c r="J239" s="41">
        <f t="shared" si="5"/>
        <v>0</v>
      </c>
      <c r="K239" s="41">
        <f t="shared" si="5"/>
        <v>1708.17</v>
      </c>
      <c r="L239" s="41">
        <f t="shared" si="5"/>
        <v>3684009.0900000008</v>
      </c>
      <c r="M239" s="8"/>
    </row>
    <row r="240" spans="1:13" s="3" customFormat="1" ht="12" customHeight="1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3577897.4099999997</v>
      </c>
      <c r="G249" s="41">
        <f t="shared" si="8"/>
        <v>1424947.4600000004</v>
      </c>
      <c r="H249" s="41">
        <f t="shared" si="8"/>
        <v>4469651.4700000007</v>
      </c>
      <c r="I249" s="41">
        <f t="shared" si="8"/>
        <v>287239.26</v>
      </c>
      <c r="J249" s="41">
        <f t="shared" si="8"/>
        <v>110988.03999999998</v>
      </c>
      <c r="K249" s="41">
        <f t="shared" si="8"/>
        <v>14501.05</v>
      </c>
      <c r="L249" s="41">
        <f t="shared" si="8"/>
        <v>9885224.6900000013</v>
      </c>
      <c r="M249" s="8"/>
    </row>
    <row r="250" spans="1:13" s="3" customFormat="1" ht="12" customHeight="1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270000</v>
      </c>
      <c r="L252" s="19">
        <f>SUM(F252:K252)</f>
        <v>270000</v>
      </c>
      <c r="M252" s="8"/>
    </row>
    <row r="253" spans="1:13" s="3" customFormat="1" ht="12" customHeight="1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58000</v>
      </c>
      <c r="L253" s="19">
        <f>SUM(F253:K253)</f>
        <v>58000</v>
      </c>
      <c r="M253" s="8"/>
    </row>
    <row r="254" spans="1:13" s="3" customFormat="1" ht="12" customHeight="1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328000</v>
      </c>
      <c r="L262" s="41">
        <f t="shared" si="9"/>
        <v>328000</v>
      </c>
    </row>
    <row r="263" spans="1:13" ht="12" customHeight="1" thickTop="1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3577897.4099999997</v>
      </c>
      <c r="G263" s="42">
        <f t="shared" si="11"/>
        <v>1424947.4600000004</v>
      </c>
      <c r="H263" s="42">
        <f t="shared" si="11"/>
        <v>4469651.4700000007</v>
      </c>
      <c r="I263" s="42">
        <f t="shared" si="11"/>
        <v>287239.26</v>
      </c>
      <c r="J263" s="42">
        <f t="shared" si="11"/>
        <v>110988.03999999998</v>
      </c>
      <c r="K263" s="42">
        <f t="shared" si="11"/>
        <v>342501.05</v>
      </c>
      <c r="L263" s="42">
        <f t="shared" si="11"/>
        <v>10213224.690000001</v>
      </c>
    </row>
    <row r="264" spans="1:13" ht="12" customHeight="1">
      <c r="A264" s="33"/>
      <c r="B264" s="6"/>
      <c r="C264" s="6"/>
      <c r="D264" s="6"/>
      <c r="E264" s="6"/>
    </row>
    <row r="265" spans="1:13" s="3" customFormat="1" ht="12" customHeight="1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57007.839999999997</v>
      </c>
      <c r="G268" s="18">
        <v>4641.59</v>
      </c>
      <c r="H268" s="18">
        <v>19220</v>
      </c>
      <c r="I268" s="18">
        <v>173.04</v>
      </c>
      <c r="J268" s="18"/>
      <c r="K268" s="18"/>
      <c r="L268" s="19">
        <f>SUM(F268:K268)</f>
        <v>81042.469999999987</v>
      </c>
      <c r="M268" s="8"/>
    </row>
    <row r="269" spans="1:13" s="3" customFormat="1" ht="12" customHeight="1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106802.32</v>
      </c>
      <c r="G269" s="18">
        <v>11462.49</v>
      </c>
      <c r="H269" s="18">
        <v>11387.8</v>
      </c>
      <c r="I269" s="18">
        <v>22307.26</v>
      </c>
      <c r="J269" s="18">
        <v>13171.97</v>
      </c>
      <c r="K269" s="18"/>
      <c r="L269" s="19">
        <f>SUM(F269:K269)</f>
        <v>165131.84000000003</v>
      </c>
      <c r="M269" s="8"/>
    </row>
    <row r="270" spans="1:13" s="3" customFormat="1" ht="12" customHeight="1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7745.5</v>
      </c>
      <c r="I273" s="18"/>
      <c r="J273" s="18"/>
      <c r="K273" s="18"/>
      <c r="L273" s="19">
        <f t="shared" ref="L273:L279" si="12">SUM(F273:K273)</f>
        <v>7745.5</v>
      </c>
      <c r="M273" s="8"/>
    </row>
    <row r="274" spans="1:13" s="3" customFormat="1" ht="12" customHeight="1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>
        <v>5298</v>
      </c>
      <c r="H274" s="18"/>
      <c r="I274" s="18"/>
      <c r="J274" s="18"/>
      <c r="K274" s="18"/>
      <c r="L274" s="19">
        <f t="shared" si="12"/>
        <v>5298</v>
      </c>
      <c r="M274" s="8"/>
    </row>
    <row r="275" spans="1:13" s="3" customFormat="1" ht="12" customHeight="1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>
        <v>600</v>
      </c>
      <c r="I276" s="18">
        <v>13292.67</v>
      </c>
      <c r="J276" s="18"/>
      <c r="K276" s="18"/>
      <c r="L276" s="19">
        <f t="shared" si="12"/>
        <v>13892.67</v>
      </c>
      <c r="M276" s="8"/>
    </row>
    <row r="277" spans="1:13" s="3" customFormat="1" ht="12" customHeight="1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163810.16</v>
      </c>
      <c r="G282" s="42">
        <f t="shared" si="13"/>
        <v>21402.080000000002</v>
      </c>
      <c r="H282" s="42">
        <f t="shared" si="13"/>
        <v>38953.300000000003</v>
      </c>
      <c r="I282" s="42">
        <f t="shared" si="13"/>
        <v>35772.97</v>
      </c>
      <c r="J282" s="42">
        <f t="shared" si="13"/>
        <v>13171.97</v>
      </c>
      <c r="K282" s="42">
        <f t="shared" si="13"/>
        <v>0</v>
      </c>
      <c r="L282" s="41">
        <f t="shared" si="13"/>
        <v>273110.48</v>
      </c>
      <c r="M282" s="8"/>
    </row>
    <row r="283" spans="1:13" s="3" customFormat="1" ht="12" customHeight="1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163810.16</v>
      </c>
      <c r="G330" s="41">
        <f t="shared" si="20"/>
        <v>21402.080000000002</v>
      </c>
      <c r="H330" s="41">
        <f t="shared" si="20"/>
        <v>38953.300000000003</v>
      </c>
      <c r="I330" s="41">
        <f t="shared" si="20"/>
        <v>35772.97</v>
      </c>
      <c r="J330" s="41">
        <f t="shared" si="20"/>
        <v>13171.97</v>
      </c>
      <c r="K330" s="41">
        <f t="shared" si="20"/>
        <v>0</v>
      </c>
      <c r="L330" s="41">
        <f t="shared" si="20"/>
        <v>273110.48</v>
      </c>
      <c r="M330" s="8"/>
    </row>
    <row r="331" spans="1:13" s="3" customFormat="1" ht="12" customHeight="1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163810.16</v>
      </c>
      <c r="G344" s="41">
        <f>G330</f>
        <v>21402.080000000002</v>
      </c>
      <c r="H344" s="41">
        <f>H330</f>
        <v>38953.300000000003</v>
      </c>
      <c r="I344" s="41">
        <f>I330</f>
        <v>35772.97</v>
      </c>
      <c r="J344" s="41">
        <f>J330</f>
        <v>13171.97</v>
      </c>
      <c r="K344" s="47">
        <f>K330+K343</f>
        <v>0</v>
      </c>
      <c r="L344" s="41">
        <f>L330+L343</f>
        <v>273110.48</v>
      </c>
      <c r="M344" s="8"/>
    </row>
    <row r="345" spans="1:43" s="3" customFormat="1" ht="12" customHeight="1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>
        <v>164023</v>
      </c>
      <c r="I350" s="18">
        <f>34.25+1908.23</f>
        <v>1942.48</v>
      </c>
      <c r="J350" s="18">
        <v>336.04</v>
      </c>
      <c r="K350" s="18"/>
      <c r="L350" s="13">
        <f>SUM(F350:K350)</f>
        <v>166301.52000000002</v>
      </c>
      <c r="M350" s="8"/>
    </row>
    <row r="351" spans="1:43" s="3" customFormat="1" ht="12" customHeight="1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164023</v>
      </c>
      <c r="I354" s="47">
        <f t="shared" si="22"/>
        <v>1942.48</v>
      </c>
      <c r="J354" s="47">
        <f t="shared" si="22"/>
        <v>336.04</v>
      </c>
      <c r="K354" s="47">
        <f t="shared" si="22"/>
        <v>0</v>
      </c>
      <c r="L354" s="47">
        <f t="shared" si="22"/>
        <v>166301.52000000002</v>
      </c>
      <c r="M354" s="8"/>
    </row>
    <row r="355" spans="1:13" s="3" customFormat="1" ht="12" customHeight="1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1942.48</v>
      </c>
      <c r="G360" s="63"/>
      <c r="H360" s="63"/>
      <c r="I360" s="56">
        <f>SUM(F360:H360)</f>
        <v>1942.48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1942.48</v>
      </c>
      <c r="G361" s="47">
        <f>SUM(G359:G360)</f>
        <v>0</v>
      </c>
      <c r="H361" s="47">
        <f>SUM(H359:H360)</f>
        <v>0</v>
      </c>
      <c r="I361" s="47">
        <f>SUM(I359:I360)</f>
        <v>1942.48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116.19</v>
      </c>
      <c r="I388" s="18"/>
      <c r="J388" s="24" t="s">
        <v>312</v>
      </c>
      <c r="K388" s="24" t="s">
        <v>312</v>
      </c>
      <c r="L388" s="56">
        <f t="shared" si="26"/>
        <v>116.19</v>
      </c>
      <c r="M388" s="8"/>
    </row>
    <row r="389" spans="1:13" s="3" customFormat="1" ht="12" customHeight="1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116.19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116.19</v>
      </c>
      <c r="M393" s="8"/>
    </row>
    <row r="394" spans="1:13" s="3" customFormat="1" ht="12" customHeight="1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116.19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116.19</v>
      </c>
      <c r="M400" s="8"/>
    </row>
    <row r="401" spans="1:21" s="3" customFormat="1" ht="12" customHeight="1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>
      <c r="A428" s="34" t="s">
        <v>0</v>
      </c>
      <c r="K428" s="56"/>
      <c r="L428" s="13"/>
      <c r="M428" s="8"/>
    </row>
    <row r="429" spans="1:21" s="3" customFormat="1" ht="12" customHeight="1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v>78270.92</v>
      </c>
      <c r="H432" s="18"/>
      <c r="I432" s="56">
        <f t="shared" si="33"/>
        <v>78270.92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78270.92</v>
      </c>
      <c r="H438" s="13">
        <f>SUM(H431:H437)</f>
        <v>0</v>
      </c>
      <c r="I438" s="13">
        <f>SUM(I431:I437)</f>
        <v>78270.92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78270.92</v>
      </c>
      <c r="H449" s="18"/>
      <c r="I449" s="56">
        <f>SUM(F449:H449)</f>
        <v>78270.92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78270.92</v>
      </c>
      <c r="H450" s="83">
        <f>SUM(H446:H449)</f>
        <v>0</v>
      </c>
      <c r="I450" s="83">
        <f>SUM(I446:I449)</f>
        <v>78270.92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78270.92</v>
      </c>
      <c r="H451" s="42">
        <f>H444+H450</f>
        <v>0</v>
      </c>
      <c r="I451" s="42">
        <f>I444+I450</f>
        <v>78270.92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414708</v>
      </c>
      <c r="G455" s="18"/>
      <c r="H455" s="18"/>
      <c r="I455" s="18"/>
      <c r="J455" s="18">
        <v>78154.73</v>
      </c>
      <c r="K455" s="24" t="s">
        <v>312</v>
      </c>
      <c r="L455" s="24" t="s">
        <v>312</v>
      </c>
    </row>
    <row r="456" spans="1:23" s="52" customFormat="1" ht="12" customHeight="1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9907515.5999999996</v>
      </c>
      <c r="G458" s="18">
        <v>163349.01999999999</v>
      </c>
      <c r="H458" s="18">
        <v>265622.49</v>
      </c>
      <c r="I458" s="18"/>
      <c r="J458" s="18">
        <v>116.19</v>
      </c>
      <c r="K458" s="24" t="s">
        <v>312</v>
      </c>
      <c r="L458" s="24" t="s">
        <v>312</v>
      </c>
    </row>
    <row r="459" spans="1:23" s="52" customFormat="1" ht="12" customHeight="1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9907515.5999999996</v>
      </c>
      <c r="G460" s="53">
        <f>SUM(G458:G459)</f>
        <v>163349.01999999999</v>
      </c>
      <c r="H460" s="53">
        <f>SUM(H458:H459)</f>
        <v>265622.49</v>
      </c>
      <c r="I460" s="53">
        <f>SUM(I458:I459)</f>
        <v>0</v>
      </c>
      <c r="J460" s="53">
        <f>SUM(J458:J459)</f>
        <v>116.19</v>
      </c>
      <c r="K460" s="24" t="s">
        <v>312</v>
      </c>
      <c r="L460" s="24" t="s">
        <v>312</v>
      </c>
    </row>
    <row r="461" spans="1:23" s="52" customFormat="1" ht="12" customHeight="1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10213224.689999999</v>
      </c>
      <c r="G462" s="18">
        <v>166301.51999999999</v>
      </c>
      <c r="H462" s="18">
        <v>273110.48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>
        <v>-2952.5</v>
      </c>
      <c r="H463" s="18">
        <v>-7487.99</v>
      </c>
      <c r="I463" s="18"/>
      <c r="J463" s="18"/>
      <c r="K463" s="24" t="s">
        <v>312</v>
      </c>
      <c r="L463" s="24" t="s">
        <v>312</v>
      </c>
    </row>
    <row r="464" spans="1:23" s="52" customFormat="1" ht="12" customHeight="1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10213224.689999999</v>
      </c>
      <c r="G464" s="53">
        <f>SUM(G462:G463)</f>
        <v>163349.01999999999</v>
      </c>
      <c r="H464" s="53">
        <f>SUM(H462:H463)</f>
        <v>265622.49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108998.91000000015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78270.92</v>
      </c>
      <c r="K466" s="24" t="s">
        <v>312</v>
      </c>
      <c r="L466" s="24" t="s">
        <v>312</v>
      </c>
    </row>
    <row r="467" spans="1:12" s="52" customFormat="1" ht="12" customHeight="1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>
        <v>10</v>
      </c>
      <c r="H480" s="154">
        <v>5</v>
      </c>
      <c r="I480" s="154"/>
      <c r="J480" s="154"/>
      <c r="K480" s="24" t="s">
        <v>312</v>
      </c>
      <c r="L480" s="24" t="s">
        <v>312</v>
      </c>
    </row>
    <row r="481" spans="1:12" s="52" customFormat="1" ht="12" customHeight="1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895</v>
      </c>
      <c r="H481" s="155" t="s">
        <v>896</v>
      </c>
      <c r="I481" s="155"/>
      <c r="J481" s="155"/>
      <c r="K481" s="24" t="s">
        <v>312</v>
      </c>
      <c r="L481" s="24" t="s">
        <v>312</v>
      </c>
    </row>
    <row r="482" spans="1:12" s="52" customFormat="1" ht="12" customHeight="1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897</v>
      </c>
      <c r="G482" s="155" t="s">
        <v>898</v>
      </c>
      <c r="H482" s="155" t="s">
        <v>897</v>
      </c>
      <c r="I482" s="155"/>
      <c r="J482" s="155"/>
      <c r="K482" s="24" t="s">
        <v>312</v>
      </c>
      <c r="L482" s="24" t="s">
        <v>312</v>
      </c>
    </row>
    <row r="483" spans="1:12" s="52" customFormat="1" ht="12" customHeight="1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450000</v>
      </c>
      <c r="G483" s="18">
        <v>2239800</v>
      </c>
      <c r="H483" s="18">
        <v>82397.7</v>
      </c>
      <c r="I483" s="18"/>
      <c r="J483" s="18"/>
      <c r="K483" s="24" t="s">
        <v>312</v>
      </c>
      <c r="L483" s="24" t="s">
        <v>312</v>
      </c>
    </row>
    <row r="484" spans="1:12" s="52" customFormat="1" ht="12" customHeight="1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4.76</v>
      </c>
      <c r="G484" s="18">
        <v>3.63</v>
      </c>
      <c r="H484" s="18">
        <v>3.9</v>
      </c>
      <c r="I484" s="18"/>
      <c r="J484" s="18"/>
      <c r="K484" s="24" t="s">
        <v>312</v>
      </c>
      <c r="L484" s="24" t="s">
        <v>312</v>
      </c>
    </row>
    <row r="485" spans="1:12" s="52" customFormat="1" ht="12" customHeight="1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180000</v>
      </c>
      <c r="G485" s="18">
        <v>1115000</v>
      </c>
      <c r="H485" s="18">
        <v>65054.97</v>
      </c>
      <c r="I485" s="18"/>
      <c r="J485" s="18"/>
      <c r="K485" s="53">
        <f>SUM(F485:J485)</f>
        <v>1360054.97</v>
      </c>
      <c r="L485" s="24" t="s">
        <v>312</v>
      </c>
    </row>
    <row r="486" spans="1:12" s="52" customFormat="1" ht="12" customHeight="1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45000</v>
      </c>
      <c r="G487" s="18">
        <v>225000</v>
      </c>
      <c r="H487" s="18">
        <v>15179.88</v>
      </c>
      <c r="I487" s="18"/>
      <c r="J487" s="18"/>
      <c r="K487" s="53">
        <f t="shared" si="34"/>
        <v>285179.88</v>
      </c>
      <c r="L487" s="24" t="s">
        <v>312</v>
      </c>
    </row>
    <row r="488" spans="1:12" s="52" customFormat="1" ht="12" customHeight="1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135000</v>
      </c>
      <c r="G488" s="205">
        <v>890000</v>
      </c>
      <c r="H488" s="205">
        <v>49875.09</v>
      </c>
      <c r="I488" s="205"/>
      <c r="J488" s="205"/>
      <c r="K488" s="206">
        <f t="shared" si="34"/>
        <v>1074875.0900000001</v>
      </c>
      <c r="L488" s="207" t="s">
        <v>312</v>
      </c>
    </row>
    <row r="489" spans="1:12" s="52" customFormat="1" ht="12" customHeight="1" thickBot="1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10125</v>
      </c>
      <c r="G489" s="18">
        <v>88500</v>
      </c>
      <c r="H489" s="18">
        <v>3917.2</v>
      </c>
      <c r="I489" s="18"/>
      <c r="J489" s="18"/>
      <c r="K489" s="53">
        <f t="shared" si="34"/>
        <v>102542.2</v>
      </c>
      <c r="L489" s="24" t="s">
        <v>312</v>
      </c>
    </row>
    <row r="490" spans="1:12" s="52" customFormat="1" ht="12" customHeight="1" thickTop="1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145125</v>
      </c>
      <c r="G490" s="42">
        <f>SUM(G488:G489)</f>
        <v>978500</v>
      </c>
      <c r="H490" s="42">
        <f>SUM(H488:H489)</f>
        <v>53792.289999999994</v>
      </c>
      <c r="I490" s="42">
        <f>SUM(I488:I489)</f>
        <v>0</v>
      </c>
      <c r="J490" s="42">
        <f>SUM(J488:J489)</f>
        <v>0</v>
      </c>
      <c r="K490" s="42">
        <f t="shared" si="34"/>
        <v>1177417.29</v>
      </c>
      <c r="L490" s="45" t="s">
        <v>312</v>
      </c>
    </row>
    <row r="491" spans="1:12" s="52" customFormat="1" ht="12" customHeight="1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45000</v>
      </c>
      <c r="G491" s="205">
        <v>225000</v>
      </c>
      <c r="H491" s="205">
        <v>15950.81</v>
      </c>
      <c r="I491" s="205"/>
      <c r="J491" s="205"/>
      <c r="K491" s="206">
        <f t="shared" si="34"/>
        <v>285950.81</v>
      </c>
      <c r="L491" s="207" t="s">
        <v>312</v>
      </c>
    </row>
    <row r="492" spans="1:12" s="52" customFormat="1" ht="12" customHeight="1" thickBot="1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5625</v>
      </c>
      <c r="G492" s="18">
        <v>38875</v>
      </c>
      <c r="H492" s="18">
        <v>1928.97</v>
      </c>
      <c r="I492" s="18"/>
      <c r="J492" s="18"/>
      <c r="K492" s="53">
        <f t="shared" si="34"/>
        <v>46428.97</v>
      </c>
      <c r="L492" s="24" t="s">
        <v>312</v>
      </c>
    </row>
    <row r="493" spans="1:12" s="52" customFormat="1" ht="12" customHeight="1" thickTop="1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50625</v>
      </c>
      <c r="G493" s="42">
        <f>SUM(G491:G492)</f>
        <v>263875</v>
      </c>
      <c r="H493" s="42">
        <f>SUM(H491:H492)</f>
        <v>17879.78</v>
      </c>
      <c r="I493" s="42">
        <f>SUM(I491:I492)</f>
        <v>0</v>
      </c>
      <c r="J493" s="42">
        <f>SUM(J491:J492)</f>
        <v>0</v>
      </c>
      <c r="K493" s="42">
        <f t="shared" si="34"/>
        <v>332379.78000000003</v>
      </c>
      <c r="L493" s="45" t="s">
        <v>312</v>
      </c>
    </row>
    <row r="494" spans="1:12" s="52" customFormat="1" ht="12" customHeight="1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301689.01+42419+299721.77+28374.92</f>
        <v>672204.70000000007</v>
      </c>
      <c r="G511" s="18">
        <f>30100.08+8278.32+446.94+57455.73+34485.31+5126.78+1963.68-1524.84</f>
        <v>136332</v>
      </c>
      <c r="H511" s="18">
        <f>28506+49465.85+265549.45+156632.51+84237.85-399253.15</f>
        <v>185138.51</v>
      </c>
      <c r="I511" s="18">
        <f>1475.61+315.24+358.85+984.75+620</f>
        <v>3754.45</v>
      </c>
      <c r="J511" s="18">
        <f>2258.4+391.01+999.98+1528.72</f>
        <v>5178.1099999999997</v>
      </c>
      <c r="K511" s="18"/>
      <c r="L511" s="88">
        <f>SUM(F511:K511)</f>
        <v>1002607.77</v>
      </c>
    </row>
    <row r="512" spans="1:12" s="52" customFormat="1" ht="12" customHeight="1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19932.5</v>
      </c>
      <c r="G513" s="18">
        <v>1524.84</v>
      </c>
      <c r="H513" s="18">
        <v>399253.15</v>
      </c>
      <c r="I513" s="18"/>
      <c r="J513" s="18"/>
      <c r="K513" s="18"/>
      <c r="L513" s="88">
        <f>SUM(F513:K513)</f>
        <v>420710.49000000005</v>
      </c>
    </row>
    <row r="514" spans="1:13" s="52" customFormat="1" ht="12" customHeight="1" thickTop="1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692137.20000000007</v>
      </c>
      <c r="G514" s="108">
        <f t="shared" ref="G514:L514" si="35">SUM(G511:G513)</f>
        <v>137856.84</v>
      </c>
      <c r="H514" s="108">
        <f t="shared" si="35"/>
        <v>584391.66</v>
      </c>
      <c r="I514" s="108">
        <f t="shared" si="35"/>
        <v>3754.45</v>
      </c>
      <c r="J514" s="108">
        <f t="shared" si="35"/>
        <v>5178.1099999999997</v>
      </c>
      <c r="K514" s="108">
        <f t="shared" si="35"/>
        <v>0</v>
      </c>
      <c r="L514" s="89">
        <f t="shared" si="35"/>
        <v>1423318.26</v>
      </c>
    </row>
    <row r="515" spans="1:13" s="52" customFormat="1" ht="12" customHeight="1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471872.84</v>
      </c>
      <c r="G516" s="18">
        <v>232315.87</v>
      </c>
      <c r="H516" s="18">
        <f>98246.98-14853.95</f>
        <v>83393.03</v>
      </c>
      <c r="I516" s="18">
        <v>7935.77</v>
      </c>
      <c r="J516" s="18">
        <v>1308.05</v>
      </c>
      <c r="K516" s="18"/>
      <c r="L516" s="88">
        <f>SUM(F516:K516)</f>
        <v>796825.56</v>
      </c>
    </row>
    <row r="517" spans="1:13" s="52" customFormat="1" ht="12" customHeight="1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14853.95</v>
      </c>
      <c r="I518" s="18"/>
      <c r="J518" s="18"/>
      <c r="K518" s="18"/>
      <c r="L518" s="88">
        <f>SUM(F518:K518)</f>
        <v>14853.95</v>
      </c>
      <c r="M518" s="8"/>
    </row>
    <row r="519" spans="1:13" s="3" customFormat="1" ht="12" customHeight="1" thickTop="1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471872.84</v>
      </c>
      <c r="G519" s="89">
        <f t="shared" ref="G519:L519" si="36">SUM(G516:G518)</f>
        <v>232315.87</v>
      </c>
      <c r="H519" s="89">
        <f t="shared" si="36"/>
        <v>98246.98</v>
      </c>
      <c r="I519" s="89">
        <f t="shared" si="36"/>
        <v>7935.77</v>
      </c>
      <c r="J519" s="89">
        <f t="shared" si="36"/>
        <v>1308.05</v>
      </c>
      <c r="K519" s="89">
        <f t="shared" si="36"/>
        <v>0</v>
      </c>
      <c r="L519" s="89">
        <f t="shared" si="36"/>
        <v>811679.51</v>
      </c>
      <c r="M519" s="8"/>
    </row>
    <row r="520" spans="1:13" s="3" customFormat="1" ht="12" customHeight="1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58147</v>
      </c>
      <c r="G523" s="18">
        <v>18934.89</v>
      </c>
      <c r="H523" s="18"/>
      <c r="I523" s="18"/>
      <c r="J523" s="18"/>
      <c r="K523" s="18">
        <v>1708.17</v>
      </c>
      <c r="L523" s="88">
        <f>SUM(F523:K523)</f>
        <v>78790.06</v>
      </c>
      <c r="M523" s="8"/>
    </row>
    <row r="524" spans="1:13" s="3" customFormat="1" ht="12" customHeight="1" thickTop="1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58147</v>
      </c>
      <c r="G524" s="89">
        <f t="shared" ref="G524:L524" si="37">SUM(G521:G523)</f>
        <v>18934.89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1708.17</v>
      </c>
      <c r="L524" s="89">
        <f t="shared" si="37"/>
        <v>78790.06</v>
      </c>
      <c r="M524" s="8"/>
    </row>
    <row r="525" spans="1:13" s="3" customFormat="1" ht="12" customHeight="1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18052.18</v>
      </c>
      <c r="I528" s="18"/>
      <c r="J528" s="18"/>
      <c r="K528" s="18"/>
      <c r="L528" s="88">
        <f>SUM(F528:K528)</f>
        <v>18052.18</v>
      </c>
      <c r="M528" s="8"/>
    </row>
    <row r="529" spans="1:13" s="3" customFormat="1" ht="12" customHeight="1" thickTop="1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18052.18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18052.18</v>
      </c>
      <c r="M529" s="8"/>
    </row>
    <row r="530" spans="1:13" s="3" customFormat="1" ht="12" customHeight="1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76728.399999999994</v>
      </c>
      <c r="I531" s="18"/>
      <c r="J531" s="18"/>
      <c r="K531" s="18"/>
      <c r="L531" s="88">
        <f>SUM(F531:K531)</f>
        <v>76728.399999999994</v>
      </c>
      <c r="M531" s="8"/>
    </row>
    <row r="532" spans="1:13" s="3" customFormat="1" ht="12" customHeight="1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130730.48</v>
      </c>
      <c r="I533" s="18"/>
      <c r="J533" s="18"/>
      <c r="K533" s="18"/>
      <c r="L533" s="88">
        <f>SUM(F533:K533)</f>
        <v>130730.48</v>
      </c>
      <c r="M533" s="8"/>
    </row>
    <row r="534" spans="1:13" s="3" customFormat="1" ht="12" customHeight="1" thickTop="1" thickBot="1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207458.88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207458.88</v>
      </c>
      <c r="M534" s="8"/>
    </row>
    <row r="535" spans="1:13" s="3" customFormat="1" ht="12" customHeight="1" thickTop="1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1222157.04</v>
      </c>
      <c r="G535" s="89">
        <f t="shared" ref="G535:L535" si="40">G514+G519+G524+G529+G534</f>
        <v>389107.6</v>
      </c>
      <c r="H535" s="89">
        <f t="shared" si="40"/>
        <v>908149.70000000007</v>
      </c>
      <c r="I535" s="89">
        <f t="shared" si="40"/>
        <v>11690.220000000001</v>
      </c>
      <c r="J535" s="89">
        <f t="shared" si="40"/>
        <v>6486.16</v>
      </c>
      <c r="K535" s="89">
        <f t="shared" si="40"/>
        <v>1708.17</v>
      </c>
      <c r="L535" s="89">
        <f t="shared" si="40"/>
        <v>2539298.89</v>
      </c>
      <c r="M535" s="8"/>
    </row>
    <row r="536" spans="1:13" s="3" customFormat="1" ht="12" customHeight="1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1002607.77</v>
      </c>
      <c r="G539" s="87">
        <f>L516</f>
        <v>796825.56</v>
      </c>
      <c r="H539" s="87">
        <f>L521</f>
        <v>0</v>
      </c>
      <c r="I539" s="87">
        <f>L526</f>
        <v>0</v>
      </c>
      <c r="J539" s="87">
        <f>L531</f>
        <v>76728.399999999994</v>
      </c>
      <c r="K539" s="87">
        <f>SUM(F539:J539)</f>
        <v>1876161.73</v>
      </c>
      <c r="L539" s="24" t="s">
        <v>312</v>
      </c>
      <c r="M539" s="8"/>
    </row>
    <row r="540" spans="1:13" s="3" customFormat="1" ht="12" customHeight="1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420710.49000000005</v>
      </c>
      <c r="G541" s="87">
        <f>L518</f>
        <v>14853.95</v>
      </c>
      <c r="H541" s="87">
        <f>L523</f>
        <v>78790.06</v>
      </c>
      <c r="I541" s="87">
        <f>L528</f>
        <v>18052.18</v>
      </c>
      <c r="J541" s="87">
        <f>L533</f>
        <v>130730.48</v>
      </c>
      <c r="K541" s="87">
        <f>SUM(F541:J541)</f>
        <v>663137.16</v>
      </c>
      <c r="L541" s="24" t="s">
        <v>312</v>
      </c>
      <c r="M541" s="8"/>
    </row>
    <row r="542" spans="1:13" s="3" customFormat="1" ht="12" customHeight="1" thickTop="1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1423318.26</v>
      </c>
      <c r="G542" s="89">
        <f t="shared" si="41"/>
        <v>811679.51</v>
      </c>
      <c r="H542" s="89">
        <f t="shared" si="41"/>
        <v>78790.06</v>
      </c>
      <c r="I542" s="89">
        <f t="shared" si="41"/>
        <v>18052.18</v>
      </c>
      <c r="J542" s="89">
        <f t="shared" si="41"/>
        <v>207458.88</v>
      </c>
      <c r="K542" s="89">
        <f t="shared" si="41"/>
        <v>2539298.89</v>
      </c>
      <c r="L542" s="24"/>
      <c r="M542" s="8"/>
    </row>
    <row r="543" spans="1:13" s="3" customFormat="1" ht="12" customHeight="1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2938275.41</v>
      </c>
      <c r="I565" s="87">
        <f>SUM(F565:H565)</f>
        <v>2938275.41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265549.45</v>
      </c>
      <c r="I569" s="87">
        <f t="shared" si="46"/>
        <v>265549.45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156632.51</v>
      </c>
      <c r="G572" s="18"/>
      <c r="H572" s="18">
        <v>84237.85</v>
      </c>
      <c r="I572" s="87">
        <f t="shared" si="46"/>
        <v>240870.36000000002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247320</v>
      </c>
      <c r="I581" s="18"/>
      <c r="J581" s="18">
        <v>82596.52</v>
      </c>
      <c r="K581" s="104">
        <f t="shared" ref="K581:K587" si="47">SUM(H581:J581)</f>
        <v>329916.52</v>
      </c>
      <c r="L581" s="24" t="s">
        <v>312</v>
      </c>
      <c r="M581" s="8"/>
    </row>
    <row r="582" spans="1:13" s="3" customFormat="1" ht="12" customHeight="1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76728.399999999994</v>
      </c>
      <c r="I582" s="18"/>
      <c r="J582" s="18">
        <v>130730.48</v>
      </c>
      <c r="K582" s="104">
        <f t="shared" si="47"/>
        <v>207458.88</v>
      </c>
      <c r="L582" s="24" t="s">
        <v>312</v>
      </c>
      <c r="M582" s="8"/>
    </row>
    <row r="583" spans="1:13" s="3" customFormat="1" ht="12" customHeight="1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3896</v>
      </c>
      <c r="I584" s="18"/>
      <c r="J584" s="18"/>
      <c r="K584" s="104">
        <f t="shared" si="47"/>
        <v>3896</v>
      </c>
      <c r="L584" s="24" t="s">
        <v>312</v>
      </c>
      <c r="M584" s="8"/>
    </row>
    <row r="585" spans="1:13" s="3" customFormat="1" ht="12" customHeight="1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6713.8</v>
      </c>
      <c r="I585" s="18"/>
      <c r="J585" s="18"/>
      <c r="K585" s="104">
        <f t="shared" si="47"/>
        <v>6713.8</v>
      </c>
      <c r="L585" s="24" t="s">
        <v>312</v>
      </c>
      <c r="M585" s="8"/>
    </row>
    <row r="586" spans="1:13" s="3" customFormat="1" ht="12" customHeight="1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334658.2</v>
      </c>
      <c r="I588" s="108">
        <f>SUM(I581:I587)</f>
        <v>0</v>
      </c>
      <c r="J588" s="108">
        <f>SUM(J581:J587)</f>
        <v>213327</v>
      </c>
      <c r="K588" s="108">
        <f>SUM(K581:K587)</f>
        <v>547985.20000000007</v>
      </c>
      <c r="L588" s="24" t="s">
        <v>312</v>
      </c>
      <c r="M588" s="8"/>
    </row>
    <row r="589" spans="1:13" s="3" customFormat="1" ht="12" customHeight="1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124160.01</v>
      </c>
      <c r="I594" s="18"/>
      <c r="J594" s="18"/>
      <c r="K594" s="104">
        <f>SUM(H594:J594)</f>
        <v>124160.01</v>
      </c>
      <c r="L594" s="24" t="s">
        <v>312</v>
      </c>
      <c r="M594" s="8"/>
    </row>
    <row r="595" spans="1:13" s="3" customFormat="1" ht="12" customHeight="1" thickTop="1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124160.01</v>
      </c>
      <c r="I595" s="108">
        <f>SUM(I592:I594)</f>
        <v>0</v>
      </c>
      <c r="J595" s="108">
        <f>SUM(J592:J594)</f>
        <v>0</v>
      </c>
      <c r="K595" s="108">
        <f>SUM(K592:K594)</f>
        <v>124160.01</v>
      </c>
      <c r="L595" s="24" t="s">
        <v>312</v>
      </c>
      <c r="M595" s="8"/>
    </row>
    <row r="596" spans="1:13" s="3" customFormat="1" ht="12" customHeight="1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996136.98</v>
      </c>
      <c r="H607" s="109">
        <f>SUM(F44)</f>
        <v>996136.98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124936.52</v>
      </c>
      <c r="H608" s="109">
        <f>SUM(G44)</f>
        <v>124936.51999999999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>
      <c r="A609" s="97"/>
      <c r="B609" s="105"/>
      <c r="C609" s="105"/>
      <c r="D609" s="105"/>
      <c r="E609" s="105"/>
      <c r="F609" s="121" t="s">
        <v>719</v>
      </c>
      <c r="G609" s="109">
        <f>SUM(H19)</f>
        <v>62928.93</v>
      </c>
      <c r="H609" s="109">
        <f>SUM(H44)</f>
        <v>62928.93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>
      <c r="A611" s="97"/>
      <c r="B611" s="105"/>
      <c r="C611" s="105"/>
      <c r="D611" s="105"/>
      <c r="E611" s="105"/>
      <c r="F611" s="121" t="s">
        <v>721</v>
      </c>
      <c r="G611" s="109">
        <f>SUM(J19)</f>
        <v>78270.92</v>
      </c>
      <c r="H611" s="109">
        <f>SUM(J44)</f>
        <v>78270.92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>
      <c r="A612" s="97"/>
      <c r="B612" s="105"/>
      <c r="C612" s="105"/>
      <c r="D612" s="105"/>
      <c r="E612" s="105"/>
      <c r="F612" s="121" t="s">
        <v>722</v>
      </c>
      <c r="G612" s="109">
        <f>F43</f>
        <v>108998.91</v>
      </c>
      <c r="H612" s="109">
        <f>F466</f>
        <v>108998.91000000015</v>
      </c>
      <c r="I612" s="121" t="s">
        <v>106</v>
      </c>
      <c r="J612" s="109">
        <f t="shared" ref="J612:J645" si="49">G612-H612</f>
        <v>-1.4551915228366852E-10</v>
      </c>
      <c r="K612" s="109"/>
      <c r="L612" s="109"/>
      <c r="M612" s="8"/>
    </row>
    <row r="613" spans="1:13" s="3" customFormat="1" ht="12" customHeight="1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>
      <c r="A616" s="22"/>
      <c r="B616" s="105"/>
      <c r="C616" s="105"/>
      <c r="D616" s="105"/>
      <c r="E616" s="105"/>
      <c r="F616" s="120" t="s">
        <v>113</v>
      </c>
      <c r="G616" s="109">
        <f>J43</f>
        <v>78270.92</v>
      </c>
      <c r="H616" s="109">
        <f>J466</f>
        <v>78270.92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>
      <c r="A617" s="22"/>
      <c r="B617" s="105"/>
      <c r="C617" s="105"/>
      <c r="D617" s="105"/>
      <c r="E617" s="105"/>
      <c r="F617" s="120" t="s">
        <v>692</v>
      </c>
      <c r="G617" s="109">
        <f>F185</f>
        <v>9907515.6000000015</v>
      </c>
      <c r="H617" s="104">
        <f>SUM(F458)</f>
        <v>9907515.5999999996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>
      <c r="A618" s="22"/>
      <c r="B618" s="105"/>
      <c r="C618" s="105"/>
      <c r="D618" s="105"/>
      <c r="E618" s="105"/>
      <c r="F618" s="120" t="s">
        <v>693</v>
      </c>
      <c r="G618" s="109">
        <f>G185</f>
        <v>163349.02000000002</v>
      </c>
      <c r="H618" s="104">
        <f>SUM(G458)</f>
        <v>163349.01999999999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>
      <c r="A619" s="22"/>
      <c r="B619" s="105"/>
      <c r="C619" s="105"/>
      <c r="D619" s="105"/>
      <c r="E619" s="105"/>
      <c r="F619" s="120" t="s">
        <v>694</v>
      </c>
      <c r="G619" s="109">
        <f>H185</f>
        <v>265622.49</v>
      </c>
      <c r="H619" s="104">
        <f>SUM(H458)</f>
        <v>265622.49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>
      <c r="A621" s="22"/>
      <c r="B621" s="105"/>
      <c r="C621" s="105"/>
      <c r="D621" s="105"/>
      <c r="E621" s="105"/>
      <c r="F621" s="120" t="s">
        <v>696</v>
      </c>
      <c r="G621" s="109">
        <f>J185</f>
        <v>116.19</v>
      </c>
      <c r="H621" s="104">
        <f>SUM(J458)</f>
        <v>116.19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>
      <c r="A622" s="22"/>
      <c r="B622" s="105"/>
      <c r="C622" s="105"/>
      <c r="D622" s="105"/>
      <c r="E622" s="105"/>
      <c r="F622" s="120" t="s">
        <v>418</v>
      </c>
      <c r="G622" s="109">
        <f>SUM(L263)</f>
        <v>10213224.690000001</v>
      </c>
      <c r="H622" s="104">
        <f>SUM(F462)</f>
        <v>10213224.689999999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>
      <c r="A623" s="22"/>
      <c r="B623" s="105"/>
      <c r="C623" s="105"/>
      <c r="D623" s="105"/>
      <c r="E623" s="105"/>
      <c r="F623" s="120" t="s">
        <v>419</v>
      </c>
      <c r="G623" s="109">
        <f>SUM(L344)</f>
        <v>273110.48</v>
      </c>
      <c r="H623" s="104">
        <f>SUM(H462)</f>
        <v>273110.48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>
      <c r="A624" s="22"/>
      <c r="B624" s="105"/>
      <c r="C624" s="105"/>
      <c r="D624" s="105"/>
      <c r="E624" s="105"/>
      <c r="F624" s="142" t="s">
        <v>270</v>
      </c>
      <c r="G624" s="109">
        <f>I354</f>
        <v>1942.48</v>
      </c>
      <c r="H624" s="104">
        <f>I361</f>
        <v>1942.48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122</v>
      </c>
      <c r="G625" s="109">
        <f>SUM(L354)</f>
        <v>166301.52000000002</v>
      </c>
      <c r="H625" s="104">
        <f>SUM(G462)</f>
        <v>166301.51999999999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>
      <c r="A627" s="161"/>
      <c r="B627" s="162"/>
      <c r="C627" s="162"/>
      <c r="D627" s="162"/>
      <c r="E627" s="162"/>
      <c r="F627" s="163" t="s">
        <v>501</v>
      </c>
      <c r="G627" s="151">
        <f>SUM(L400)</f>
        <v>116.19</v>
      </c>
      <c r="H627" s="164">
        <f>SUM(J458)</f>
        <v>116.19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129</v>
      </c>
      <c r="G630" s="109">
        <f>SUM(G438)</f>
        <v>78270.92</v>
      </c>
      <c r="H630" s="104">
        <f>SUM(G451)</f>
        <v>78270.92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133</v>
      </c>
      <c r="G632" s="109">
        <f>SUM(I438)</f>
        <v>78270.92</v>
      </c>
      <c r="H632" s="104">
        <f>SUM(I451)</f>
        <v>78270.92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>
      <c r="A634" s="22"/>
      <c r="B634" s="105"/>
      <c r="C634" s="105"/>
      <c r="D634" s="105"/>
      <c r="E634" s="105"/>
      <c r="F634" s="120" t="s">
        <v>697</v>
      </c>
      <c r="G634" s="109">
        <f>J88</f>
        <v>116.19</v>
      </c>
      <c r="H634" s="104">
        <f>H400</f>
        <v>116.19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>
      <c r="A636" s="22"/>
      <c r="B636" s="105"/>
      <c r="C636" s="105"/>
      <c r="D636" s="105"/>
      <c r="E636" s="105"/>
      <c r="F636" s="120" t="s">
        <v>696</v>
      </c>
      <c r="G636" s="109">
        <f>J185</f>
        <v>116.19</v>
      </c>
      <c r="H636" s="104">
        <f>L400</f>
        <v>116.19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>
      <c r="A637" s="22"/>
      <c r="B637" s="105"/>
      <c r="C637" s="105"/>
      <c r="D637" s="105"/>
      <c r="E637" s="105"/>
      <c r="F637" s="120" t="s">
        <v>51</v>
      </c>
      <c r="G637" s="109">
        <f>K588</f>
        <v>547985.20000000007</v>
      </c>
      <c r="H637" s="104">
        <f>L200+L218+L236</f>
        <v>547985.20000000007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52</v>
      </c>
      <c r="G638" s="109">
        <f>K595</f>
        <v>124160.01</v>
      </c>
      <c r="H638" s="104">
        <f>(J249+J330)-(J247+J328)</f>
        <v>124160.00999999998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411</v>
      </c>
      <c r="G639" s="109">
        <f>L200</f>
        <v>334658.20000000007</v>
      </c>
      <c r="H639" s="104">
        <f>H588</f>
        <v>334658.2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417</v>
      </c>
      <c r="G641" s="109">
        <f>L236</f>
        <v>213327</v>
      </c>
      <c r="H641" s="104">
        <f>J588</f>
        <v>213327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>
      <c r="A650" s="1" t="s">
        <v>139</v>
      </c>
      <c r="F650" s="19">
        <f>(L203+L282+L350)</f>
        <v>6640627.5999999996</v>
      </c>
      <c r="G650" s="19">
        <f>(L221+L301+L351)</f>
        <v>0</v>
      </c>
      <c r="H650" s="19">
        <f>(L239+L320+L352)</f>
        <v>3684009.0900000008</v>
      </c>
      <c r="I650" s="19">
        <f>SUM(F650:H650)</f>
        <v>10324636.690000001</v>
      </c>
      <c r="J650" s="13"/>
      <c r="K650" s="13"/>
      <c r="L650" s="13"/>
      <c r="M650" s="9"/>
    </row>
    <row r="651" spans="1:13" s="3" customFormat="1" ht="12" customHeight="1">
      <c r="A651" s="1" t="s">
        <v>140</v>
      </c>
      <c r="F651" s="19">
        <f>(L350/IF(SUM(L350:L352)=0,1,SUM(L350:L352))*(SUM(G89:G102)))</f>
        <v>106872.1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106872.1</v>
      </c>
      <c r="J651"/>
      <c r="K651" s="13"/>
      <c r="L651" s="13"/>
      <c r="M651" s="9"/>
    </row>
    <row r="652" spans="1:13" s="3" customFormat="1" ht="12" customHeight="1">
      <c r="A652" s="1" t="s">
        <v>141</v>
      </c>
      <c r="F652" s="19">
        <f>(L200+L279)-(J200+J279)</f>
        <v>334658.20000000007</v>
      </c>
      <c r="G652" s="19">
        <f>(L218+L298)-(J218+J298)</f>
        <v>0</v>
      </c>
      <c r="H652" s="19">
        <f>(L236+L317)-(J236+J317)</f>
        <v>213327</v>
      </c>
      <c r="I652" s="19">
        <f>SUM(F652:H652)</f>
        <v>547985.20000000007</v>
      </c>
      <c r="J652"/>
      <c r="K652" s="13"/>
      <c r="L652" s="13"/>
      <c r="M652" s="9"/>
    </row>
    <row r="653" spans="1:13" s="3" customFormat="1" ht="12" customHeight="1">
      <c r="A653" s="199" t="s">
        <v>142</v>
      </c>
      <c r="B653" s="169"/>
      <c r="C653" s="169"/>
      <c r="D653" s="169"/>
      <c r="E653" s="169"/>
      <c r="F653" s="200">
        <f>SUM(F565:F577)+SUM(H592:H594)+SUM(L601)</f>
        <v>280792.52</v>
      </c>
      <c r="G653" s="200">
        <f>SUM(G565:G577)+SUM(I592:I594)+L602</f>
        <v>0</v>
      </c>
      <c r="H653" s="200">
        <f>SUM(H565:H577)+SUM(J592:J594)+L603</f>
        <v>3288062.7100000004</v>
      </c>
      <c r="I653" s="19">
        <f>SUM(F653:H653)</f>
        <v>3568855.2300000004</v>
      </c>
      <c r="J653" s="13"/>
      <c r="K653" s="13"/>
      <c r="L653" s="13"/>
      <c r="M653" s="9"/>
    </row>
    <row r="654" spans="1:13" s="3" customFormat="1" ht="12" customHeight="1">
      <c r="A654" s="1" t="s">
        <v>143</v>
      </c>
      <c r="F654" s="19">
        <f>F650-SUM(F651:F653)</f>
        <v>5918304.7799999993</v>
      </c>
      <c r="G654" s="19">
        <f>G650-SUM(G651:G653)</f>
        <v>0</v>
      </c>
      <c r="H654" s="19">
        <f>H650-SUM(H651:H653)</f>
        <v>182619.38000000035</v>
      </c>
      <c r="I654" s="19">
        <f>I650-SUM(I651:I653)</f>
        <v>6100924.1600000011</v>
      </c>
      <c r="J654" s="13"/>
      <c r="K654" s="13"/>
      <c r="L654" s="13"/>
      <c r="M654" s="8"/>
    </row>
    <row r="655" spans="1:13" s="3" customFormat="1" ht="12" customHeight="1">
      <c r="A655" s="1" t="s">
        <v>144</v>
      </c>
      <c r="F655" s="248">
        <v>516</v>
      </c>
      <c r="G655" s="249">
        <v>0</v>
      </c>
      <c r="H655" s="249">
        <v>203</v>
      </c>
      <c r="I655" s="19">
        <f>SUM(F655:H655)</f>
        <v>719</v>
      </c>
      <c r="J655" s="13"/>
      <c r="K655" s="13"/>
      <c r="L655" s="13"/>
      <c r="M655" s="9"/>
    </row>
    <row r="656" spans="1:13" s="3" customFormat="1" ht="12" customHeight="1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146</v>
      </c>
      <c r="F657" s="19">
        <f>ROUND(F654/F655,2)</f>
        <v>11469.58</v>
      </c>
      <c r="G657" s="19" t="e">
        <f>ROUND(G654/G655,2)</f>
        <v>#DIV/0!</v>
      </c>
      <c r="H657" s="19">
        <f>ROUND(H654/H655,2)</f>
        <v>899.6</v>
      </c>
      <c r="I657" s="19">
        <f>ROUND(I654/I655,2)</f>
        <v>8485.2900000000009</v>
      </c>
      <c r="J657" s="13"/>
      <c r="K657" s="13"/>
      <c r="L657" s="13"/>
      <c r="M657" s="8"/>
    </row>
    <row r="658" spans="1:13" s="3" customFormat="1" ht="12" customHeight="1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11469.58</v>
      </c>
      <c r="G662" s="19" t="e">
        <f>ROUND((G654+G659)/(G655+G660),2)</f>
        <v>#DIV/0!</v>
      </c>
      <c r="H662" s="19">
        <f>ROUND((H654+H659)/(H655+H660),2)</f>
        <v>899.6</v>
      </c>
      <c r="I662" s="19">
        <f>ROUND((I654+I659)/(I655+I660),2)</f>
        <v>8485.2900000000009</v>
      </c>
      <c r="J662" s="13"/>
      <c r="K662" s="13"/>
      <c r="L662" s="13"/>
      <c r="M662" s="9"/>
    </row>
    <row r="663" spans="1:13" s="3" customFormat="1" ht="12" customHeight="1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L18" sqref="J17:L18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816</v>
      </c>
      <c r="B1" s="233">
        <f>'DOE25'!A2</f>
        <v>0</v>
      </c>
      <c r="C1" s="239" t="s">
        <v>870</v>
      </c>
    </row>
    <row r="2" spans="1:3">
      <c r="A2" s="234"/>
      <c r="B2" s="233"/>
    </row>
    <row r="3" spans="1:3">
      <c r="A3" s="274" t="s">
        <v>815</v>
      </c>
      <c r="B3" s="274"/>
      <c r="C3" s="274"/>
    </row>
    <row r="4" spans="1:3">
      <c r="A4" s="237"/>
      <c r="B4" s="238" t="str">
        <f>'DOE25'!H1</f>
        <v>DOE 25  2010-2011</v>
      </c>
      <c r="C4" s="237"/>
    </row>
    <row r="5" spans="1:3">
      <c r="A5" s="234"/>
      <c r="B5" s="233"/>
    </row>
    <row r="6" spans="1:3">
      <c r="A6" s="228"/>
      <c r="B6" s="273" t="s">
        <v>814</v>
      </c>
      <c r="C6" s="273"/>
    </row>
    <row r="7" spans="1:3">
      <c r="A7" s="240" t="s">
        <v>817</v>
      </c>
      <c r="B7" s="271" t="s">
        <v>813</v>
      </c>
      <c r="C7" s="272"/>
    </row>
    <row r="8" spans="1:3">
      <c r="B8" s="229" t="s">
        <v>54</v>
      </c>
      <c r="C8" s="229" t="s">
        <v>807</v>
      </c>
    </row>
    <row r="9" spans="1:3">
      <c r="A9" s="33" t="s">
        <v>808</v>
      </c>
      <c r="B9" s="230">
        <f>'DOE25'!F189+'DOE25'!F207+'DOE25'!F225+'DOE25'!F268+'DOE25'!F287+'DOE25'!F306</f>
        <v>1658405.77</v>
      </c>
      <c r="C9" s="230">
        <f>'DOE25'!G189+'DOE25'!G207+'DOE25'!G225+'DOE25'!G268+'DOE25'!G287+'DOE25'!G306</f>
        <v>734368.00000000012</v>
      </c>
    </row>
    <row r="10" spans="1:3">
      <c r="A10" t="s">
        <v>810</v>
      </c>
      <c r="B10" s="241">
        <f>1539462+57007.84</f>
        <v>1596469.84</v>
      </c>
      <c r="C10" s="241">
        <v>729629.9</v>
      </c>
    </row>
    <row r="11" spans="1:3">
      <c r="A11" t="s">
        <v>811</v>
      </c>
      <c r="B11" s="241"/>
      <c r="C11" s="241"/>
    </row>
    <row r="12" spans="1:3">
      <c r="A12" t="s">
        <v>812</v>
      </c>
      <c r="B12" s="241">
        <f>49.88+39381.05+8505+14000</f>
        <v>61935.93</v>
      </c>
      <c r="C12" s="241">
        <v>4738.1000000000004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1658405.77</v>
      </c>
      <c r="C13" s="232">
        <f>SUM(C10:C12)</f>
        <v>734368</v>
      </c>
    </row>
    <row r="14" spans="1:3">
      <c r="B14" s="231"/>
      <c r="C14" s="231"/>
    </row>
    <row r="15" spans="1:3">
      <c r="B15" s="273" t="s">
        <v>814</v>
      </c>
      <c r="C15" s="273"/>
    </row>
    <row r="16" spans="1:3">
      <c r="A16" s="240" t="s">
        <v>818</v>
      </c>
      <c r="B16" s="271" t="s">
        <v>738</v>
      </c>
      <c r="C16" s="272"/>
    </row>
    <row r="17" spans="1:3">
      <c r="B17" s="229" t="s">
        <v>54</v>
      </c>
      <c r="C17" s="229" t="s">
        <v>807</v>
      </c>
    </row>
    <row r="18" spans="1:3">
      <c r="A18" s="33" t="s">
        <v>808</v>
      </c>
      <c r="B18" s="230">
        <f>'DOE25'!F190+'DOE25'!F208+'DOE25'!F226+'DOE25'!F269+'DOE25'!F288+'DOE25'!F307</f>
        <v>798939.52</v>
      </c>
      <c r="C18" s="230">
        <f>'DOE25'!G190+'DOE25'!G208+'DOE25'!G226+'DOE25'!G269+'DOE25'!G288+'DOE25'!G307</f>
        <v>149319.32999999999</v>
      </c>
    </row>
    <row r="19" spans="1:3">
      <c r="A19" t="s">
        <v>810</v>
      </c>
      <c r="B19" s="241">
        <f>301689.01+42419+28374.92+4465+34909+56171.33+5183.4+2590.99</f>
        <v>475802.65</v>
      </c>
      <c r="C19" s="241">
        <v>120564.82</v>
      </c>
    </row>
    <row r="20" spans="1:3">
      <c r="A20" t="s">
        <v>811</v>
      </c>
      <c r="B20" s="241">
        <v>299721.77</v>
      </c>
      <c r="C20" s="241">
        <v>26974.959999999999</v>
      </c>
    </row>
    <row r="21" spans="1:3">
      <c r="A21" t="s">
        <v>812</v>
      </c>
      <c r="B21" s="241">
        <f>19932.5+3202.6+280</f>
        <v>23415.1</v>
      </c>
      <c r="C21" s="241">
        <v>1779.55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798939.52</v>
      </c>
      <c r="C22" s="232">
        <f>SUM(C19:C21)</f>
        <v>149319.32999999999</v>
      </c>
    </row>
    <row r="23" spans="1:3">
      <c r="B23" s="231"/>
      <c r="C23" s="231"/>
    </row>
    <row r="24" spans="1:3">
      <c r="B24" s="273" t="s">
        <v>814</v>
      </c>
      <c r="C24" s="273"/>
    </row>
    <row r="25" spans="1:3">
      <c r="A25" s="240" t="s">
        <v>819</v>
      </c>
      <c r="B25" s="271" t="s">
        <v>739</v>
      </c>
      <c r="C25" s="272"/>
    </row>
    <row r="26" spans="1:3">
      <c r="B26" s="229" t="s">
        <v>54</v>
      </c>
      <c r="C26" s="229" t="s">
        <v>807</v>
      </c>
    </row>
    <row r="27" spans="1:3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>
      <c r="A28" t="s">
        <v>810</v>
      </c>
      <c r="B28" s="241"/>
      <c r="C28" s="241"/>
    </row>
    <row r="29" spans="1:3">
      <c r="A29" t="s">
        <v>811</v>
      </c>
      <c r="B29" s="241"/>
      <c r="C29" s="241"/>
    </row>
    <row r="30" spans="1:3">
      <c r="A30" t="s">
        <v>812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814</v>
      </c>
      <c r="C33" s="273"/>
    </row>
    <row r="34" spans="1:3">
      <c r="A34" s="240" t="s">
        <v>820</v>
      </c>
      <c r="B34" s="271" t="s">
        <v>740</v>
      </c>
      <c r="C34" s="272"/>
    </row>
    <row r="35" spans="1:3">
      <c r="B35" s="229" t="s">
        <v>54</v>
      </c>
      <c r="C35" s="229" t="s">
        <v>807</v>
      </c>
    </row>
    <row r="36" spans="1:3">
      <c r="A36" s="33" t="s">
        <v>808</v>
      </c>
      <c r="B36" s="236">
        <f>'DOE25'!F192+'DOE25'!F210+'DOE25'!F228+'DOE25'!F271+'DOE25'!F290+'DOE25'!F309</f>
        <v>36810</v>
      </c>
      <c r="C36" s="236">
        <f>'DOE25'!G192+'DOE25'!G210+'DOE25'!G228+'DOE25'!G271+'DOE25'!G290+'DOE25'!G309</f>
        <v>5658</v>
      </c>
    </row>
    <row r="37" spans="1:3">
      <c r="A37" t="s">
        <v>810</v>
      </c>
      <c r="B37" s="241">
        <f>20600+16210</f>
        <v>36810</v>
      </c>
      <c r="C37" s="241">
        <v>5658</v>
      </c>
    </row>
    <row r="38" spans="1:3">
      <c r="A38" t="s">
        <v>811</v>
      </c>
      <c r="B38" s="241"/>
      <c r="C38" s="241"/>
    </row>
    <row r="39" spans="1:3">
      <c r="A39" t="s">
        <v>812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36810</v>
      </c>
      <c r="C40" s="232">
        <f>SUM(C37:C39)</f>
        <v>5658</v>
      </c>
    </row>
    <row r="41" spans="1:3">
      <c r="B41" s="231"/>
      <c r="C41" s="231"/>
    </row>
    <row r="42" spans="1:3">
      <c r="A42" s="33" t="s">
        <v>868</v>
      </c>
      <c r="B42" s="231"/>
      <c r="C42" s="231"/>
    </row>
    <row r="43" spans="1:3">
      <c r="A43" t="s">
        <v>872</v>
      </c>
      <c r="B43" s="231"/>
      <c r="C43" s="231"/>
    </row>
    <row r="44" spans="1:3">
      <c r="A44" t="s">
        <v>873</v>
      </c>
    </row>
    <row r="45" spans="1:3">
      <c r="A45" t="s">
        <v>874</v>
      </c>
    </row>
    <row r="48" spans="1:3">
      <c r="A48" s="265" t="s">
        <v>809</v>
      </c>
    </row>
    <row r="49" spans="1:1">
      <c r="A49" s="269" t="s">
        <v>875</v>
      </c>
    </row>
    <row r="50" spans="1:1">
      <c r="A50" s="269" t="s">
        <v>869</v>
      </c>
    </row>
    <row r="51" spans="1:1">
      <c r="A51" s="269" t="s">
        <v>876</v>
      </c>
    </row>
    <row r="52" spans="1:1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abSelected="1" workbookViewId="0">
      <pane ySplit="4" topLeftCell="A5" activePane="bottomLeft" state="frozen"/>
      <selection pane="bottomLeft" activeCell="D12" sqref="D1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748</v>
      </c>
      <c r="B2" s="266">
        <f>'DOE25'!A2</f>
        <v>0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>
      <c r="A5" s="32">
        <v>1000</v>
      </c>
      <c r="B5" t="s">
        <v>218</v>
      </c>
      <c r="C5" s="246">
        <f t="shared" ref="C5:C19" si="0">SUM(D5:H5)</f>
        <v>6829426.3300000001</v>
      </c>
      <c r="D5" s="20">
        <f>SUM('DOE25'!L189:L192)+SUM('DOE25'!L207:L210)+SUM('DOE25'!L225:L228)-F5-G5</f>
        <v>6821646.5899999999</v>
      </c>
      <c r="E5" s="244"/>
      <c r="F5" s="256">
        <f>SUM('DOE25'!J189:J192)+SUM('DOE25'!J207:J210)+SUM('DOE25'!J225:J228)</f>
        <v>7434.74</v>
      </c>
      <c r="G5" s="53">
        <f>SUM('DOE25'!K189:K192)+SUM('DOE25'!K207:K210)+SUM('DOE25'!K225:K228)</f>
        <v>345</v>
      </c>
      <c r="H5" s="260"/>
    </row>
    <row r="6" spans="1:9">
      <c r="A6" s="32">
        <v>2100</v>
      </c>
      <c r="B6" t="s">
        <v>832</v>
      </c>
      <c r="C6" s="246">
        <f t="shared" si="0"/>
        <v>826533.46</v>
      </c>
      <c r="D6" s="20">
        <f>'DOE25'!L194+'DOE25'!L212+'DOE25'!L230-F6-G6</f>
        <v>825225.40999999992</v>
      </c>
      <c r="E6" s="244"/>
      <c r="F6" s="256">
        <f>'DOE25'!J194+'DOE25'!J212+'DOE25'!J230</f>
        <v>1308.05</v>
      </c>
      <c r="G6" s="53">
        <f>'DOE25'!K194+'DOE25'!K212+'DOE25'!K230</f>
        <v>0</v>
      </c>
      <c r="H6" s="260"/>
    </row>
    <row r="7" spans="1:9">
      <c r="A7" s="32">
        <v>2200</v>
      </c>
      <c r="B7" t="s">
        <v>865</v>
      </c>
      <c r="C7" s="246">
        <f t="shared" si="0"/>
        <v>312865.11</v>
      </c>
      <c r="D7" s="20">
        <f>'DOE25'!L195+'DOE25'!L213+'DOE25'!L231-F7-G7</f>
        <v>215000.82</v>
      </c>
      <c r="E7" s="244"/>
      <c r="F7" s="256">
        <f>'DOE25'!J195+'DOE25'!J213+'DOE25'!J231</f>
        <v>97864.29</v>
      </c>
      <c r="G7" s="53">
        <f>'DOE25'!K195+'DOE25'!K213+'DOE25'!K231</f>
        <v>0</v>
      </c>
      <c r="H7" s="260"/>
    </row>
    <row r="8" spans="1:9">
      <c r="A8" s="32">
        <v>2300</v>
      </c>
      <c r="B8" t="s">
        <v>833</v>
      </c>
      <c r="C8" s="246">
        <f t="shared" si="0"/>
        <v>241680.13</v>
      </c>
      <c r="D8" s="244"/>
      <c r="E8" s="20">
        <f>'DOE25'!L196+'DOE25'!L214+'DOE25'!L232-F8-G8-D9-D11</f>
        <v>229970.08000000002</v>
      </c>
      <c r="F8" s="256">
        <f>'DOE25'!J196+'DOE25'!J214+'DOE25'!J232</f>
        <v>0</v>
      </c>
      <c r="G8" s="53">
        <f>'DOE25'!K196+'DOE25'!K214+'DOE25'!K232</f>
        <v>11710.05</v>
      </c>
      <c r="H8" s="260"/>
    </row>
    <row r="9" spans="1:9">
      <c r="A9" s="32">
        <v>2310</v>
      </c>
      <c r="B9" t="s">
        <v>849</v>
      </c>
      <c r="C9" s="246">
        <f t="shared" si="0"/>
        <v>81905.119999999995</v>
      </c>
      <c r="D9" s="245">
        <v>81905.119999999995</v>
      </c>
      <c r="E9" s="244"/>
      <c r="F9" s="259"/>
      <c r="G9" s="257"/>
      <c r="H9" s="260"/>
    </row>
    <row r="10" spans="1:9">
      <c r="A10" s="32">
        <v>2317</v>
      </c>
      <c r="B10" t="s">
        <v>850</v>
      </c>
      <c r="C10" s="246">
        <f t="shared" si="0"/>
        <v>12667.5</v>
      </c>
      <c r="D10" s="244"/>
      <c r="E10" s="245">
        <v>12667.5</v>
      </c>
      <c r="F10" s="259"/>
      <c r="G10" s="257"/>
      <c r="H10" s="260"/>
    </row>
    <row r="11" spans="1:9">
      <c r="A11" s="32">
        <v>2321</v>
      </c>
      <c r="B11" t="s">
        <v>862</v>
      </c>
      <c r="C11" s="246">
        <f t="shared" si="0"/>
        <v>150437.88</v>
      </c>
      <c r="D11" s="245">
        <v>150437.88</v>
      </c>
      <c r="E11" s="244"/>
      <c r="F11" s="259"/>
      <c r="G11" s="257"/>
      <c r="H11" s="260"/>
    </row>
    <row r="12" spans="1:9">
      <c r="A12" s="32">
        <v>2400</v>
      </c>
      <c r="B12" t="s">
        <v>746</v>
      </c>
      <c r="C12" s="246">
        <f t="shared" si="0"/>
        <v>477337.83999999997</v>
      </c>
      <c r="D12" s="20">
        <f>'DOE25'!L197+'DOE25'!L215+'DOE25'!L233-F12-G12</f>
        <v>474121.86</v>
      </c>
      <c r="E12" s="244"/>
      <c r="F12" s="256">
        <f>'DOE25'!J197+'DOE25'!J215+'DOE25'!J233</f>
        <v>769.98</v>
      </c>
      <c r="G12" s="53">
        <f>'DOE25'!K197+'DOE25'!K215+'DOE25'!K233</f>
        <v>2446</v>
      </c>
      <c r="H12" s="260"/>
    </row>
    <row r="13" spans="1:9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>
      <c r="A14" s="32">
        <v>2600</v>
      </c>
      <c r="B14" t="s">
        <v>863</v>
      </c>
      <c r="C14" s="246">
        <f t="shared" si="0"/>
        <v>417053.62</v>
      </c>
      <c r="D14" s="20">
        <f>'DOE25'!L199+'DOE25'!L217+'DOE25'!L235-F14-G14</f>
        <v>413442.64</v>
      </c>
      <c r="E14" s="244"/>
      <c r="F14" s="256">
        <f>'DOE25'!J199+'DOE25'!J217+'DOE25'!J235</f>
        <v>3610.98</v>
      </c>
      <c r="G14" s="53">
        <f>'DOE25'!K199+'DOE25'!K217+'DOE25'!K235</f>
        <v>0</v>
      </c>
      <c r="H14" s="260"/>
    </row>
    <row r="15" spans="1:9">
      <c r="A15" s="32">
        <v>2700</v>
      </c>
      <c r="B15" t="s">
        <v>835</v>
      </c>
      <c r="C15" s="246">
        <f t="shared" si="0"/>
        <v>547985.20000000007</v>
      </c>
      <c r="D15" s="20">
        <f>'DOE25'!L200+'DOE25'!L218+'DOE25'!L236-F15-G15</f>
        <v>547985.20000000007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>
      <c r="F20" s="261"/>
      <c r="G20" s="52"/>
      <c r="H20" s="262"/>
    </row>
    <row r="21" spans="1:8">
      <c r="B21" s="33" t="s">
        <v>827</v>
      </c>
      <c r="F21" s="261"/>
      <c r="G21" s="52"/>
      <c r="H21" s="262"/>
    </row>
    <row r="22" spans="1:8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487</v>
      </c>
      <c r="F24" s="261"/>
      <c r="G24" s="52"/>
      <c r="H24" s="262"/>
    </row>
    <row r="25" spans="1:8">
      <c r="A25" s="32" t="s">
        <v>840</v>
      </c>
      <c r="B25" t="s">
        <v>841</v>
      </c>
      <c r="C25" s="246">
        <f>SUM(D25:H25)</f>
        <v>328000</v>
      </c>
      <c r="D25" s="244"/>
      <c r="E25" s="244"/>
      <c r="F25" s="259"/>
      <c r="G25" s="257"/>
      <c r="H25" s="258">
        <f>'DOE25'!L252+'DOE25'!L253+'DOE25'!L333+'DOE25'!L334</f>
        <v>328000</v>
      </c>
    </row>
    <row r="26" spans="1:8">
      <c r="A26" s="32"/>
      <c r="F26" s="261"/>
      <c r="G26" s="52"/>
      <c r="H26" s="262"/>
    </row>
    <row r="27" spans="1:8">
      <c r="A27" s="32"/>
      <c r="B27" s="33" t="s">
        <v>843</v>
      </c>
      <c r="F27" s="261"/>
      <c r="G27" s="52"/>
      <c r="H27" s="262"/>
    </row>
    <row r="28" spans="1:8">
      <c r="A28" s="32">
        <v>3100</v>
      </c>
      <c r="B28" t="s">
        <v>856</v>
      </c>
      <c r="F28" s="261"/>
      <c r="G28" s="52"/>
      <c r="H28" s="262"/>
    </row>
    <row r="29" spans="1:8">
      <c r="A29" s="32"/>
      <c r="B29" t="s">
        <v>844</v>
      </c>
      <c r="C29" s="246">
        <f>SUM(D29:H29)</f>
        <v>166301.52000000002</v>
      </c>
      <c r="D29" s="20">
        <f>'DOE25'!L350+'DOE25'!L351+'DOE25'!L352-'DOE25'!I359-F29-G29</f>
        <v>165965.48000000001</v>
      </c>
      <c r="E29" s="244"/>
      <c r="F29" s="256">
        <f>'DOE25'!J350+'DOE25'!J351+'DOE25'!J352</f>
        <v>336.04</v>
      </c>
      <c r="G29" s="53">
        <f>'DOE25'!K350+'DOE25'!K351+'DOE25'!K352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858</v>
      </c>
      <c r="B31" t="s">
        <v>857</v>
      </c>
      <c r="C31" s="246">
        <f>SUM(D31:H31)</f>
        <v>273110.48</v>
      </c>
      <c r="D31" s="20">
        <f>'DOE25'!L282+'DOE25'!L301+'DOE25'!L320+'DOE25'!L325+'DOE25'!L326+'DOE25'!L327-F31-G31</f>
        <v>259938.50999999998</v>
      </c>
      <c r="E31" s="244"/>
      <c r="F31" s="256">
        <f>'DOE25'!J282+'DOE25'!J301+'DOE25'!J320+'DOE25'!J325+'DOE25'!J326+'DOE25'!J327</f>
        <v>13171.97</v>
      </c>
      <c r="G31" s="53">
        <f>'DOE25'!K282+'DOE25'!K301+'DOE25'!K320+'DOE25'!K325+'DOE25'!K326+'DOE25'!K327</f>
        <v>0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845</v>
      </c>
      <c r="D33" s="247">
        <f>SUM(D5:D31)</f>
        <v>9955669.5099999998</v>
      </c>
      <c r="E33" s="247">
        <f>SUM(E5:E31)</f>
        <v>242637.58000000002</v>
      </c>
      <c r="F33" s="247">
        <f>SUM(F5:F31)</f>
        <v>124496.04999999997</v>
      </c>
      <c r="G33" s="247">
        <f>SUM(G5:G31)</f>
        <v>14501.05</v>
      </c>
      <c r="H33" s="247">
        <f>SUM(H5:H31)</f>
        <v>328000</v>
      </c>
    </row>
    <row r="35" spans="2:8" ht="12" thickBot="1">
      <c r="B35" s="254" t="s">
        <v>878</v>
      </c>
      <c r="D35" s="255">
        <f>E33</f>
        <v>242637.58000000002</v>
      </c>
      <c r="E35" s="250"/>
    </row>
    <row r="36" spans="2:8" ht="12" thickTop="1">
      <c r="B36" t="s">
        <v>846</v>
      </c>
      <c r="D36" s="20">
        <f>D33</f>
        <v>9955669.5099999998</v>
      </c>
    </row>
    <row r="38" spans="2:8">
      <c r="B38" s="187" t="s">
        <v>887</v>
      </c>
      <c r="C38" s="267"/>
      <c r="D38" s="268"/>
    </row>
    <row r="39" spans="2:8">
      <c r="B39" t="s">
        <v>855</v>
      </c>
      <c r="D39" s="181" t="str">
        <f>IF(E10&gt;0,"Y","N")</f>
        <v>Y</v>
      </c>
    </row>
    <row r="41" spans="2:8">
      <c r="B41" s="265" t="s">
        <v>802</v>
      </c>
    </row>
    <row r="42" spans="2:8">
      <c r="B42" t="s">
        <v>859</v>
      </c>
    </row>
    <row r="43" spans="2:8">
      <c r="B43" t="s">
        <v>853</v>
      </c>
    </row>
    <row r="45" spans="2:8">
      <c r="B45" t="s">
        <v>851</v>
      </c>
    </row>
    <row r="47" spans="2:8">
      <c r="B47" t="s">
        <v>861</v>
      </c>
    </row>
    <row r="48" spans="2:8">
      <c r="B48" t="s">
        <v>877</v>
      </c>
    </row>
    <row r="49" spans="2:2">
      <c r="B49" t="s">
        <v>867</v>
      </c>
    </row>
    <row r="50" spans="2:2">
      <c r="B50" t="s">
        <v>860</v>
      </c>
    </row>
    <row r="51" spans="2: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56"/>
  <sheetViews>
    <sheetView zoomScaleNormal="100" workbookViewId="0">
      <pane ySplit="2" topLeftCell="A126" activePane="bottomLeft" state="frozen"/>
      <selection pane="bottomLeft" activeCell="C146" sqref="C146"/>
    </sheetView>
  </sheetViews>
  <sheetFormatPr defaultRowHeight="11.25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>
        <f>'DOE25'!A2</f>
        <v>0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>
      <c r="A9" s="1" t="s">
        <v>152</v>
      </c>
      <c r="B9" s="6">
        <v>100</v>
      </c>
      <c r="C9" s="95">
        <f>'DOE25'!F9</f>
        <v>888393.09</v>
      </c>
      <c r="D9" s="95">
        <f>'DOE25'!G9</f>
        <v>119505.38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>
      <c r="A10" s="1" t="s">
        <v>153</v>
      </c>
      <c r="B10" s="6">
        <v>110</v>
      </c>
      <c r="C10" s="95">
        <f>'DOE25'!F10</f>
        <v>76438.47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78270.92</v>
      </c>
      <c r="H10" s="124"/>
      <c r="I10" s="124"/>
    </row>
    <row r="11" spans="1:9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>
      <c r="A12" s="1" t="s">
        <v>155</v>
      </c>
      <c r="B12" s="6">
        <v>130</v>
      </c>
      <c r="C12" s="95">
        <f>'DOE25'!F12</f>
        <v>0</v>
      </c>
      <c r="D12" s="95">
        <f>'DOE25'!G12</f>
        <v>292.42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>
      <c r="A13" s="1" t="s">
        <v>156</v>
      </c>
      <c r="B13" s="6">
        <v>140</v>
      </c>
      <c r="C13" s="95">
        <f>'DOE25'!F13</f>
        <v>29208.61</v>
      </c>
      <c r="D13" s="95">
        <f>'DOE25'!G13</f>
        <v>5138.72</v>
      </c>
      <c r="E13" s="95">
        <f>'DOE25'!H13</f>
        <v>62928.93</v>
      </c>
      <c r="F13" s="95">
        <f>'DOE25'!I13</f>
        <v>0</v>
      </c>
      <c r="G13" s="95">
        <f>'DOE25'!J13</f>
        <v>0</v>
      </c>
      <c r="H13" s="124"/>
      <c r="I13" s="124"/>
    </row>
    <row r="14" spans="1:9">
      <c r="A14" s="1" t="s">
        <v>157</v>
      </c>
      <c r="B14" s="6">
        <v>150</v>
      </c>
      <c r="C14" s="95">
        <f>'DOE25'!F14</f>
        <v>2096.81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>
      <c r="A19" s="38" t="s">
        <v>162</v>
      </c>
      <c r="B19" s="39"/>
      <c r="C19" s="41">
        <f>SUM(C9:C18)</f>
        <v>996136.98</v>
      </c>
      <c r="D19" s="41">
        <f>SUM(D9:D18)</f>
        <v>124936.52</v>
      </c>
      <c r="E19" s="41">
        <f>SUM(E9:E18)</f>
        <v>62928.93</v>
      </c>
      <c r="F19" s="41">
        <f>SUM(F9:F18)</f>
        <v>0</v>
      </c>
      <c r="G19" s="41">
        <f>SUM(G9:G18)</f>
        <v>78270.92</v>
      </c>
      <c r="H19" s="124"/>
      <c r="I19" s="124"/>
    </row>
    <row r="20" spans="1:9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>
      <c r="A22" s="1" t="s">
        <v>163</v>
      </c>
      <c r="B22" s="6">
        <v>400</v>
      </c>
      <c r="C22" s="95">
        <f>'DOE25'!F23</f>
        <v>0</v>
      </c>
      <c r="D22" s="95">
        <f>'DOE25'!G23</f>
        <v>110662.7</v>
      </c>
      <c r="E22" s="95">
        <f>'DOE25'!H23</f>
        <v>51227.3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165</v>
      </c>
      <c r="B24" s="6">
        <v>420</v>
      </c>
      <c r="C24" s="95">
        <f>'DOE25'!F25</f>
        <v>765760.47</v>
      </c>
      <c r="D24" s="95">
        <f>'DOE25'!G25</f>
        <v>3962.1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>
      <c r="A28" s="1" t="s">
        <v>169</v>
      </c>
      <c r="B28" s="6">
        <v>460</v>
      </c>
      <c r="C28" s="95">
        <f>'DOE25'!F29</f>
        <v>121252.64</v>
      </c>
      <c r="D28" s="95">
        <f>'DOE25'!G29</f>
        <v>8267.57</v>
      </c>
      <c r="E28" s="95">
        <f>'DOE25'!H29</f>
        <v>10308.629999999999</v>
      </c>
      <c r="F28" s="95">
        <f>'DOE25'!I29</f>
        <v>0</v>
      </c>
      <c r="G28" s="24" t="s">
        <v>312</v>
      </c>
      <c r="H28" s="124"/>
      <c r="I28" s="124"/>
    </row>
    <row r="29" spans="1:9">
      <c r="A29" s="1" t="s">
        <v>170</v>
      </c>
      <c r="B29" s="6">
        <v>470</v>
      </c>
      <c r="C29" s="95">
        <f>'DOE25'!F30</f>
        <v>124.96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>
      <c r="A30" s="1" t="s">
        <v>171</v>
      </c>
      <c r="B30" s="6">
        <v>480</v>
      </c>
      <c r="C30" s="95">
        <f>'DOE25'!F31</f>
        <v>0</v>
      </c>
      <c r="D30" s="95">
        <f>'DOE25'!G31</f>
        <v>2044.15</v>
      </c>
      <c r="E30" s="95">
        <f>'DOE25'!H31</f>
        <v>1393</v>
      </c>
      <c r="F30" s="95">
        <f>'DOE25'!I31</f>
        <v>0</v>
      </c>
      <c r="G30" s="24" t="s">
        <v>312</v>
      </c>
      <c r="H30" s="124"/>
      <c r="I30" s="124"/>
    </row>
    <row r="31" spans="1:9" ht="12" thickBot="1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>
      <c r="A32" s="38" t="s">
        <v>173</v>
      </c>
      <c r="B32" s="2"/>
      <c r="C32" s="41">
        <f>SUM(C22:C31)</f>
        <v>887138.07</v>
      </c>
      <c r="D32" s="41">
        <f>SUM(D22:D31)</f>
        <v>124936.51999999999</v>
      </c>
      <c r="E32" s="41">
        <f>SUM(E22:E31)</f>
        <v>62928.93</v>
      </c>
      <c r="F32" s="41">
        <f>SUM(F22:F31)</f>
        <v>0</v>
      </c>
      <c r="G32" s="41">
        <f>SUM(G22:G31)</f>
        <v>0</v>
      </c>
      <c r="H32" s="124"/>
      <c r="I32" s="124"/>
    </row>
    <row r="33" spans="1:9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78270.92</v>
      </c>
      <c r="H40" s="124"/>
      <c r="I40" s="124"/>
    </row>
    <row r="41" spans="1:9" ht="12" thickBot="1">
      <c r="A41" s="1" t="s">
        <v>181</v>
      </c>
      <c r="B41" s="71">
        <v>770</v>
      </c>
      <c r="C41" s="95">
        <f>'DOE25'!F42</f>
        <v>108998.91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>
      <c r="A42" s="38" t="s">
        <v>182</v>
      </c>
      <c r="B42" s="48"/>
      <c r="C42" s="41">
        <f>SUM(C34:C41)</f>
        <v>108998.91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78270.92</v>
      </c>
      <c r="H42" s="124"/>
      <c r="I42" s="124"/>
    </row>
    <row r="43" spans="1:9" ht="12" thickTop="1">
      <c r="A43" s="38" t="s">
        <v>183</v>
      </c>
      <c r="B43" s="2"/>
      <c r="C43" s="41">
        <f>C42+C32</f>
        <v>996136.98</v>
      </c>
      <c r="D43" s="41">
        <f>D42+D32</f>
        <v>124936.51999999999</v>
      </c>
      <c r="E43" s="41">
        <f>E42+E32</f>
        <v>62928.93</v>
      </c>
      <c r="F43" s="41">
        <f>F42+F32</f>
        <v>0</v>
      </c>
      <c r="G43" s="41">
        <f>G42+G32</f>
        <v>78270.92</v>
      </c>
      <c r="H43" s="124"/>
      <c r="I43" s="124"/>
    </row>
    <row r="45" spans="1:9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>
      <c r="A48" s="1" t="s">
        <v>185</v>
      </c>
      <c r="B48" s="6" t="s">
        <v>186</v>
      </c>
      <c r="C48" s="95">
        <f>'DOE25'!F52</f>
        <v>6968315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>
      <c r="A49" s="1" t="s">
        <v>187</v>
      </c>
      <c r="B49" s="6" t="s">
        <v>188</v>
      </c>
      <c r="C49" s="95">
        <f>'DOE25'!F71</f>
        <v>17167.5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>
      <c r="A51" s="69" t="s">
        <v>191</v>
      </c>
      <c r="B51" s="37" t="s">
        <v>192</v>
      </c>
      <c r="C51" s="95">
        <f>'DOE25'!F88</f>
        <v>438.95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116.19</v>
      </c>
      <c r="H51"/>
      <c r="I51"/>
    </row>
    <row r="52" spans="1:9">
      <c r="A52" s="1" t="s">
        <v>193</v>
      </c>
      <c r="B52" s="118" t="s">
        <v>194</v>
      </c>
      <c r="C52" s="24" t="s">
        <v>312</v>
      </c>
      <c r="D52" s="95">
        <f>'DOE25'!G89</f>
        <v>106872.1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>
      <c r="A53" s="1" t="s">
        <v>195</v>
      </c>
      <c r="B53" s="118" t="s">
        <v>196</v>
      </c>
      <c r="C53" s="95">
        <f>SUM('DOE25'!F90:F102)</f>
        <v>8492.67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>
      <c r="A54" s="29" t="s">
        <v>197</v>
      </c>
      <c r="B54" s="6"/>
      <c r="C54" s="130">
        <f>SUM(C49:C53)</f>
        <v>26099.120000000003</v>
      </c>
      <c r="D54" s="130">
        <f>SUM(D49:D53)</f>
        <v>106872.1</v>
      </c>
      <c r="E54" s="130">
        <f>SUM(E49:E53)</f>
        <v>0</v>
      </c>
      <c r="F54" s="130">
        <f>SUM(F49:F53)</f>
        <v>0</v>
      </c>
      <c r="G54" s="130">
        <f>SUM(G49:G53)</f>
        <v>116.19</v>
      </c>
      <c r="H54"/>
      <c r="I54"/>
    </row>
    <row r="55" spans="1:9" ht="12" thickTop="1">
      <c r="A55" s="29" t="s">
        <v>198</v>
      </c>
      <c r="B55" s="6"/>
      <c r="C55" s="22">
        <f>C48+C54</f>
        <v>6994414.1200000001</v>
      </c>
      <c r="D55" s="22">
        <f>D48+D54</f>
        <v>106872.1</v>
      </c>
      <c r="E55" s="22">
        <f>E48+E54</f>
        <v>0</v>
      </c>
      <c r="F55" s="22">
        <f>F48+F54</f>
        <v>0</v>
      </c>
      <c r="G55" s="22">
        <f>G48+G54</f>
        <v>116.19</v>
      </c>
      <c r="H55"/>
      <c r="I55"/>
    </row>
    <row r="56" spans="1:9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>
      <c r="A58" s="1" t="s">
        <v>888</v>
      </c>
      <c r="B58" s="6">
        <v>3111</v>
      </c>
      <c r="C58" s="95">
        <f>'DOE25'!F109</f>
        <v>1728405.49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>
      <c r="A59" s="1" t="s">
        <v>805</v>
      </c>
      <c r="B59" s="6">
        <v>3112</v>
      </c>
      <c r="C59" s="95">
        <f>'DOE25'!F110</f>
        <v>887877</v>
      </c>
      <c r="D59" s="24"/>
      <c r="E59" s="24"/>
      <c r="F59" s="24"/>
      <c r="G59" s="24"/>
      <c r="H59"/>
      <c r="I59"/>
    </row>
    <row r="60" spans="1:9">
      <c r="A60" s="1" t="s">
        <v>889</v>
      </c>
      <c r="B60" s="6">
        <v>3119</v>
      </c>
      <c r="C60" s="95">
        <f>'DOE25'!F111</f>
        <v>62439.71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>
      <c r="A62" s="29" t="s">
        <v>275</v>
      </c>
      <c r="B62" s="2"/>
      <c r="C62" s="139">
        <f>SUM(C58:C61)</f>
        <v>2678722.2000000002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>
      <c r="A64" s="1" t="s">
        <v>276</v>
      </c>
      <c r="B64" s="6">
        <v>3210</v>
      </c>
      <c r="C64" s="95">
        <f>'DOE25'!F115</f>
        <v>88485.52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>
      <c r="A66" s="1" t="s">
        <v>278</v>
      </c>
      <c r="B66" s="6">
        <v>3220</v>
      </c>
      <c r="C66" s="95">
        <f>'DOE25'!F117</f>
        <v>75900</v>
      </c>
      <c r="D66" s="24"/>
      <c r="E66" s="24"/>
      <c r="F66" s="24"/>
      <c r="G66" s="24"/>
      <c r="H66"/>
      <c r="I66"/>
    </row>
    <row r="67" spans="1:9">
      <c r="A67" s="1" t="s">
        <v>279</v>
      </c>
      <c r="B67" s="6">
        <v>3230</v>
      </c>
      <c r="C67" s="95">
        <f>'DOE25'!F118</f>
        <v>44993.760000000002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1882.92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>
      <c r="A70" s="29" t="s">
        <v>282</v>
      </c>
      <c r="B70" s="6"/>
      <c r="C70" s="130">
        <f>SUM(C64:C69)</f>
        <v>209379.28000000003</v>
      </c>
      <c r="D70" s="130">
        <f>SUM(D64:D69)</f>
        <v>1882.92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>
      <c r="A73" s="29" t="s">
        <v>779</v>
      </c>
      <c r="B73" s="2"/>
      <c r="C73" s="130">
        <f>SUM(C71:C72)+C70+C62</f>
        <v>2888101.4800000004</v>
      </c>
      <c r="D73" s="130">
        <f>SUM(D71:D72)+D70+D62</f>
        <v>1882.92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>
      <c r="A80" t="s">
        <v>782</v>
      </c>
      <c r="B80" s="32" t="s">
        <v>207</v>
      </c>
      <c r="C80" s="95">
        <f>SUM('DOE25'!F145:F153)</f>
        <v>25000</v>
      </c>
      <c r="D80" s="95">
        <f>SUM('DOE25'!G145:G153)</f>
        <v>54594</v>
      </c>
      <c r="E80" s="95">
        <f>SUM('DOE25'!H145:H153)</f>
        <v>265622.49</v>
      </c>
      <c r="F80" s="95">
        <f>SUM('DOE25'!I145:I153)</f>
        <v>0</v>
      </c>
      <c r="G80" s="24" t="s">
        <v>312</v>
      </c>
    </row>
    <row r="81" spans="1:7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>
      <c r="A83" s="33" t="s">
        <v>785</v>
      </c>
      <c r="C83" s="131">
        <f>SUM(C77:C82)</f>
        <v>25000</v>
      </c>
      <c r="D83" s="131">
        <f>SUM(D77:D82)</f>
        <v>54594</v>
      </c>
      <c r="E83" s="131">
        <f>SUM(E77:E82)</f>
        <v>265622.49</v>
      </c>
      <c r="F83" s="131">
        <f>SUM(F77:F82)</f>
        <v>0</v>
      </c>
      <c r="G83" s="24" t="s">
        <v>312</v>
      </c>
    </row>
    <row r="84" spans="1:7" ht="12" thickTop="1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>
      <c r="A96" s="33" t="s">
        <v>796</v>
      </c>
      <c r="C96" s="86">
        <f>C55+C73+C83+C95</f>
        <v>9907515.6000000015</v>
      </c>
      <c r="D96" s="86">
        <f>D55+D73+D83+D95</f>
        <v>163349.02000000002</v>
      </c>
      <c r="E96" s="86">
        <f>E55+E73+E83+E95</f>
        <v>265622.49</v>
      </c>
      <c r="F96" s="86">
        <f>F55+F73+F83+F95</f>
        <v>0</v>
      </c>
      <c r="G96" s="86">
        <f>G55+G73+G95</f>
        <v>116.19</v>
      </c>
    </row>
    <row r="97" spans="1:7" ht="12" thickTop="1"/>
    <row r="98" spans="1:7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>
      <c r="A101" t="s">
        <v>219</v>
      </c>
      <c r="B101" s="32" t="s">
        <v>220</v>
      </c>
      <c r="C101" s="95">
        <f>('DOE25'!L189)+('DOE25'!L207)+('DOE25'!L225)</f>
        <v>5350150.9700000007</v>
      </c>
      <c r="D101" s="24" t="s">
        <v>312</v>
      </c>
      <c r="E101" s="95">
        <f>('DOE25'!L268)+('DOE25'!L287)+('DOE25'!L306)</f>
        <v>81042.469999999987</v>
      </c>
      <c r="F101" s="24" t="s">
        <v>312</v>
      </c>
      <c r="G101" s="24" t="s">
        <v>312</v>
      </c>
    </row>
    <row r="102" spans="1:7">
      <c r="A102" t="s">
        <v>221</v>
      </c>
      <c r="B102" s="32" t="s">
        <v>222</v>
      </c>
      <c r="C102" s="95">
        <f>('DOE25'!L190)+('DOE25'!L208)+('DOE25'!L226)</f>
        <v>1423318.26</v>
      </c>
      <c r="D102" s="24" t="s">
        <v>312</v>
      </c>
      <c r="E102" s="95">
        <f>('DOE25'!L269)+('DOE25'!L288)+('DOE25'!L307)</f>
        <v>165131.84000000003</v>
      </c>
      <c r="F102" s="24" t="s">
        <v>312</v>
      </c>
      <c r="G102" s="24" t="s">
        <v>312</v>
      </c>
    </row>
    <row r="103" spans="1:7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>
      <c r="A104" t="s">
        <v>224</v>
      </c>
      <c r="B104" s="32" t="s">
        <v>190</v>
      </c>
      <c r="C104" s="95">
        <f>('DOE25'!L192)+('DOE25'!L210)+('DOE25'!L228)</f>
        <v>55957.1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>
      <c r="A107" s="33" t="s">
        <v>228</v>
      </c>
      <c r="C107" s="86">
        <f>SUM(C101:C106)</f>
        <v>6829426.3300000001</v>
      </c>
      <c r="D107" s="86">
        <f>SUM(D101:D106)</f>
        <v>0</v>
      </c>
      <c r="E107" s="86">
        <f>SUM(E101:E106)</f>
        <v>246174.31</v>
      </c>
      <c r="F107" s="86">
        <f>SUM(F101:F106)</f>
        <v>0</v>
      </c>
      <c r="G107" s="86">
        <f>SUM(G101:G106)</f>
        <v>0</v>
      </c>
    </row>
    <row r="108" spans="1:7" ht="12" thickTop="1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>
      <c r="A110" t="s">
        <v>229</v>
      </c>
      <c r="B110" s="32" t="s">
        <v>230</v>
      </c>
      <c r="C110" s="95">
        <f>('DOE25'!L194)+('DOE25'!L212)+('DOE25'!L230)</f>
        <v>826533.46</v>
      </c>
      <c r="D110" s="24" t="s">
        <v>312</v>
      </c>
      <c r="E110" s="95">
        <f>+('DOE25'!L273)+('DOE25'!L292)+('DOE25'!L311)</f>
        <v>7745.5</v>
      </c>
      <c r="F110" s="24" t="s">
        <v>312</v>
      </c>
      <c r="G110" s="24" t="s">
        <v>312</v>
      </c>
    </row>
    <row r="111" spans="1:7">
      <c r="A111" t="s">
        <v>231</v>
      </c>
      <c r="B111" s="32" t="s">
        <v>232</v>
      </c>
      <c r="C111" s="95">
        <f>('DOE25'!L195)+('DOE25'!L213)+('DOE25'!L231)</f>
        <v>312865.11</v>
      </c>
      <c r="D111" s="24" t="s">
        <v>312</v>
      </c>
      <c r="E111" s="95">
        <f>+('DOE25'!L274)+('DOE25'!L293)+('DOE25'!L312)</f>
        <v>5298</v>
      </c>
      <c r="F111" s="24" t="s">
        <v>312</v>
      </c>
      <c r="G111" s="24" t="s">
        <v>312</v>
      </c>
    </row>
    <row r="112" spans="1:7">
      <c r="A112" t="s">
        <v>233</v>
      </c>
      <c r="B112" s="32" t="s">
        <v>234</v>
      </c>
      <c r="C112" s="95">
        <f>('DOE25'!L196)+('DOE25'!L214)+('DOE25'!L232)</f>
        <v>474023.13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>
      <c r="A113" t="s">
        <v>235</v>
      </c>
      <c r="B113" s="32" t="s">
        <v>236</v>
      </c>
      <c r="C113" s="95">
        <f>('DOE25'!L197)+('DOE25'!L215)+('DOE25'!L233)</f>
        <v>477337.83999999997</v>
      </c>
      <c r="D113" s="24" t="s">
        <v>312</v>
      </c>
      <c r="E113" s="95">
        <f>+('DOE25'!L276)+('DOE25'!L295)+('DOE25'!L314)</f>
        <v>13892.67</v>
      </c>
      <c r="F113" s="24" t="s">
        <v>312</v>
      </c>
      <c r="G113" s="24" t="s">
        <v>312</v>
      </c>
    </row>
    <row r="114" spans="1:7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>
      <c r="A115" t="s">
        <v>239</v>
      </c>
      <c r="B115" s="32" t="s">
        <v>240</v>
      </c>
      <c r="C115" s="95">
        <f>('DOE25'!L199)+('DOE25'!L217)+('DOE25'!L235)</f>
        <v>417053.62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>
      <c r="A116" t="s">
        <v>241</v>
      </c>
      <c r="B116" s="32" t="s">
        <v>242</v>
      </c>
      <c r="C116" s="95">
        <f>('DOE25'!L200)+('DOE25'!L218)+('DOE25'!L236+'DOE25'!L246)</f>
        <v>547985.20000000007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166301.52000000002</v>
      </c>
      <c r="E119" s="24" t="s">
        <v>312</v>
      </c>
      <c r="F119" s="24" t="s">
        <v>312</v>
      </c>
      <c r="G119" s="24" t="s">
        <v>312</v>
      </c>
    </row>
    <row r="120" spans="1:7" ht="12.75" thickTop="1" thickBot="1">
      <c r="A120" s="33" t="s">
        <v>249</v>
      </c>
      <c r="C120" s="86">
        <f>SUM(C110:C119)</f>
        <v>3055798.36</v>
      </c>
      <c r="D120" s="86">
        <f>SUM(D110:D119)</f>
        <v>166301.52000000002</v>
      </c>
      <c r="E120" s="86">
        <f>SUM(E110:E119)</f>
        <v>26936.17</v>
      </c>
      <c r="F120" s="86">
        <f>SUM(F110:F119)</f>
        <v>0</v>
      </c>
      <c r="G120" s="86">
        <f>SUM(G110:G119)</f>
        <v>0</v>
      </c>
    </row>
    <row r="121" spans="1:7" ht="12" thickTop="1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>
      <c r="A123" t="s">
        <v>252</v>
      </c>
      <c r="B123" s="32">
        <v>5110</v>
      </c>
      <c r="C123" s="95">
        <f>'DOE25'!L252</f>
        <v>270000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>
      <c r="A124" t="s">
        <v>253</v>
      </c>
      <c r="B124" s="32">
        <v>5120</v>
      </c>
      <c r="C124" s="95">
        <f>'DOE25'!L253</f>
        <v>58000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>
      <c r="A131" t="s">
        <v>262</v>
      </c>
      <c r="B131" s="32">
        <v>5252</v>
      </c>
      <c r="C131" s="95">
        <f>'DOE25'!L393</f>
        <v>116.19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>
      <c r="A133" t="s">
        <v>797</v>
      </c>
      <c r="B133" s="32">
        <v>5254</v>
      </c>
      <c r="C133" s="95">
        <f>('DOE25'!L258+'DOE25'!K339) - (C130+C131+C132)</f>
        <v>-116.19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>
      <c r="A136" s="33" t="s">
        <v>266</v>
      </c>
      <c r="C136" s="141">
        <f>SUM(C122:C135)</f>
        <v>328000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>
      <c r="A137" s="33" t="s">
        <v>267</v>
      </c>
      <c r="C137" s="86">
        <f>(C107+C120+C136)</f>
        <v>10213224.689999999</v>
      </c>
      <c r="D137" s="86">
        <f>(D107+D120+D136)</f>
        <v>166301.52000000002</v>
      </c>
      <c r="E137" s="86">
        <f>(E107+E120+E136)</f>
        <v>273110.48</v>
      </c>
      <c r="F137" s="86">
        <f>(F107+F120+F136)</f>
        <v>0</v>
      </c>
      <c r="G137" s="86">
        <f>(G107+G120+G136)</f>
        <v>0</v>
      </c>
    </row>
    <row r="138" spans="1:9" ht="12" thickTop="1">
      <c r="A138" s="33"/>
    </row>
    <row r="140" spans="1:9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>
      <c r="A143" s="136" t="s">
        <v>27</v>
      </c>
      <c r="B143" s="153">
        <f>'DOE25'!F480</f>
        <v>10</v>
      </c>
      <c r="C143" s="153">
        <f>'DOE25'!G480</f>
        <v>10</v>
      </c>
      <c r="D143" s="153">
        <f>'DOE25'!H480</f>
        <v>5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>
      <c r="A144" s="136" t="s">
        <v>28</v>
      </c>
      <c r="B144" s="152" t="str">
        <f>'DOE25'!F481</f>
        <v>08/03</v>
      </c>
      <c r="C144" s="152" t="str">
        <f>'DOE25'!G481</f>
        <v>08/04</v>
      </c>
      <c r="D144" s="152" t="str">
        <f>'DOE25'!H481</f>
        <v>07/09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>
      <c r="A145" s="136" t="s">
        <v>29</v>
      </c>
      <c r="B145" s="152" t="str">
        <f>'DOE25'!F482</f>
        <v>08/13</v>
      </c>
      <c r="C145" s="152" t="str">
        <f>'DOE25'!G482</f>
        <v>08/14</v>
      </c>
      <c r="D145" s="152" t="str">
        <f>'DOE25'!H482</f>
        <v>08/13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>
      <c r="A146" s="136" t="s">
        <v>30</v>
      </c>
      <c r="B146" s="137">
        <f>'DOE25'!F483</f>
        <v>450000</v>
      </c>
      <c r="C146" s="137">
        <f>'DOE25'!G483</f>
        <v>2239800</v>
      </c>
      <c r="D146" s="137">
        <f>'DOE25'!H483</f>
        <v>82397.7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>
      <c r="A147" s="136" t="s">
        <v>31</v>
      </c>
      <c r="B147" s="137">
        <f>'DOE25'!F484</f>
        <v>4.76</v>
      </c>
      <c r="C147" s="137">
        <f>'DOE25'!G484</f>
        <v>3.63</v>
      </c>
      <c r="D147" s="137">
        <f>'DOE25'!H484</f>
        <v>3.9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>
      <c r="A148" s="22" t="s">
        <v>32</v>
      </c>
      <c r="B148" s="137">
        <f>'DOE25'!F485</f>
        <v>180000</v>
      </c>
      <c r="C148" s="137">
        <f>'DOE25'!G485</f>
        <v>1115000</v>
      </c>
      <c r="D148" s="137">
        <f>'DOE25'!H485</f>
        <v>65054.97</v>
      </c>
      <c r="E148" s="137">
        <f>'DOE25'!I485</f>
        <v>0</v>
      </c>
      <c r="F148" s="137">
        <f>'DOE25'!J485</f>
        <v>0</v>
      </c>
      <c r="G148" s="138">
        <f>SUM(B148:F148)</f>
        <v>1360054.97</v>
      </c>
    </row>
    <row r="149" spans="1:7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>
      <c r="A150" s="22" t="s">
        <v>34</v>
      </c>
      <c r="B150" s="137">
        <f>'DOE25'!F487</f>
        <v>45000</v>
      </c>
      <c r="C150" s="137">
        <f>'DOE25'!G487</f>
        <v>225000</v>
      </c>
      <c r="D150" s="137">
        <f>'DOE25'!H487</f>
        <v>15179.88</v>
      </c>
      <c r="E150" s="137">
        <f>'DOE25'!I487</f>
        <v>0</v>
      </c>
      <c r="F150" s="137">
        <f>'DOE25'!J487</f>
        <v>0</v>
      </c>
      <c r="G150" s="138">
        <f t="shared" si="0"/>
        <v>285179.88</v>
      </c>
    </row>
    <row r="151" spans="1:7">
      <c r="A151" s="22" t="s">
        <v>35</v>
      </c>
      <c r="B151" s="137">
        <f>'DOE25'!F488</f>
        <v>135000</v>
      </c>
      <c r="C151" s="137">
        <f>'DOE25'!G488</f>
        <v>890000</v>
      </c>
      <c r="D151" s="137">
        <f>'DOE25'!H488</f>
        <v>49875.09</v>
      </c>
      <c r="E151" s="137">
        <f>'DOE25'!I488</f>
        <v>0</v>
      </c>
      <c r="F151" s="137">
        <f>'DOE25'!J488</f>
        <v>0</v>
      </c>
      <c r="G151" s="138">
        <f t="shared" si="0"/>
        <v>1074875.0900000001</v>
      </c>
    </row>
    <row r="152" spans="1:7">
      <c r="A152" s="22" t="s">
        <v>36</v>
      </c>
      <c r="B152" s="137">
        <f>'DOE25'!F489</f>
        <v>10125</v>
      </c>
      <c r="C152" s="137">
        <f>'DOE25'!G489</f>
        <v>88500</v>
      </c>
      <c r="D152" s="137">
        <f>'DOE25'!H489</f>
        <v>3917.2</v>
      </c>
      <c r="E152" s="137">
        <f>'DOE25'!I489</f>
        <v>0</v>
      </c>
      <c r="F152" s="137">
        <f>'DOE25'!J489</f>
        <v>0</v>
      </c>
      <c r="G152" s="138">
        <f t="shared" si="0"/>
        <v>102542.2</v>
      </c>
    </row>
    <row r="153" spans="1:7">
      <c r="A153" s="22" t="s">
        <v>37</v>
      </c>
      <c r="B153" s="137">
        <f>'DOE25'!F490</f>
        <v>145125</v>
      </c>
      <c r="C153" s="137">
        <f>'DOE25'!G490</f>
        <v>978500</v>
      </c>
      <c r="D153" s="137">
        <f>'DOE25'!H490</f>
        <v>53792.289999999994</v>
      </c>
      <c r="E153" s="137">
        <f>'DOE25'!I490</f>
        <v>0</v>
      </c>
      <c r="F153" s="137">
        <f>'DOE25'!J490</f>
        <v>0</v>
      </c>
      <c r="G153" s="138">
        <f t="shared" si="0"/>
        <v>1177417.29</v>
      </c>
    </row>
    <row r="154" spans="1:7">
      <c r="A154" s="22" t="s">
        <v>38</v>
      </c>
      <c r="B154" s="137">
        <f>'DOE25'!F491</f>
        <v>45000</v>
      </c>
      <c r="C154" s="137">
        <f>'DOE25'!G491</f>
        <v>225000</v>
      </c>
      <c r="D154" s="137">
        <f>'DOE25'!H491</f>
        <v>15950.81</v>
      </c>
      <c r="E154" s="137">
        <f>'DOE25'!I491</f>
        <v>0</v>
      </c>
      <c r="F154" s="137">
        <f>'DOE25'!J491</f>
        <v>0</v>
      </c>
      <c r="G154" s="138">
        <f t="shared" si="0"/>
        <v>285950.81</v>
      </c>
    </row>
    <row r="155" spans="1:7">
      <c r="A155" s="22" t="s">
        <v>39</v>
      </c>
      <c r="B155" s="137">
        <f>'DOE25'!F492</f>
        <v>5625</v>
      </c>
      <c r="C155" s="137">
        <f>'DOE25'!G492</f>
        <v>38875</v>
      </c>
      <c r="D155" s="137">
        <f>'DOE25'!H492</f>
        <v>1928.97</v>
      </c>
      <c r="E155" s="137">
        <f>'DOE25'!I492</f>
        <v>0</v>
      </c>
      <c r="F155" s="137">
        <f>'DOE25'!J492</f>
        <v>0</v>
      </c>
      <c r="G155" s="138">
        <f t="shared" si="0"/>
        <v>46428.97</v>
      </c>
    </row>
    <row r="156" spans="1:7">
      <c r="A156" s="22" t="s">
        <v>269</v>
      </c>
      <c r="B156" s="137">
        <f>'DOE25'!F493</f>
        <v>50625</v>
      </c>
      <c r="C156" s="137">
        <f>'DOE25'!G493</f>
        <v>263875</v>
      </c>
      <c r="D156" s="137">
        <f>'DOE25'!H493</f>
        <v>17879.78</v>
      </c>
      <c r="E156" s="137">
        <f>'DOE25'!I493</f>
        <v>0</v>
      </c>
      <c r="F156" s="137">
        <f>'DOE25'!J493</f>
        <v>0</v>
      </c>
      <c r="G156" s="138">
        <f t="shared" si="0"/>
        <v>332379.78000000003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771</v>
      </c>
      <c r="B1" s="279"/>
      <c r="C1" s="279"/>
      <c r="D1" s="279"/>
    </row>
    <row r="2" spans="1:4">
      <c r="A2" s="187" t="s">
        <v>748</v>
      </c>
      <c r="B2" s="186">
        <f>'DOE25'!A2</f>
        <v>0</v>
      </c>
    </row>
    <row r="3" spans="1:4">
      <c r="B3" s="188" t="s">
        <v>891</v>
      </c>
    </row>
    <row r="4" spans="1:4">
      <c r="B4" t="s">
        <v>61</v>
      </c>
      <c r="C4" s="179">
        <f>IF('DOE25'!F655+'DOE25'!F660=0,0,ROUND('DOE25'!F662,0))</f>
        <v>11470</v>
      </c>
    </row>
    <row r="5" spans="1:4">
      <c r="B5" t="s">
        <v>735</v>
      </c>
      <c r="C5" s="179">
        <f>IF('DOE25'!G655+'DOE25'!G660=0,0,ROUND('DOE25'!G662,0))</f>
        <v>0</v>
      </c>
    </row>
    <row r="6" spans="1:4">
      <c r="B6" t="s">
        <v>62</v>
      </c>
      <c r="C6" s="179">
        <f>IF('DOE25'!H655+'DOE25'!H660=0,0,ROUND('DOE25'!H662,0))</f>
        <v>900</v>
      </c>
    </row>
    <row r="7" spans="1:4">
      <c r="B7" t="s">
        <v>736</v>
      </c>
      <c r="C7" s="179">
        <f>IF('DOE25'!I655+'DOE25'!I660=0,0,ROUND('DOE25'!I662,0))</f>
        <v>8485</v>
      </c>
    </row>
    <row r="9" spans="1:4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>
      <c r="A10">
        <v>1100</v>
      </c>
      <c r="B10" t="s">
        <v>737</v>
      </c>
      <c r="C10" s="179">
        <f>ROUND('DOE25'!L189+'DOE25'!L207+'DOE25'!L225+'DOE25'!L268+'DOE25'!L287+'DOE25'!L306,0)</f>
        <v>5431193</v>
      </c>
      <c r="D10" s="182">
        <f>ROUND((C10/$C$28)*100,1)</f>
        <v>52.9</v>
      </c>
    </row>
    <row r="11" spans="1:4">
      <c r="A11">
        <v>1200</v>
      </c>
      <c r="B11" t="s">
        <v>738</v>
      </c>
      <c r="C11" s="179">
        <f>ROUND('DOE25'!L190+'DOE25'!L208+'DOE25'!L226+'DOE25'!L269+'DOE25'!L288+'DOE25'!L307,0)</f>
        <v>1588450</v>
      </c>
      <c r="D11" s="182">
        <f>ROUND((C11/$C$28)*100,1)</f>
        <v>15.5</v>
      </c>
    </row>
    <row r="12" spans="1:4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>
      <c r="A13">
        <v>1400</v>
      </c>
      <c r="B13" t="s">
        <v>740</v>
      </c>
      <c r="C13" s="179">
        <f>ROUND('DOE25'!L192+'DOE25'!L210+'DOE25'!L228+'DOE25'!L271+'DOE25'!L290+'DOE25'!L309,0)</f>
        <v>55957</v>
      </c>
      <c r="D13" s="182">
        <f>ROUND((C13/$C$28)*100,1)</f>
        <v>0.5</v>
      </c>
    </row>
    <row r="14" spans="1:4">
      <c r="D14" s="182"/>
    </row>
    <row r="15" spans="1:4">
      <c r="A15">
        <v>2100</v>
      </c>
      <c r="B15" t="s">
        <v>741</v>
      </c>
      <c r="C15" s="179">
        <f>ROUND('DOE25'!L194+'DOE25'!L212+'DOE25'!L230+'DOE25'!L273+'DOE25'!L292+'DOE25'!L311,0)</f>
        <v>834279</v>
      </c>
      <c r="D15" s="182">
        <f t="shared" ref="D15:D27" si="0">ROUND((C15/$C$28)*100,1)</f>
        <v>8.1</v>
      </c>
    </row>
    <row r="16" spans="1:4">
      <c r="A16">
        <v>2200</v>
      </c>
      <c r="B16" t="s">
        <v>742</v>
      </c>
      <c r="C16" s="179">
        <f>ROUND('DOE25'!L195+'DOE25'!L213+'DOE25'!L231+'DOE25'!L274+'DOE25'!L293+'DOE25'!L312,0)</f>
        <v>318163</v>
      </c>
      <c r="D16" s="182">
        <f t="shared" si="0"/>
        <v>3.1</v>
      </c>
    </row>
    <row r="17" spans="1:4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474023</v>
      </c>
      <c r="D17" s="182">
        <f t="shared" si="0"/>
        <v>4.5999999999999996</v>
      </c>
    </row>
    <row r="18" spans="1:4">
      <c r="A18">
        <v>2400</v>
      </c>
      <c r="B18" t="s">
        <v>746</v>
      </c>
      <c r="C18" s="179">
        <f>ROUND('DOE25'!L197+'DOE25'!L215+'DOE25'!L233+'DOE25'!L276+'DOE25'!L295+'DOE25'!L314,0)</f>
        <v>491231</v>
      </c>
      <c r="D18" s="182">
        <f t="shared" si="0"/>
        <v>4.8</v>
      </c>
    </row>
    <row r="19" spans="1:4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>
      <c r="A20">
        <v>2600</v>
      </c>
      <c r="B20" t="s">
        <v>744</v>
      </c>
      <c r="C20" s="179">
        <f>ROUND('DOE25'!L199+'DOE25'!L217+'DOE25'!L235+'DOE25'!L278+'DOE25'!L297+'DOE25'!L316,0)</f>
        <v>417054</v>
      </c>
      <c r="D20" s="182">
        <f t="shared" si="0"/>
        <v>4.0999999999999996</v>
      </c>
    </row>
    <row r="21" spans="1:4">
      <c r="A21">
        <v>2700</v>
      </c>
      <c r="B21" t="s">
        <v>745</v>
      </c>
      <c r="C21" s="179">
        <f>ROUND('DOE25'!L200+'DOE25'!L218+'DOE25'!L236+'DOE25'!L279+'DOE25'!L298+'DOE25'!L317,0)</f>
        <v>547985</v>
      </c>
      <c r="D21" s="182">
        <f t="shared" si="0"/>
        <v>5.3</v>
      </c>
    </row>
    <row r="22" spans="1:4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>
      <c r="A25">
        <v>5120</v>
      </c>
      <c r="B25" t="s">
        <v>751</v>
      </c>
      <c r="C25" s="179">
        <f>ROUND('DOE25'!L253+'DOE25'!L334,0)</f>
        <v>58000</v>
      </c>
      <c r="D25" s="182">
        <f t="shared" si="0"/>
        <v>0.6</v>
      </c>
    </row>
    <row r="26" spans="1:4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ROUND('DOE25'!L354-'DOE25'!L353,0)-SUM('DOE25'!G89:G102)</f>
        <v>59429.899999999994</v>
      </c>
      <c r="D27" s="182">
        <f t="shared" si="0"/>
        <v>0.6</v>
      </c>
    </row>
    <row r="28" spans="1:4">
      <c r="B28" s="187" t="s">
        <v>754</v>
      </c>
      <c r="C28" s="180">
        <f>SUM(C10:C27)</f>
        <v>10275764.9</v>
      </c>
      <c r="D28" s="184">
        <f>ROUND(SUM(D10:D27),0)</f>
        <v>100</v>
      </c>
    </row>
    <row r="29" spans="1:4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>
      <c r="B30" s="187" t="s">
        <v>760</v>
      </c>
      <c r="C30" s="180">
        <f>SUM(C28:C29)</f>
        <v>10275764.9</v>
      </c>
    </row>
    <row r="31" spans="1:4">
      <c r="B31" s="33"/>
      <c r="C31" s="180"/>
    </row>
    <row r="32" spans="1:4">
      <c r="A32">
        <v>5100</v>
      </c>
      <c r="B32" s="33" t="s">
        <v>761</v>
      </c>
      <c r="C32" s="180">
        <f>ROUND('DOE25'!L252+'DOE25'!L333,0)</f>
        <v>270000</v>
      </c>
    </row>
    <row r="34" spans="1:4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>
      <c r="A35">
        <v>1100</v>
      </c>
      <c r="B35" s="185" t="s">
        <v>762</v>
      </c>
      <c r="C35" s="179">
        <f>ROUND('DOE25'!F52+'DOE25'!G52+'DOE25'!H52+'DOE25'!I52+'DOE25'!J52,0)</f>
        <v>6968315</v>
      </c>
      <c r="D35" s="182">
        <f t="shared" ref="D35:D40" si="1">ROUND((C35/$C$41)*100,1)</f>
        <v>68.099999999999994</v>
      </c>
    </row>
    <row r="36" spans="1:4">
      <c r="B36" s="185" t="s">
        <v>774</v>
      </c>
      <c r="C36" s="179">
        <f>SUM('DOE25'!F104:J104)-SUM('DOE25'!G89:G102)+('DOE25'!F166+'DOE25'!F167+'DOE25'!I166+'DOE25'!I167)-C35</f>
        <v>26215.310000000522</v>
      </c>
      <c r="D36" s="182">
        <f t="shared" si="1"/>
        <v>0.3</v>
      </c>
    </row>
    <row r="37" spans="1:4">
      <c r="A37" s="183" t="s">
        <v>890</v>
      </c>
      <c r="B37" s="185" t="s">
        <v>763</v>
      </c>
      <c r="C37" s="179">
        <f>ROUND('DOE25'!F109+'DOE25'!F110+'DOE25'!F111,0)</f>
        <v>2678722</v>
      </c>
      <c r="D37" s="182">
        <f t="shared" si="1"/>
        <v>26.2</v>
      </c>
    </row>
    <row r="38" spans="1:4">
      <c r="A38" s="183" t="s">
        <v>769</v>
      </c>
      <c r="B38" s="185" t="s">
        <v>764</v>
      </c>
      <c r="C38" s="179">
        <f>ROUND(SUM('DOE25'!F132:J132)-SUM('DOE25'!F109:F111),0)</f>
        <v>211262</v>
      </c>
      <c r="D38" s="182">
        <f t="shared" si="1"/>
        <v>2.1</v>
      </c>
    </row>
    <row r="39" spans="1:4">
      <c r="A39">
        <v>4000</v>
      </c>
      <c r="B39" s="185" t="s">
        <v>765</v>
      </c>
      <c r="C39" s="179">
        <f>ROUND('DOE25'!F161+'DOE25'!G161+'DOE25'!H161+'DOE25'!I161,0)</f>
        <v>345216</v>
      </c>
      <c r="D39" s="182">
        <f t="shared" si="1"/>
        <v>3.4</v>
      </c>
    </row>
    <row r="40" spans="1:4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>
      <c r="B41" s="187" t="s">
        <v>767</v>
      </c>
      <c r="C41" s="180">
        <f>SUM(C35:C40)</f>
        <v>10229730.310000001</v>
      </c>
      <c r="D41" s="184">
        <f>SUM(D35:D40)</f>
        <v>100.1</v>
      </c>
    </row>
    <row r="42" spans="1:4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>
      <c r="A2" s="286" t="s">
        <v>798</v>
      </c>
      <c r="B2" s="287"/>
      <c r="C2" s="287"/>
      <c r="D2" s="287"/>
      <c r="E2" s="287"/>
      <c r="F2" s="292">
        <f>'DOE25'!A2</f>
        <v>0</v>
      </c>
      <c r="G2" s="293"/>
      <c r="H2" s="293"/>
      <c r="I2" s="293"/>
      <c r="J2" s="52"/>
      <c r="K2" s="52"/>
      <c r="L2" s="52"/>
      <c r="M2" s="216"/>
    </row>
    <row r="3" spans="1:26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799</v>
      </c>
      <c r="B73" s="211" t="s">
        <v>800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30A" sheet="1" objects="1" scenarios="1"/>
  <mergeCells count="223"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BP40:BZ40"/>
    <mergeCell ref="FC40:FM40"/>
    <mergeCell ref="FP40:FZ40"/>
    <mergeCell ref="CC40:CM40"/>
    <mergeCell ref="CP40:CZ40"/>
    <mergeCell ref="DC40:DM40"/>
    <mergeCell ref="EP40:EZ40"/>
    <mergeCell ref="C42:M42"/>
    <mergeCell ref="C41:M41"/>
    <mergeCell ref="DP40:DZ40"/>
    <mergeCell ref="C43:M43"/>
    <mergeCell ref="AP40:AZ40"/>
    <mergeCell ref="BC39:BM39"/>
    <mergeCell ref="HP39:HZ39"/>
    <mergeCell ref="CC39:CM39"/>
    <mergeCell ref="CP39:CZ39"/>
    <mergeCell ref="GC39:GM39"/>
    <mergeCell ref="GP39:GZ39"/>
    <mergeCell ref="BP39:BZ39"/>
    <mergeCell ref="DC39:DM39"/>
    <mergeCell ref="DP39:DZ39"/>
    <mergeCell ref="EC39:EM39"/>
    <mergeCell ref="CP38:CZ38"/>
    <mergeCell ref="DC38:DM38"/>
    <mergeCell ref="DP38:DZ38"/>
    <mergeCell ref="GC38:GM38"/>
    <mergeCell ref="P39:Z39"/>
    <mergeCell ref="AC39:AM39"/>
    <mergeCell ref="AP39:AZ39"/>
    <mergeCell ref="IP39:IV39"/>
    <mergeCell ref="EP39:EZ39"/>
    <mergeCell ref="FC39:FM39"/>
    <mergeCell ref="FP39:FZ39"/>
    <mergeCell ref="HC38:HM38"/>
    <mergeCell ref="HP38:HZ38"/>
    <mergeCell ref="IC38:IM38"/>
    <mergeCell ref="IP38:IV38"/>
    <mergeCell ref="IC39:IM39"/>
    <mergeCell ref="HC39:HM39"/>
    <mergeCell ref="GP38:GZ38"/>
    <mergeCell ref="BP38:BZ38"/>
    <mergeCell ref="CC38:CM38"/>
    <mergeCell ref="EC38:EM38"/>
    <mergeCell ref="EP38:EZ38"/>
    <mergeCell ref="FC38:FM38"/>
    <mergeCell ref="FP38:FZ38"/>
    <mergeCell ref="BC31:BM31"/>
    <mergeCell ref="BC32:BM32"/>
    <mergeCell ref="BP31:BZ31"/>
    <mergeCell ref="CC31:CM31"/>
    <mergeCell ref="EC32:EM32"/>
    <mergeCell ref="EP32:EZ32"/>
    <mergeCell ref="FP32:FZ32"/>
    <mergeCell ref="GC32:GM32"/>
    <mergeCell ref="CC32:CM32"/>
    <mergeCell ref="IP31:IV31"/>
    <mergeCell ref="CP32:CZ32"/>
    <mergeCell ref="HP32:HZ32"/>
    <mergeCell ref="IC32:IM32"/>
    <mergeCell ref="IP32:IV32"/>
    <mergeCell ref="FC32:FM32"/>
    <mergeCell ref="DP31:DZ31"/>
    <mergeCell ref="FP31:FZ31"/>
    <mergeCell ref="GC31:GM31"/>
    <mergeCell ref="EC31:EM31"/>
    <mergeCell ref="EP31:EZ31"/>
    <mergeCell ref="FC31:FM31"/>
    <mergeCell ref="DP32:DZ32"/>
    <mergeCell ref="CP31:CZ31"/>
    <mergeCell ref="DC31:DM31"/>
    <mergeCell ref="GP31:GZ31"/>
    <mergeCell ref="HC31:HM31"/>
    <mergeCell ref="HP31:HZ31"/>
    <mergeCell ref="IC31:IM31"/>
    <mergeCell ref="GP32:GZ32"/>
    <mergeCell ref="HC32:HM32"/>
    <mergeCell ref="DC32:DM32"/>
    <mergeCell ref="P38:Z38"/>
    <mergeCell ref="AC38:AM38"/>
    <mergeCell ref="AP38:AZ38"/>
    <mergeCell ref="BC40:BM40"/>
    <mergeCell ref="HC29:HM29"/>
    <mergeCell ref="HP29:HZ29"/>
    <mergeCell ref="IC29:IM29"/>
    <mergeCell ref="P30:Z30"/>
    <mergeCell ref="AC30:AM30"/>
    <mergeCell ref="AP30:AZ30"/>
    <mergeCell ref="P40:Z40"/>
    <mergeCell ref="AC40:AM40"/>
    <mergeCell ref="CC30:CM30"/>
    <mergeCell ref="CP30:CZ30"/>
    <mergeCell ref="DC30:DM30"/>
    <mergeCell ref="DP30:DZ30"/>
    <mergeCell ref="EC30:EM30"/>
    <mergeCell ref="EP30:EZ30"/>
    <mergeCell ref="BP32:BZ32"/>
    <mergeCell ref="BC38:BM38"/>
    <mergeCell ref="GP30:GZ30"/>
    <mergeCell ref="HC30:HM30"/>
    <mergeCell ref="HP30:HZ30"/>
    <mergeCell ref="FC30:FM30"/>
    <mergeCell ref="IP29:IV29"/>
    <mergeCell ref="BC30:BM30"/>
    <mergeCell ref="BP30:BZ30"/>
    <mergeCell ref="IC30:IM30"/>
    <mergeCell ref="IP30:IV30"/>
    <mergeCell ref="FP30:FZ30"/>
    <mergeCell ref="GC30:GM30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AC32:AM32"/>
    <mergeCell ref="AP32:AZ32"/>
    <mergeCell ref="A2:E2"/>
    <mergeCell ref="A1:I1"/>
    <mergeCell ref="C3:M3"/>
    <mergeCell ref="C4:M4"/>
    <mergeCell ref="F2:I2"/>
    <mergeCell ref="C5:M5"/>
    <mergeCell ref="C6:M6"/>
    <mergeCell ref="C7:M7"/>
    <mergeCell ref="C62:M62"/>
    <mergeCell ref="C8:M8"/>
    <mergeCell ref="C18:M18"/>
    <mergeCell ref="C19:M19"/>
    <mergeCell ref="C39:M39"/>
    <mergeCell ref="C40:M40"/>
    <mergeCell ref="C33:M33"/>
    <mergeCell ref="C37:M37"/>
    <mergeCell ref="C38:M38"/>
    <mergeCell ref="C52:M52"/>
    <mergeCell ref="C50:M50"/>
    <mergeCell ref="C47:M47"/>
    <mergeCell ref="C48:M48"/>
    <mergeCell ref="C49:M49"/>
    <mergeCell ref="C51:M51"/>
    <mergeCell ref="C61:M61"/>
    <mergeCell ref="C63:M63"/>
    <mergeCell ref="C64:M64"/>
    <mergeCell ref="C65:M65"/>
    <mergeCell ref="C9:M9"/>
    <mergeCell ref="C10:M10"/>
    <mergeCell ref="C11:M11"/>
    <mergeCell ref="C12:M12"/>
    <mergeCell ref="C16:M16"/>
    <mergeCell ref="C17:M17"/>
    <mergeCell ref="C53:M53"/>
    <mergeCell ref="C54:M54"/>
    <mergeCell ref="C55:M55"/>
    <mergeCell ref="C56:M56"/>
    <mergeCell ref="C57:M57"/>
    <mergeCell ref="C59:M59"/>
    <mergeCell ref="C60:M60"/>
    <mergeCell ref="C58:M58"/>
    <mergeCell ref="C73:M73"/>
    <mergeCell ref="C74:M74"/>
    <mergeCell ref="C13:M13"/>
    <mergeCell ref="C34:M34"/>
    <mergeCell ref="C35:M35"/>
    <mergeCell ref="C36:M36"/>
    <mergeCell ref="C14:M14"/>
    <mergeCell ref="C15:M15"/>
    <mergeCell ref="C20:M20"/>
    <mergeCell ref="C29:M29"/>
    <mergeCell ref="C66:M66"/>
    <mergeCell ref="C67:M67"/>
    <mergeCell ref="C68:M68"/>
    <mergeCell ref="C69:M69"/>
    <mergeCell ref="C70:M70"/>
    <mergeCell ref="A72:E72"/>
    <mergeCell ref="C27:M27"/>
    <mergeCell ref="C28:M28"/>
    <mergeCell ref="C21:M21"/>
    <mergeCell ref="C22:M22"/>
    <mergeCell ref="C23:M23"/>
    <mergeCell ref="C24:M24"/>
    <mergeCell ref="C25:M25"/>
    <mergeCell ref="C26:M26"/>
    <mergeCell ref="C89:M89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3:M83"/>
    <mergeCell ref="C84:M84"/>
    <mergeCell ref="C85:M85"/>
    <mergeCell ref="C86:M86"/>
    <mergeCell ref="C87:M87"/>
    <mergeCell ref="C88:M8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2012-09-26T17:57:47Z</cp:lastPrinted>
  <dcterms:created xsi:type="dcterms:W3CDTF">1997-12-04T19:04:30Z</dcterms:created>
  <dcterms:modified xsi:type="dcterms:W3CDTF">2012-09-26T18:01:40Z</dcterms:modified>
</cp:coreProperties>
</file>