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4F0C722-C090-4E8E-A563-EE8BF515EC44}" xr6:coauthVersionLast="47" xr6:coauthVersionMax="47" xr10:uidLastSave="{00000000-0000-0000-0000-000000000000}"/>
  <workbookProtection workbookPassword="B30A" lockStructure="1"/>
  <bookViews>
    <workbookView xWindow="0" yWindow="0" windowWidth="21600" windowHeight="11505" tabRatio="855" xr2:uid="{FF7D6FD0-8524-48C6-AA7D-D58D1769A4D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7" i="1" l="1"/>
  <c r="C37" i="10"/>
  <c r="C60" i="2"/>
  <c r="B2" i="13"/>
  <c r="F8" i="13"/>
  <c r="G8" i="13"/>
  <c r="L196" i="1"/>
  <c r="C17" i="10" s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C117" i="2" s="1"/>
  <c r="L237" i="1"/>
  <c r="F5" i="13"/>
  <c r="G5" i="13"/>
  <c r="L189" i="1"/>
  <c r="C10" i="10" s="1"/>
  <c r="L190" i="1"/>
  <c r="C11" i="10" s="1"/>
  <c r="L191" i="1"/>
  <c r="C12" i="10" s="1"/>
  <c r="L192" i="1"/>
  <c r="L207" i="1"/>
  <c r="L221" i="1" s="1"/>
  <c r="L208" i="1"/>
  <c r="L209" i="1"/>
  <c r="L210" i="1"/>
  <c r="L225" i="1"/>
  <c r="L226" i="1"/>
  <c r="L227" i="1"/>
  <c r="L228" i="1"/>
  <c r="F6" i="13"/>
  <c r="F33" i="13" s="1"/>
  <c r="G6" i="13"/>
  <c r="L194" i="1"/>
  <c r="C110" i="2" s="1"/>
  <c r="L212" i="1"/>
  <c r="L230" i="1"/>
  <c r="F7" i="13"/>
  <c r="G7" i="13"/>
  <c r="D7" i="13" s="1"/>
  <c r="C7" i="13" s="1"/>
  <c r="L195" i="1"/>
  <c r="L213" i="1"/>
  <c r="L231" i="1"/>
  <c r="F12" i="13"/>
  <c r="G12" i="13"/>
  <c r="L197" i="1"/>
  <c r="D12" i="13" s="1"/>
  <c r="C12" i="13" s="1"/>
  <c r="L215" i="1"/>
  <c r="L233" i="1"/>
  <c r="C18" i="10" s="1"/>
  <c r="F14" i="13"/>
  <c r="G14" i="13"/>
  <c r="L199" i="1"/>
  <c r="L217" i="1"/>
  <c r="D14" i="13" s="1"/>
  <c r="C14" i="13" s="1"/>
  <c r="L235" i="1"/>
  <c r="F15" i="13"/>
  <c r="G15" i="13"/>
  <c r="L200" i="1"/>
  <c r="L218" i="1"/>
  <c r="C21" i="10" s="1"/>
  <c r="L236" i="1"/>
  <c r="H652" i="1" s="1"/>
  <c r="F17" i="13"/>
  <c r="G17" i="13"/>
  <c r="L243" i="1"/>
  <c r="D17" i="13" s="1"/>
  <c r="C17" i="13" s="1"/>
  <c r="F18" i="13"/>
  <c r="G18" i="13"/>
  <c r="L244" i="1"/>
  <c r="F19" i="13"/>
  <c r="G19" i="13"/>
  <c r="L245" i="1"/>
  <c r="D19" i="13" s="1"/>
  <c r="C19" i="13" s="1"/>
  <c r="F29" i="13"/>
  <c r="G29" i="13"/>
  <c r="L350" i="1"/>
  <c r="L351" i="1"/>
  <c r="F651" i="1" s="1"/>
  <c r="L352" i="1"/>
  <c r="I359" i="1"/>
  <c r="J282" i="1"/>
  <c r="J301" i="1"/>
  <c r="J320" i="1"/>
  <c r="K282" i="1"/>
  <c r="K330" i="1" s="1"/>
  <c r="K344" i="1" s="1"/>
  <c r="K301" i="1"/>
  <c r="K320" i="1"/>
  <c r="L268" i="1"/>
  <c r="L269" i="1"/>
  <c r="L270" i="1"/>
  <c r="E103" i="2" s="1"/>
  <c r="L271" i="1"/>
  <c r="E104" i="2" s="1"/>
  <c r="L273" i="1"/>
  <c r="L274" i="1"/>
  <c r="L275" i="1"/>
  <c r="L276" i="1"/>
  <c r="L277" i="1"/>
  <c r="L278" i="1"/>
  <c r="E115" i="2" s="1"/>
  <c r="L279" i="1"/>
  <c r="E116" i="2" s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16" i="1"/>
  <c r="C20" i="10" s="1"/>
  <c r="L317" i="1"/>
  <c r="L318" i="1"/>
  <c r="L325" i="1"/>
  <c r="L326" i="1"/>
  <c r="L327" i="1"/>
  <c r="L252" i="1"/>
  <c r="L253" i="1"/>
  <c r="L333" i="1"/>
  <c r="C32" i="10" s="1"/>
  <c r="L334" i="1"/>
  <c r="L343" i="1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4" i="2" s="1"/>
  <c r="G53" i="2"/>
  <c r="F2" i="11"/>
  <c r="L603" i="1"/>
  <c r="H653" i="1" s="1"/>
  <c r="L602" i="1"/>
  <c r="G653" i="1"/>
  <c r="L601" i="1"/>
  <c r="F653" i="1" s="1"/>
  <c r="C40" i="10"/>
  <c r="F52" i="1"/>
  <c r="C35" i="10" s="1"/>
  <c r="C48" i="2"/>
  <c r="G52" i="1"/>
  <c r="H52" i="1"/>
  <c r="E48" i="2" s="1"/>
  <c r="I52" i="1"/>
  <c r="F71" i="1"/>
  <c r="F86" i="1"/>
  <c r="C50" i="2"/>
  <c r="C54" i="2" s="1"/>
  <c r="C55" i="2" s="1"/>
  <c r="F103" i="1"/>
  <c r="F104" i="1"/>
  <c r="G103" i="1"/>
  <c r="G104" i="1"/>
  <c r="H71" i="1"/>
  <c r="H86" i="1"/>
  <c r="E50" i="2" s="1"/>
  <c r="E54" i="2" s="1"/>
  <c r="H103" i="1"/>
  <c r="I103" i="1"/>
  <c r="I104" i="1"/>
  <c r="J103" i="1"/>
  <c r="J104" i="1"/>
  <c r="J185" i="1" s="1"/>
  <c r="F113" i="1"/>
  <c r="F132" i="1" s="1"/>
  <c r="C38" i="10" s="1"/>
  <c r="F128" i="1"/>
  <c r="G113" i="1"/>
  <c r="G128" i="1"/>
  <c r="G132" i="1" s="1"/>
  <c r="H113" i="1"/>
  <c r="H132" i="1" s="1"/>
  <c r="H128" i="1"/>
  <c r="I113" i="1"/>
  <c r="I128" i="1"/>
  <c r="I132" i="1"/>
  <c r="J113" i="1"/>
  <c r="J128" i="1"/>
  <c r="J132" i="1"/>
  <c r="F139" i="1"/>
  <c r="F154" i="1"/>
  <c r="F161" i="1" s="1"/>
  <c r="G139" i="1"/>
  <c r="D77" i="2" s="1"/>
  <c r="D83" i="2" s="1"/>
  <c r="G154" i="1"/>
  <c r="H139" i="1"/>
  <c r="H154" i="1"/>
  <c r="H161" i="1"/>
  <c r="I139" i="1"/>
  <c r="F77" i="2" s="1"/>
  <c r="F83" i="2" s="1"/>
  <c r="I154" i="1"/>
  <c r="I161" i="1"/>
  <c r="L242" i="1"/>
  <c r="L324" i="1"/>
  <c r="C23" i="10"/>
  <c r="L246" i="1"/>
  <c r="L260" i="1"/>
  <c r="C26" i="10" s="1"/>
  <c r="L261" i="1"/>
  <c r="L341" i="1"/>
  <c r="L342" i="1"/>
  <c r="E135" i="2" s="1"/>
  <c r="I655" i="1"/>
  <c r="I660" i="1"/>
  <c r="I659" i="1"/>
  <c r="C42" i="10"/>
  <c r="L366" i="1"/>
  <c r="L367" i="1"/>
  <c r="L368" i="1"/>
  <c r="L374" i="1" s="1"/>
  <c r="G626" i="1" s="1"/>
  <c r="J626" i="1" s="1"/>
  <c r="L369" i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1" i="1"/>
  <c r="F539" i="1"/>
  <c r="L512" i="1"/>
  <c r="F540" i="1" s="1"/>
  <c r="L513" i="1"/>
  <c r="F541" i="1"/>
  <c r="L516" i="1"/>
  <c r="G539" i="1"/>
  <c r="G542" i="1" s="1"/>
  <c r="L517" i="1"/>
  <c r="G540" i="1"/>
  <c r="L518" i="1"/>
  <c r="G541" i="1"/>
  <c r="L521" i="1"/>
  <c r="H539" i="1"/>
  <c r="L522" i="1"/>
  <c r="H540" i="1" s="1"/>
  <c r="L523" i="1"/>
  <c r="H541" i="1"/>
  <c r="L526" i="1"/>
  <c r="I539" i="1"/>
  <c r="L527" i="1"/>
  <c r="I540" i="1"/>
  <c r="I542" i="1" s="1"/>
  <c r="L528" i="1"/>
  <c r="I541" i="1"/>
  <c r="L531" i="1"/>
  <c r="J539" i="1"/>
  <c r="L532" i="1"/>
  <c r="J540" i="1" s="1"/>
  <c r="L533" i="1"/>
  <c r="J541" i="1"/>
  <c r="E123" i="2"/>
  <c r="K262" i="1"/>
  <c r="K263" i="1" s="1"/>
  <c r="J262" i="1"/>
  <c r="I262" i="1"/>
  <c r="H262" i="1"/>
  <c r="G262" i="1"/>
  <c r="F262" i="1"/>
  <c r="L262" i="1" s="1"/>
  <c r="C124" i="2"/>
  <c r="C123" i="2"/>
  <c r="A1" i="2"/>
  <c r="A2" i="2"/>
  <c r="C9" i="2"/>
  <c r="D9" i="2"/>
  <c r="D19" i="2" s="1"/>
  <c r="E9" i="2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C13" i="2"/>
  <c r="D13" i="2"/>
  <c r="E13" i="2"/>
  <c r="F13" i="2"/>
  <c r="I434" i="1"/>
  <c r="J13" i="1"/>
  <c r="C14" i="2"/>
  <c r="D14" i="2"/>
  <c r="D16" i="2"/>
  <c r="D17" i="2"/>
  <c r="D18" i="2"/>
  <c r="E14" i="2"/>
  <c r="F14" i="2"/>
  <c r="I435" i="1"/>
  <c r="J14" i="1"/>
  <c r="G14" i="2"/>
  <c r="F15" i="2"/>
  <c r="C16" i="2"/>
  <c r="E16" i="2"/>
  <c r="E19" i="2" s="1"/>
  <c r="F16" i="2"/>
  <c r="C17" i="2"/>
  <c r="E17" i="2"/>
  <c r="F17" i="2"/>
  <c r="I436" i="1"/>
  <c r="J17" i="1" s="1"/>
  <c r="G17" i="2" s="1"/>
  <c r="C18" i="2"/>
  <c r="E18" i="2"/>
  <c r="F18" i="2"/>
  <c r="I437" i="1"/>
  <c r="J18" i="1"/>
  <c r="G18" i="2" s="1"/>
  <c r="C22" i="2"/>
  <c r="D22" i="2"/>
  <c r="E22" i="2"/>
  <c r="E32" i="2" s="1"/>
  <c r="F22" i="2"/>
  <c r="I440" i="1"/>
  <c r="J23" i="1"/>
  <c r="C23" i="2"/>
  <c r="D23" i="2"/>
  <c r="D32" i="2" s="1"/>
  <c r="E23" i="2"/>
  <c r="F23" i="2"/>
  <c r="F32" i="2" s="1"/>
  <c r="I441" i="1"/>
  <c r="J24" i="1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E42" i="2" s="1"/>
  <c r="F36" i="2"/>
  <c r="F42" i="2" s="1"/>
  <c r="I446" i="1"/>
  <c r="J37" i="1"/>
  <c r="G36" i="2" s="1"/>
  <c r="C37" i="2"/>
  <c r="D37" i="2"/>
  <c r="E37" i="2"/>
  <c r="F37" i="2"/>
  <c r="I447" i="1"/>
  <c r="J38" i="1"/>
  <c r="C38" i="2"/>
  <c r="D38" i="2"/>
  <c r="E38" i="2"/>
  <c r="F38" i="2"/>
  <c r="I448" i="1"/>
  <c r="J40" i="1" s="1"/>
  <c r="C40" i="2"/>
  <c r="D40" i="2"/>
  <c r="E40" i="2"/>
  <c r="F40" i="2"/>
  <c r="I449" i="1"/>
  <c r="J41" i="1"/>
  <c r="G40" i="2" s="1"/>
  <c r="C41" i="2"/>
  <c r="D41" i="2"/>
  <c r="E41" i="2"/>
  <c r="F41" i="2"/>
  <c r="D48" i="2"/>
  <c r="F48" i="2"/>
  <c r="C49" i="2"/>
  <c r="E49" i="2"/>
  <c r="C51" i="2"/>
  <c r="D51" i="2"/>
  <c r="D54" i="2" s="1"/>
  <c r="D55" i="2" s="1"/>
  <c r="E51" i="2"/>
  <c r="F51" i="2"/>
  <c r="F54" i="2" s="1"/>
  <c r="F55" i="2" s="1"/>
  <c r="F96" i="2" s="1"/>
  <c r="F53" i="2"/>
  <c r="D52" i="2"/>
  <c r="D53" i="2"/>
  <c r="C53" i="2"/>
  <c r="E53" i="2"/>
  <c r="C58" i="2"/>
  <c r="C62" i="2" s="1"/>
  <c r="C59" i="2"/>
  <c r="C61" i="2"/>
  <c r="D61" i="2"/>
  <c r="E61" i="2"/>
  <c r="E62" i="2" s="1"/>
  <c r="F61" i="2"/>
  <c r="G61" i="2"/>
  <c r="G62" i="2"/>
  <c r="D62" i="2"/>
  <c r="F62" i="2"/>
  <c r="C64" i="2"/>
  <c r="C70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/>
  <c r="D71" i="2"/>
  <c r="D73" i="2"/>
  <c r="E69" i="2"/>
  <c r="E70" i="2"/>
  <c r="E73" i="2" s="1"/>
  <c r="E71" i="2"/>
  <c r="E72" i="2"/>
  <c r="E77" i="2"/>
  <c r="E79" i="2"/>
  <c r="E80" i="2"/>
  <c r="E81" i="2"/>
  <c r="E83" i="2" s="1"/>
  <c r="E88" i="2"/>
  <c r="E95" i="2" s="1"/>
  <c r="E89" i="2"/>
  <c r="E90" i="2"/>
  <c r="E91" i="2"/>
  <c r="E92" i="2"/>
  <c r="E93" i="2"/>
  <c r="E94" i="2"/>
  <c r="F69" i="2"/>
  <c r="G69" i="2"/>
  <c r="G70" i="2" s="1"/>
  <c r="G73" i="2" s="1"/>
  <c r="C71" i="2"/>
  <c r="C72" i="2"/>
  <c r="C77" i="2"/>
  <c r="C79" i="2"/>
  <c r="F79" i="2"/>
  <c r="C80" i="2"/>
  <c r="D80" i="2"/>
  <c r="F80" i="2"/>
  <c r="C81" i="2"/>
  <c r="C83" i="2" s="1"/>
  <c r="D81" i="2"/>
  <c r="F81" i="2"/>
  <c r="C82" i="2"/>
  <c r="C85" i="2"/>
  <c r="C95" i="2" s="1"/>
  <c r="F85" i="2"/>
  <c r="F86" i="2"/>
  <c r="F88" i="2"/>
  <c r="F89" i="2"/>
  <c r="F91" i="2"/>
  <c r="F95" i="2" s="1"/>
  <c r="F92" i="2"/>
  <c r="F93" i="2"/>
  <c r="F94" i="2"/>
  <c r="C86" i="2"/>
  <c r="D88" i="2"/>
  <c r="G88" i="2"/>
  <c r="G95" i="2" s="1"/>
  <c r="C89" i="2"/>
  <c r="D89" i="2"/>
  <c r="G89" i="2"/>
  <c r="C90" i="2"/>
  <c r="D90" i="2"/>
  <c r="D95" i="2" s="1"/>
  <c r="D91" i="2"/>
  <c r="D92" i="2"/>
  <c r="D93" i="2"/>
  <c r="D94" i="2"/>
  <c r="G90" i="2"/>
  <c r="C91" i="2"/>
  <c r="C92" i="2"/>
  <c r="C93" i="2"/>
  <c r="C94" i="2"/>
  <c r="C101" i="2"/>
  <c r="C102" i="2"/>
  <c r="C103" i="2"/>
  <c r="C104" i="2"/>
  <c r="C105" i="2"/>
  <c r="D107" i="2"/>
  <c r="F107" i="2"/>
  <c r="G107" i="2"/>
  <c r="E110" i="2"/>
  <c r="E111" i="2"/>
  <c r="E112" i="2"/>
  <c r="E113" i="2"/>
  <c r="E114" i="2"/>
  <c r="E117" i="2"/>
  <c r="F120" i="2"/>
  <c r="G120" i="2"/>
  <c r="E122" i="2"/>
  <c r="F126" i="2"/>
  <c r="D126" i="2"/>
  <c r="D136" i="2" s="1"/>
  <c r="K411" i="1"/>
  <c r="K419" i="1"/>
  <c r="K425" i="1"/>
  <c r="L255" i="1"/>
  <c r="C127" i="2" s="1"/>
  <c r="L256" i="1"/>
  <c r="C128" i="2"/>
  <c r="L257" i="1"/>
  <c r="C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B150" i="2"/>
  <c r="C150" i="2"/>
  <c r="D150" i="2"/>
  <c r="E150" i="2"/>
  <c r="G150" i="2" s="1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153" i="2" s="1"/>
  <c r="G490" i="1"/>
  <c r="C153" i="2"/>
  <c r="H490" i="1"/>
  <c r="D153" i="2"/>
  <c r="I490" i="1"/>
  <c r="E153" i="2"/>
  <c r="J490" i="1"/>
  <c r="F153" i="2"/>
  <c r="B154" i="2"/>
  <c r="C154" i="2"/>
  <c r="D154" i="2"/>
  <c r="E154" i="2"/>
  <c r="G154" i="2" s="1"/>
  <c r="F154" i="2"/>
  <c r="B155" i="2"/>
  <c r="C155" i="2"/>
  <c r="D155" i="2"/>
  <c r="E155" i="2"/>
  <c r="F155" i="2"/>
  <c r="F493" i="1"/>
  <c r="B156" i="2"/>
  <c r="G493" i="1"/>
  <c r="C156" i="2"/>
  <c r="H493" i="1"/>
  <c r="D156" i="2"/>
  <c r="I493" i="1"/>
  <c r="E156" i="2"/>
  <c r="G156" i="2" s="1"/>
  <c r="J493" i="1"/>
  <c r="F156" i="2"/>
  <c r="F19" i="1"/>
  <c r="G607" i="1"/>
  <c r="G19" i="1"/>
  <c r="H19" i="1"/>
  <c r="G609" i="1" s="1"/>
  <c r="J609" i="1" s="1"/>
  <c r="I19" i="1"/>
  <c r="G610" i="1"/>
  <c r="F33" i="1"/>
  <c r="F44" i="1" s="1"/>
  <c r="H607" i="1" s="1"/>
  <c r="J607" i="1" s="1"/>
  <c r="G33" i="1"/>
  <c r="G44" i="1" s="1"/>
  <c r="H608" i="1" s="1"/>
  <c r="J608" i="1" s="1"/>
  <c r="H33" i="1"/>
  <c r="H44" i="1" s="1"/>
  <c r="H609" i="1" s="1"/>
  <c r="I33" i="1"/>
  <c r="F43" i="1"/>
  <c r="G612" i="1" s="1"/>
  <c r="J612" i="1" s="1"/>
  <c r="G43" i="1"/>
  <c r="G613" i="1"/>
  <c r="J613" i="1" s="1"/>
  <c r="H43" i="1"/>
  <c r="I43" i="1"/>
  <c r="I44" i="1"/>
  <c r="H610" i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H184" i="1" s="1"/>
  <c r="I180" i="1"/>
  <c r="G184" i="1"/>
  <c r="F203" i="1"/>
  <c r="G203" i="1"/>
  <c r="H203" i="1"/>
  <c r="I203" i="1"/>
  <c r="J203" i="1"/>
  <c r="K203" i="1"/>
  <c r="F221" i="1"/>
  <c r="G221" i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F249" i="1"/>
  <c r="F263" i="1" s="1"/>
  <c r="F282" i="1"/>
  <c r="F330" i="1" s="1"/>
  <c r="F344" i="1" s="1"/>
  <c r="G282" i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I330" i="1" s="1"/>
  <c r="I344" i="1" s="1"/>
  <c r="J329" i="1"/>
  <c r="L329" i="1" s="1"/>
  <c r="K329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J635" i="1" s="1"/>
  <c r="H399" i="1"/>
  <c r="H400" i="1" s="1"/>
  <c r="H634" i="1" s="1"/>
  <c r="J634" i="1" s="1"/>
  <c r="I399" i="1"/>
  <c r="L405" i="1"/>
  <c r="L406" i="1"/>
  <c r="L407" i="1"/>
  <c r="L408" i="1"/>
  <c r="L409" i="1"/>
  <c r="L410" i="1"/>
  <c r="L411" i="1"/>
  <c r="F411" i="1"/>
  <c r="F426" i="1" s="1"/>
  <c r="G411" i="1"/>
  <c r="G426" i="1" s="1"/>
  <c r="H411" i="1"/>
  <c r="I411" i="1"/>
  <c r="I426" i="1" s="1"/>
  <c r="J411" i="1"/>
  <c r="L413" i="1"/>
  <c r="L414" i="1"/>
  <c r="L415" i="1"/>
  <c r="L416" i="1"/>
  <c r="L417" i="1"/>
  <c r="L418" i="1"/>
  <c r="L419" i="1"/>
  <c r="F419" i="1"/>
  <c r="G419" i="1"/>
  <c r="H419" i="1"/>
  <c r="H426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J426" i="1" s="1"/>
  <c r="F438" i="1"/>
  <c r="G629" i="1"/>
  <c r="G438" i="1"/>
  <c r="G630" i="1" s="1"/>
  <c r="H438" i="1"/>
  <c r="G631" i="1"/>
  <c r="J631" i="1" s="1"/>
  <c r="I438" i="1"/>
  <c r="G632" i="1" s="1"/>
  <c r="F444" i="1"/>
  <c r="G444" i="1"/>
  <c r="H444" i="1"/>
  <c r="F450" i="1"/>
  <c r="F451" i="1" s="1"/>
  <c r="H629" i="1" s="1"/>
  <c r="G450" i="1"/>
  <c r="G451" i="1" s="1"/>
  <c r="H630" i="1" s="1"/>
  <c r="H450" i="1"/>
  <c r="H451" i="1" s="1"/>
  <c r="H631" i="1" s="1"/>
  <c r="I450" i="1"/>
  <c r="F460" i="1"/>
  <c r="G460" i="1"/>
  <c r="H460" i="1"/>
  <c r="I460" i="1"/>
  <c r="J460" i="1"/>
  <c r="F464" i="1"/>
  <c r="F466" i="1" s="1"/>
  <c r="H612" i="1" s="1"/>
  <c r="G464" i="1"/>
  <c r="G466" i="1" s="1"/>
  <c r="H613" i="1" s="1"/>
  <c r="H464" i="1"/>
  <c r="H466" i="1" s="1"/>
  <c r="H614" i="1" s="1"/>
  <c r="J614" i="1" s="1"/>
  <c r="I464" i="1"/>
  <c r="I466" i="1" s="1"/>
  <c r="H615" i="1" s="1"/>
  <c r="J615" i="1" s="1"/>
  <c r="J464" i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L514" i="1"/>
  <c r="L535" i="1" s="1"/>
  <c r="F519" i="1"/>
  <c r="F535" i="1" s="1"/>
  <c r="G519" i="1"/>
  <c r="H519" i="1"/>
  <c r="H535" i="1" s="1"/>
  <c r="I519" i="1"/>
  <c r="J519" i="1"/>
  <c r="J535" i="1" s="1"/>
  <c r="K519" i="1"/>
  <c r="K535" i="1" s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F561" i="1" s="1"/>
  <c r="G550" i="1"/>
  <c r="H550" i="1"/>
  <c r="I550" i="1"/>
  <c r="I561" i="1" s="1"/>
  <c r="J550" i="1"/>
  <c r="K550" i="1"/>
  <c r="L552" i="1"/>
  <c r="L555" i="1"/>
  <c r="L553" i="1"/>
  <c r="L554" i="1"/>
  <c r="F555" i="1"/>
  <c r="G555" i="1"/>
  <c r="G561" i="1" s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I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H641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08" i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3" i="1"/>
  <c r="G634" i="1"/>
  <c r="H637" i="1"/>
  <c r="G639" i="1"/>
  <c r="J639" i="1" s="1"/>
  <c r="G640" i="1"/>
  <c r="G641" i="1"/>
  <c r="J641" i="1" s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C19" i="2"/>
  <c r="A13" i="12"/>
  <c r="D18" i="13"/>
  <c r="C18" i="13" s="1"/>
  <c r="D15" i="13"/>
  <c r="C15" i="13" s="1"/>
  <c r="G149" i="2"/>
  <c r="C42" i="2"/>
  <c r="G9" i="2"/>
  <c r="G37" i="2"/>
  <c r="G22" i="2"/>
  <c r="G635" i="1"/>
  <c r="C116" i="2"/>
  <c r="C115" i="2"/>
  <c r="C113" i="2"/>
  <c r="E105" i="2"/>
  <c r="E102" i="2"/>
  <c r="C16" i="10"/>
  <c r="C32" i="2"/>
  <c r="C43" i="2"/>
  <c r="E106" i="2"/>
  <c r="F31" i="13"/>
  <c r="G330" i="1"/>
  <c r="G344" i="1" s="1"/>
  <c r="E101" i="2"/>
  <c r="L239" i="1"/>
  <c r="K249" i="1"/>
  <c r="H249" i="1"/>
  <c r="H263" i="1"/>
  <c r="G249" i="1"/>
  <c r="G263" i="1" s="1"/>
  <c r="C111" i="2"/>
  <c r="D5" i="13"/>
  <c r="C5" i="13" s="1"/>
  <c r="G12" i="2"/>
  <c r="K426" i="1"/>
  <c r="G126" i="2"/>
  <c r="G136" i="2" s="1"/>
  <c r="G137" i="2" s="1"/>
  <c r="L604" i="1"/>
  <c r="K588" i="1"/>
  <c r="G637" i="1" s="1"/>
  <c r="J637" i="1" s="1"/>
  <c r="L529" i="1"/>
  <c r="I535" i="1"/>
  <c r="G535" i="1"/>
  <c r="K541" i="1"/>
  <c r="K539" i="1"/>
  <c r="G155" i="2"/>
  <c r="G13" i="2"/>
  <c r="G19" i="2" s="1"/>
  <c r="K595" i="1"/>
  <c r="G638" i="1"/>
  <c r="F19" i="2"/>
  <c r="J610" i="1"/>
  <c r="A22" i="12"/>
  <c r="J629" i="1" l="1"/>
  <c r="G39" i="2"/>
  <c r="G42" i="2" s="1"/>
  <c r="J43" i="1"/>
  <c r="I185" i="1"/>
  <c r="G620" i="1" s="1"/>
  <c r="J620" i="1" s="1"/>
  <c r="J630" i="1"/>
  <c r="H638" i="1"/>
  <c r="J638" i="1" s="1"/>
  <c r="J263" i="1"/>
  <c r="F43" i="2"/>
  <c r="J19" i="1"/>
  <c r="G611" i="1" s="1"/>
  <c r="E55" i="2"/>
  <c r="E96" i="2" s="1"/>
  <c r="G55" i="2"/>
  <c r="G96" i="2" s="1"/>
  <c r="G23" i="2"/>
  <c r="G32" i="2" s="1"/>
  <c r="J33" i="1"/>
  <c r="H542" i="1"/>
  <c r="G621" i="1"/>
  <c r="J621" i="1" s="1"/>
  <c r="G636" i="1"/>
  <c r="I651" i="1"/>
  <c r="J542" i="1"/>
  <c r="C73" i="2"/>
  <c r="C96" i="2" s="1"/>
  <c r="E43" i="2"/>
  <c r="E107" i="2"/>
  <c r="E137" i="2" s="1"/>
  <c r="L400" i="1"/>
  <c r="C130" i="2"/>
  <c r="C133" i="2" s="1"/>
  <c r="H650" i="1"/>
  <c r="J633" i="1"/>
  <c r="I653" i="1"/>
  <c r="E120" i="2"/>
  <c r="F185" i="1"/>
  <c r="G617" i="1" s="1"/>
  <c r="J617" i="1" s="1"/>
  <c r="G650" i="1"/>
  <c r="G654" i="1" s="1"/>
  <c r="L426" i="1"/>
  <c r="G628" i="1" s="1"/>
  <c r="J628" i="1" s="1"/>
  <c r="D96" i="2"/>
  <c r="F542" i="1"/>
  <c r="K540" i="1"/>
  <c r="K542" i="1" s="1"/>
  <c r="C39" i="10"/>
  <c r="C120" i="2"/>
  <c r="F122" i="2"/>
  <c r="F136" i="2" s="1"/>
  <c r="F137" i="2" s="1"/>
  <c r="C112" i="2"/>
  <c r="E124" i="2"/>
  <c r="E136" i="2" s="1"/>
  <c r="G651" i="1"/>
  <c r="C13" i="10"/>
  <c r="D6" i="13"/>
  <c r="C6" i="13" s="1"/>
  <c r="I444" i="1"/>
  <c r="I451" i="1" s="1"/>
  <c r="H632" i="1" s="1"/>
  <c r="J632" i="1" s="1"/>
  <c r="H25" i="13"/>
  <c r="L354" i="1"/>
  <c r="H651" i="1"/>
  <c r="D119" i="2"/>
  <c r="D120" i="2" s="1"/>
  <c r="D137" i="2" s="1"/>
  <c r="C122" i="2"/>
  <c r="C136" i="2" s="1"/>
  <c r="L203" i="1"/>
  <c r="C29" i="10"/>
  <c r="E8" i="13"/>
  <c r="G31" i="13"/>
  <c r="G33" i="13" s="1"/>
  <c r="C24" i="10"/>
  <c r="G161" i="1"/>
  <c r="G185" i="1" s="1"/>
  <c r="G618" i="1" s="1"/>
  <c r="J618" i="1" s="1"/>
  <c r="H104" i="1"/>
  <c r="H185" i="1" s="1"/>
  <c r="G619" i="1" s="1"/>
  <c r="J619" i="1" s="1"/>
  <c r="L282" i="1"/>
  <c r="D29" i="13"/>
  <c r="C29" i="13" s="1"/>
  <c r="C19" i="10"/>
  <c r="E13" i="13"/>
  <c r="C13" i="13" s="1"/>
  <c r="C106" i="2"/>
  <c r="C107" i="2" s="1"/>
  <c r="C137" i="2" s="1"/>
  <c r="C15" i="10"/>
  <c r="L320" i="1"/>
  <c r="F652" i="1"/>
  <c r="I652" i="1" s="1"/>
  <c r="C134" i="2"/>
  <c r="J330" i="1"/>
  <c r="J344" i="1" s="1"/>
  <c r="C25" i="10"/>
  <c r="G43" i="2" l="1"/>
  <c r="G657" i="1"/>
  <c r="G662" i="1"/>
  <c r="C5" i="10" s="1"/>
  <c r="C36" i="10"/>
  <c r="J636" i="1"/>
  <c r="G625" i="1"/>
  <c r="J625" i="1" s="1"/>
  <c r="C27" i="10"/>
  <c r="D31" i="13"/>
  <c r="C31" i="13" s="1"/>
  <c r="L330" i="1"/>
  <c r="L344" i="1" s="1"/>
  <c r="G623" i="1" s="1"/>
  <c r="J623" i="1" s="1"/>
  <c r="C25" i="13"/>
  <c r="H33" i="13"/>
  <c r="C8" i="13"/>
  <c r="E33" i="13"/>
  <c r="D35" i="13" s="1"/>
  <c r="G627" i="1"/>
  <c r="J627" i="1" s="1"/>
  <c r="H636" i="1"/>
  <c r="G616" i="1"/>
  <c r="J44" i="1"/>
  <c r="H611" i="1" s="1"/>
  <c r="J611" i="1" s="1"/>
  <c r="H654" i="1"/>
  <c r="F650" i="1"/>
  <c r="L249" i="1"/>
  <c r="L263" i="1" s="1"/>
  <c r="G622" i="1" s="1"/>
  <c r="J622" i="1" s="1"/>
  <c r="F654" i="1" l="1"/>
  <c r="I650" i="1"/>
  <c r="I654" i="1" s="1"/>
  <c r="D33" i="13"/>
  <c r="D36" i="13" s="1"/>
  <c r="C41" i="10"/>
  <c r="H662" i="1"/>
  <c r="C6" i="10" s="1"/>
  <c r="H657" i="1"/>
  <c r="J616" i="1"/>
  <c r="H646" i="1"/>
  <c r="C28" i="10"/>
  <c r="D16" i="10" l="1"/>
  <c r="C30" i="10"/>
  <c r="D23" i="10"/>
  <c r="D22" i="10"/>
  <c r="D11" i="10"/>
  <c r="D21" i="10"/>
  <c r="D20" i="10"/>
  <c r="D17" i="10"/>
  <c r="D18" i="10"/>
  <c r="D10" i="10"/>
  <c r="D26" i="10"/>
  <c r="D12" i="10"/>
  <c r="D25" i="10"/>
  <c r="D24" i="10"/>
  <c r="D15" i="10"/>
  <c r="D19" i="10"/>
  <c r="D13" i="10"/>
  <c r="D40" i="10"/>
  <c r="D37" i="10"/>
  <c r="D38" i="10"/>
  <c r="D35" i="10"/>
  <c r="D41" i="10" s="1"/>
  <c r="D39" i="10"/>
  <c r="D36" i="10"/>
  <c r="I657" i="1"/>
  <c r="I662" i="1"/>
  <c r="C7" i="10" s="1"/>
  <c r="F657" i="1"/>
  <c r="F662" i="1"/>
  <c r="C4" i="10" s="1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95F57A5-2525-42A5-98DC-80DAC4C05E68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68772E9-5D69-47CE-9CDE-AF3E8D807F9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31B03EA-64B5-42B6-BFC4-315328A94C0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2F73BE2-E6EE-4F2B-8798-13D386BE8680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C12196A-F287-4D77-8CCD-D09757DA5EB9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81EC0C3-C0F0-4135-B5A8-2FA5F08343DF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C60CE008-B126-4945-BA75-9524DF421C33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2F0236C2-DECD-480C-BC85-49F5242BD1EE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E6F75F0-0541-4A80-92F5-5C8D59A3A936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F7B2138D-AF0D-4FC3-80E8-07B440D59945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236F6F4F-28C2-4DFE-BCD2-8EEF7FD959FD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3F6266F-78F8-4158-B35E-84187C0FEA62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<sst xmlns="http://schemas.openxmlformats.org/spreadsheetml/2006/main" count="3870" uniqueCount="906">
  <si>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</si>
  <si>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</si>
  <si>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</si>
  <si>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</si>
  <si>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</si>
  <si>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</si>
  <si>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</si>
  <si>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</si>
  <si>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</si>
  <si>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</si>
  <si>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</si>
  <si>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</si>
  <si>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</si>
  <si>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</si>
  <si>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</si>
  <si>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</si>
  <si>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</si>
  <si>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</si>
  <si>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</si>
  <si>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</si>
  <si>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</si>
  <si>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</si>
  <si>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</si>
  <si>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</si>
  <si>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</si>
  <si>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</si>
  <si>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</si>
  <si>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</si>
  <si>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</si>
  <si>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</si>
  <si>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</si>
  <si>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</si>
  <si>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</si>
  <si>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</si>
  <si>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</si>
  <si>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</si>
  <si>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</si>
  <si>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</si>
  <si>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</si>
  <si>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</si>
  <si>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</si>
  <si>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</si>
  <si>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</si>
  <si>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</si>
  <si>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</si>
  <si>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</si>
  <si>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</si>
  <si>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</si>
  <si>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</si>
  <si>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</si>
  <si>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</si>
  <si>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</si>
  <si>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</si>
  <si>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</si>
  <si>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</si>
  <si>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</si>
  <si>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</si>
  <si>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</si>
  <si>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</si>
  <si>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</si>
  <si>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</si>
  <si>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</si>
  <si>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</si>
  <si>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</si>
  <si>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</si>
  <si>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</si>
  <si>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</si>
  <si>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</si>
  <si>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</si>
  <si>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</si>
  <si>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</si>
  <si>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</si>
  <si>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</si>
  <si>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</si>
  <si>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</si>
  <si>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</si>
  <si>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</si>
  <si>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</si>
  <si>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</si>
  <si>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</si>
  <si>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</si>
  <si>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</si>
  <si>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</si>
  <si>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</si>
  <si>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</si>
  <si>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</si>
  <si>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</si>
  <si>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</si>
  <si>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</si>
  <si>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</si>
  <si>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</si>
  <si>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</si>
  <si>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</si>
  <si>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</si>
  <si>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</si>
  <si>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</si>
  <si>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</si>
  <si>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</si>
  <si>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</si>
  <si>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</si>
  <si>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</si>
  <si>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</si>
  <si>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</si>
  <si>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</si>
  <si>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</si>
  <si>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</si>
  <si>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</si>
  <si>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</si>
  <si>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</si>
  <si>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</si>
  <si>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</si>
  <si>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</si>
  <si>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</si>
  <si>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</si>
  <si>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</si>
  <si>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</si>
  <si>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</si>
  <si>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</si>
  <si>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</si>
  <si>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</si>
  <si>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</si>
  <si>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</si>
  <si>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</si>
  <si>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</si>
  <si>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</si>
  <si>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</si>
  <si>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</si>
  <si>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</si>
  <si>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</si>
  <si>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</si>
  <si>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</si>
  <si>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</si>
  <si>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</si>
  <si>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</si>
  <si>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</si>
  <si>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</si>
  <si>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</si>
  <si>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</si>
  <si>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</si>
  <si>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</si>
  <si>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</si>
  <si>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</si>
  <si>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</si>
  <si>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</si>
  <si>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</si>
  <si>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</si>
  <si>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</si>
  <si>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</si>
  <si>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</si>
  <si>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</si>
  <si>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</si>
  <si>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</si>
  <si>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</si>
  <si>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</si>
  <si>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</si>
  <si>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</si>
  <si>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</si>
  <si>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</si>
  <si>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</si>
  <si>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</si>
  <si>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</si>
  <si>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</si>
  <si>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</si>
  <si>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</si>
  <si>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</si>
  <si>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</si>
  <si>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</si>
  <si>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</si>
  <si>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</si>
  <si>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</si>
  <si>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</si>
  <si>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</si>
  <si>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</si>
  <si>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</si>
  <si>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</si>
  <si>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</si>
  <si>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</si>
  <si>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</si>
  <si>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</si>
  <si>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</si>
  <si>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</si>
  <si>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</si>
  <si>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</si>
  <si>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</si>
  <si>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</si>
  <si>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</si>
  <si>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</si>
  <si>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</si>
  <si>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</si>
  <si>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</si>
  <si>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</si>
  <si>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</si>
  <si>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</si>
  <si>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</si>
  <si>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</si>
  <si>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</si>
  <si>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</si>
  <si>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</si>
  <si>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</si>
  <si>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</si>
  <si>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</si>
  <si>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</si>
  <si>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</si>
  <si>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</si>
  <si>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</si>
  <si>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</si>
  <si>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</si>
  <si>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</si>
  <si>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</si>
  <si>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</si>
  <si>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</si>
  <si>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</si>
  <si>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</si>
  <si>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</si>
  <si>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</si>
  <si>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</si>
  <si>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</si>
  <si>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</si>
  <si>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</si>
  <si>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</si>
  <si>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</si>
  <si>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</si>
  <si>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</si>
  <si>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</si>
  <si>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</si>
  <si>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</si>
  <si>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</si>
  <si>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</si>
  <si>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</si>
  <si>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</si>
  <si>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</si>
  <si>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</si>
  <si>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</si>
  <si>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</si>
  <si>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</si>
  <si>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</si>
  <si>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</si>
  <si>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</si>
  <si>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</si>
  <si>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</si>
  <si>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</si>
  <si>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</si>
  <si>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</si>
  <si>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</si>
  <si>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</si>
  <si>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</si>
  <si>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</si>
  <si>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</si>
  <si>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</si>
  <si>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</si>
  <si>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</si>
  <si>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</si>
  <si>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</si>
  <si>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</si>
  <si>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</si>
  <si>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</si>
  <si>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</si>
  <si>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</si>
  <si>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</si>
  <si>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</si>
  <si>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</si>
  <si>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</si>
  <si>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</si>
  <si>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</si>
  <si>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</si>
  <si>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</si>
  <si>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</si>
  <si>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</si>
  <si>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</si>
  <si>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</si>
  <si>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</si>
  <si>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</si>
  <si>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</si>
  <si>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</si>
  <si>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</si>
  <si>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</si>
  <si>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</si>
  <si>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</si>
  <si>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</si>
  <si>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</si>
  <si>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</si>
  <si>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</si>
  <si>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</si>
  <si>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</si>
  <si>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</si>
  <si>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</si>
  <si>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</si>
  <si>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</si>
  <si>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</si>
  <si>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</si>
  <si>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</si>
  <si>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</si>
  <si>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</si>
  <si>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</si>
  <si>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</si>
  <si>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</si>
  <si>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</si>
  <si>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</si>
  <si>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</si>
  <si>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</si>
  <si>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</si>
  <si>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</si>
  <si>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</si>
  <si>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</si>
  <si>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</si>
  <si>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</si>
  <si>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</si>
  <si>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</si>
  <si>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</si>
  <si>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</si>
  <si>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</si>
  <si>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</si>
  <si>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</si>
  <si>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</si>
  <si>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</si>
  <si>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</si>
  <si>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</si>
  <si>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</si>
  <si>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</si>
  <si>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</si>
  <si>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</si>
  <si>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</si>
  <si>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</si>
  <si>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</si>
  <si>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</si>
  <si>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</si>
  <si>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</si>
  <si>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</si>
  <si>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</si>
  <si>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</si>
  <si>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</si>
  <si>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</si>
  <si>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</si>
  <si>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</si>
  <si>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</si>
  <si>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</si>
  <si>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</si>
  <si>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</si>
  <si>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</si>
  <si>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</si>
  <si>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</si>
  <si>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</si>
  <si>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</si>
  <si>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</si>
  <si>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</si>
  <si>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</si>
  <si>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</si>
  <si>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</si>
  <si>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</si>
  <si>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</si>
  <si>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</si>
  <si>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</si>
  <si>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</si>
  <si>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</si>
  <si>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</si>
  <si>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</si>
  <si>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</si>
  <si>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</si>
  <si>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</si>
  <si>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</si>
  <si>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</si>
  <si>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</si>
  <si>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</si>
  <si>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</si>
  <si>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</si>
  <si>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</si>
  <si>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</si>
  <si>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</si>
  <si>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</si>
  <si>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</si>
  <si>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</si>
  <si>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</si>
  <si>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</si>
  <si>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</si>
  <si>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</si>
  <si>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</si>
  <si>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</si>
  <si>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</si>
  <si>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</si>
  <si>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</si>
  <si>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</si>
  <si>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</si>
  <si>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</si>
  <si>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</si>
  <si>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</si>
  <si>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</si>
  <si>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</si>
  <si>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</si>
  <si>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</si>
  <si>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</si>
  <si>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</si>
  <si>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</si>
  <si>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</si>
  <si>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</si>
  <si>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</si>
  <si>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</si>
  <si>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</si>
  <si>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</si>
  <si>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</si>
  <si>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</si>
  <si>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</si>
  <si>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</si>
  <si>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</si>
  <si>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</si>
  <si>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</si>
  <si>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</si>
  <si>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</si>
  <si>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</si>
  <si>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</si>
  <si>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</si>
  <si>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</si>
  <si>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</si>
  <si>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</si>
  <si>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</si>
  <si>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</si>
  <si>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</si>
  <si>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</si>
  <si>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</si>
  <si>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</si>
  <si>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</si>
  <si>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</si>
  <si>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</si>
  <si>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</si>
  <si>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</si>
  <si>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</si>
  <si>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</si>
  <si>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</si>
  <si>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</si>
  <si>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</si>
  <si>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</si>
  <si>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</si>
  <si>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</si>
  <si>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</si>
  <si>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</si>
  <si>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</si>
  <si>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</si>
  <si>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</si>
  <si>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</si>
  <si>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</si>
  <si>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</si>
  <si>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</si>
  <si>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</si>
  <si>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</si>
  <si>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</si>
  <si>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</si>
  <si>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</si>
  <si>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</si>
  <si>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</si>
  <si>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</si>
  <si>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</si>
  <si>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</si>
  <si>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</si>
  <si>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</si>
  <si>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</si>
  <si>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</si>
  <si>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</si>
  <si>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</si>
  <si>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</si>
  <si>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</si>
  <si>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</si>
  <si>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</si>
  <si>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</si>
  <si>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</si>
  <si>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</si>
  <si>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</si>
  <si>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</si>
  <si>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</si>
  <si>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</si>
  <si>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</si>
  <si>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</si>
  <si>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</si>
  <si>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</si>
  <si>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</si>
  <si>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</si>
  <si>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</si>
  <si>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</si>
  <si>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</si>
  <si>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</si>
  <si>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</si>
  <si>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</si>
  <si>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</si>
  <si>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</si>
  <si>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</si>
  <si>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</si>
  <si>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</si>
  <si>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</si>
  <si>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</si>
  <si>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</si>
  <si>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</si>
  <si>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</si>
  <si>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</si>
  <si>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</si>
  <si>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</si>
  <si>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</si>
  <si>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</si>
  <si>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</si>
  <si>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</si>
  <si>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</si>
  <si>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</si>
  <si>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</si>
  <si>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</si>
  <si>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</si>
  <si>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</si>
  <si>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</si>
  <si>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</si>
  <si>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</si>
  <si>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</si>
  <si>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</si>
  <si>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</si>
  <si>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</si>
  <si>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</si>
  <si>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</si>
  <si>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</si>
  <si>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</si>
  <si>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</si>
  <si>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</si>
  <si>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</si>
  <si>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</si>
  <si>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</si>
  <si>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</si>
  <si>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</si>
  <si>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</si>
  <si>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</si>
  <si>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</si>
  <si>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</si>
  <si>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</si>
  <si>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</si>
  <si>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</si>
  <si>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</si>
  <si>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</si>
  <si>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</si>
  <si>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</si>
  <si>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</si>
  <si>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</si>
  <si>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</si>
  <si>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</si>
  <si>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</si>
  <si>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</si>
  <si>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</si>
  <si>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</si>
  <si>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</si>
  <si>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</si>
  <si>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</si>
  <si>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</si>
  <si>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</si>
  <si>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</si>
  <si>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</si>
  <si>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</si>
  <si>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</si>
  <si>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</si>
  <si>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</si>
  <si>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</si>
  <si>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</si>
  <si>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</si>
  <si>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</si>
  <si>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</si>
  <si>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</si>
  <si>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</si>
  <si>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</si>
  <si>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</si>
  <si>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</si>
  <si>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</si>
  <si>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</si>
  <si>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</si>
  <si>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</si>
  <si>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</si>
  <si>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</si>
  <si>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</si>
  <si>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</si>
  <si>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</si>
  <si>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</si>
  <si>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</si>
  <si>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</si>
  <si>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</si>
  <si>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</si>
  <si>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</si>
  <si>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</si>
  <si>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</si>
  <si>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</si>
  <si>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</si>
  <si>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</si>
  <si>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</si>
  <si>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</si>
  <si>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</si>
  <si>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</si>
  <si>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</si>
  <si>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</si>
  <si>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</si>
  <si>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</si>
  <si>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</si>
  <si>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</si>
  <si>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</si>
  <si>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</si>
  <si>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</si>
  <si>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</si>
  <si>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</si>
  <si>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</si>
  <si>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</si>
  <si>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</si>
  <si>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</si>
  <si>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</si>
  <si>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</si>
  <si>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</si>
  <si>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</si>
  <si>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</si>
  <si>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</si>
  <si>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</si>
  <si>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</si>
  <si>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</si>
  <si>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</si>
  <si>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</si>
  <si>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</si>
  <si>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</si>
  <si>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</si>
  <si>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</si>
  <si>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</si>
  <si>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</si>
  <si>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</si>
  <si>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</si>
  <si>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</si>
  <si>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</si>
  <si>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</si>
  <si>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</si>
  <si>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</si>
  <si>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</si>
  <si>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</si>
  <si>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</si>
  <si>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</si>
  <si>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</si>
  <si>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</si>
  <si>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</si>
  <si>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</si>
  <si>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</si>
  <si>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</si>
  <si>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</si>
  <si>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</si>
  <si>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</si>
  <si>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</si>
  <si>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</si>
  <si>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</si>
  <si>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</si>
  <si>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</si>
  <si>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</si>
  <si>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</si>
  <si>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</si>
  <si>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</si>
  <si>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</si>
  <si>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</si>
  <si>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</si>
  <si>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</si>
  <si>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</si>
  <si>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</si>
  <si>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</si>
  <si>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</si>
  <si>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</si>
  <si>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</si>
  <si>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</si>
  <si>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</si>
  <si>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</si>
  <si>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</si>
  <si>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</si>
  <si>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</si>
  <si>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</si>
  <si>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</si>
  <si>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</si>
  <si>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</si>
  <si>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</si>
  <si>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</si>
  <si>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</si>
  <si>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</si>
  <si>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</si>
  <si>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</si>
  <si>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</si>
  <si>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</si>
  <si>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</si>
  <si>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</si>
  <si>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</si>
  <si>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</si>
  <si>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</si>
  <si>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</si>
  <si>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</si>
  <si>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</si>
  <si>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</si>
  <si>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</si>
  <si>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</si>
  <si>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</si>
  <si>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</si>
  <si>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</si>
  <si>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</si>
  <si>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</si>
  <si>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</si>
  <si>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</si>
  <si>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</si>
  <si>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</si>
  <si>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</si>
  <si>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</si>
  <si>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</si>
  <si>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</si>
  <si>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</si>
  <si>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</si>
  <si>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</si>
  <si>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</si>
  <si>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</si>
  <si>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</si>
  <si>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</si>
  <si>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</si>
  <si>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</si>
  <si>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</si>
  <si>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</si>
  <si>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</si>
  <si>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</si>
  <si>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</si>
  <si>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</si>
  <si>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</si>
  <si>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</si>
  <si>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</si>
  <si>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</si>
  <si>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</si>
  <si>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</si>
  <si>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</si>
  <si>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</si>
  <si>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</si>
  <si>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</si>
  <si>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</si>
  <si>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</si>
  <si>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</si>
  <si>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</si>
  <si>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</si>
  <si>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</si>
  <si>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</si>
  <si>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</si>
  <si>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</si>
  <si>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</si>
  <si>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</si>
  <si>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</si>
  <si>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</si>
  <si>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</si>
  <si>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</si>
  <si>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</si>
  <si>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</si>
  <si>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</si>
  <si>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</si>
  <si>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</si>
  <si>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</si>
  <si>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</si>
  <si>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</si>
  <si>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</si>
  <si>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</si>
  <si>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</si>
  <si>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</si>
  <si>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</si>
  <si>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</si>
  <si>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</si>
  <si>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</si>
  <si>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</si>
  <si>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</si>
  <si>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</si>
  <si>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</si>
  <si>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</si>
  <si>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</si>
  <si>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</si>
  <si>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</si>
  <si>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</si>
  <si>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</si>
  <si>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</si>
  <si>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</si>
  <si>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</si>
  <si>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</si>
  <si>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</si>
  <si>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</si>
  <si>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</si>
  <si>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</si>
  <si>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</si>
  <si>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</si>
  <si>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</si>
  <si>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</si>
  <si>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</si>
  <si>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</si>
  <si>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</si>
  <si>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</si>
  <si>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</si>
  <si>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</si>
  <si>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</si>
  <si>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</si>
  <si>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</si>
  <si>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</si>
  <si>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</si>
  <si>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</si>
  <si>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</si>
  <si>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</si>
  <si>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</si>
  <si>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</si>
  <si>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</si>
  <si>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</si>
  <si>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</si>
  <si>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</si>
  <si>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</si>
  <si>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</si>
  <si>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</si>
  <si>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</si>
  <si>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</si>
  <si>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</si>
  <si>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</si>
  <si>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</si>
  <si>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</si>
  <si>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</si>
  <si>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</si>
  <si>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</si>
  <si>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</si>
  <si>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</si>
  <si>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</si>
  <si>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</si>
  <si>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</si>
  <si>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</si>
  <si>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</si>
  <si>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</si>
  <si>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</si>
  <si>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</si>
  <si>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</si>
  <si>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</si>
  <si>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</si>
  <si>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</si>
  <si>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</si>
  <si>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</si>
  <si>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</si>
  <si>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</si>
  <si>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</si>
  <si>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</si>
  <si>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</si>
  <si>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</si>
  <si>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</si>
  <si>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</si>
  <si>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</si>
  <si>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</si>
  <si>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</si>
  <si>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</si>
  <si>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</si>
  <si>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</si>
  <si>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</si>
  <si>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</si>
  <si>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</si>
  <si>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</si>
  <si>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</si>
  <si>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</si>
  <si>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</si>
  <si>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</si>
  <si>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</si>
  <si>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</si>
  <si>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</si>
  <si>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</si>
  <si>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</si>
  <si>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</si>
  <si>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</si>
  <si>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</si>
  <si>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</si>
  <si>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</si>
  <si>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</si>
  <si>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</si>
  <si>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</si>
  <si>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</si>
  <si>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</si>
  <si>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</si>
  <si>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</si>
  <si>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</si>
  <si>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</si>
  <si>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</si>
  <si>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</si>
  <si>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</si>
  <si>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</si>
  <si>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</si>
  <si>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</si>
  <si>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</si>
  <si>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</si>
  <si>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</si>
  <si>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</si>
  <si>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</si>
  <si>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</si>
  <si>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</si>
  <si>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</si>
  <si>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</si>
  <si>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</si>
  <si>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</si>
  <si>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</si>
  <si>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</si>
  <si>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</si>
  <si>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</si>
  <si>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</si>
  <si>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</si>
  <si>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</si>
  <si>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</si>
  <si>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</si>
  <si>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</si>
  <si>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</si>
  <si>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</si>
  <si>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08/92</t>
  </si>
  <si>
    <t>08/02</t>
  </si>
  <si>
    <t>06/09</t>
  </si>
  <si>
    <t>07/09</t>
  </si>
  <si>
    <t>08/12</t>
  </si>
  <si>
    <t>06/14</t>
  </si>
  <si>
    <t>07/39</t>
  </si>
  <si>
    <t>"5.3-6.2</t>
  </si>
  <si>
    <t>"3.0-4.0</t>
  </si>
  <si>
    <t>07/10</t>
  </si>
  <si>
    <t>08/39</t>
  </si>
  <si>
    <t>Governor Wentworth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</si>
</sst>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A087-822B-4561-A56D-6ADC4B4C2D65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905</v>
      </c>
      <c r="B2" s="21">
        <v>208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1711563.35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10</v>
      </c>
      <c r="G10" s="18"/>
      <c r="H10" s="18"/>
      <c r="I10" s="18">
        <v>15779254.76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12984.41</v>
      </c>
      <c r="H12" s="18"/>
      <c r="I12" s="18">
        <v>810740.19</v>
      </c>
      <c r="J12" s="67">
        <f>SUM(I433)</f>
        <v>43934.1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389310.55</v>
      </c>
      <c r="G13" s="18">
        <v>50588.29</v>
      </c>
      <c r="H13" s="18">
        <v>482267.62</v>
      </c>
      <c r="I13" s="18">
        <v>994061.84</v>
      </c>
      <c r="J13" s="67">
        <f>SUM(I434)</f>
        <v>880103.8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21246.03</v>
      </c>
      <c r="G14" s="18">
        <v>6725.37</v>
      </c>
      <c r="H14" s="18">
        <v>11812.32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2122129.9299999997</v>
      </c>
      <c r="G19" s="41">
        <f>SUM(G9:G18)</f>
        <v>70298.069999999992</v>
      </c>
      <c r="H19" s="41">
        <f>SUM(H9:H18)</f>
        <v>494079.94</v>
      </c>
      <c r="I19" s="41">
        <f>SUM(I9:I18)</f>
        <v>17584056.789999999</v>
      </c>
      <c r="J19" s="41">
        <f>SUM(J9:J18)</f>
        <v>924037.9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456012.53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411646.18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>
        <v>1108281.54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109751.05</v>
      </c>
      <c r="G29" s="18">
        <v>890.55</v>
      </c>
      <c r="H29" s="18">
        <v>7233.46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1450</v>
      </c>
      <c r="G31" s="18">
        <v>13301.12</v>
      </c>
      <c r="H31" s="18">
        <v>75200.3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567213.58000000007</v>
      </c>
      <c r="G33" s="41">
        <f>SUM(G23:G32)</f>
        <v>14191.67</v>
      </c>
      <c r="H33" s="41">
        <f>SUM(H23:H32)</f>
        <v>494079.94</v>
      </c>
      <c r="I33" s="41">
        <f>SUM(I23:I32)</f>
        <v>1108281.54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293560.64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56106.400000000001</v>
      </c>
      <c r="H41" s="18"/>
      <c r="I41" s="18">
        <v>16475775.25</v>
      </c>
      <c r="J41" s="13">
        <f>SUM(I449)</f>
        <v>924037.9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1261355.71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1554916.35</v>
      </c>
      <c r="G43" s="41">
        <f>SUM(G35:G42)</f>
        <v>56106.400000000001</v>
      </c>
      <c r="H43" s="41">
        <f>SUM(H35:H42)</f>
        <v>0</v>
      </c>
      <c r="I43" s="41">
        <f>SUM(I35:I42)</f>
        <v>16475775.25</v>
      </c>
      <c r="J43" s="41">
        <f>SUM(J35:J42)</f>
        <v>924037.9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2122129.9300000002</v>
      </c>
      <c r="G44" s="41">
        <f>G43+G33</f>
        <v>70298.070000000007</v>
      </c>
      <c r="H44" s="41">
        <f>H43+H33</f>
        <v>494079.94</v>
      </c>
      <c r="I44" s="41">
        <f>I43+I33</f>
        <v>17584056.789999999</v>
      </c>
      <c r="J44" s="41">
        <f>J43+J33</f>
        <v>924037.9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20650514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20650514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41888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2531.2199999999998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5291.29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128361.2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73753.48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71867.64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323692.83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8589.94</v>
      </c>
      <c r="G88" s="18"/>
      <c r="H88" s="18"/>
      <c r="I88" s="18">
        <v>49934.19</v>
      </c>
      <c r="J88" s="18">
        <v>57608.75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505475.09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3503.89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10271.83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176.41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124372.25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146914.32</v>
      </c>
      <c r="G103" s="41">
        <f>SUM(G88:G102)</f>
        <v>505475.09</v>
      </c>
      <c r="H103" s="41">
        <f>SUM(H88:H102)</f>
        <v>0</v>
      </c>
      <c r="I103" s="41">
        <f>SUM(I88:I102)</f>
        <v>49934.19</v>
      </c>
      <c r="J103" s="41">
        <f>SUM(J88:J102)</f>
        <v>57608.75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21121121.149999999</v>
      </c>
      <c r="G104" s="41">
        <f>G52+G103</f>
        <v>505475.09</v>
      </c>
      <c r="H104" s="41">
        <f>H52+H71+H86+H103</f>
        <v>0</v>
      </c>
      <c r="I104" s="41">
        <f>I52+I103</f>
        <v>49934.19</v>
      </c>
      <c r="J104" s="41">
        <f>J52+J103</f>
        <v>57608.75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3879104.96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10319887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140694.04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286244.24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14625930.24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1708939.64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256416.68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136759.51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15402.58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27150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152870.26999999999</v>
      </c>
      <c r="I127" s="18">
        <v>5754712.2300000004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2129265.83</v>
      </c>
      <c r="G128" s="41">
        <f>SUM(G115:G127)</f>
        <v>15402.58</v>
      </c>
      <c r="H128" s="41">
        <f>SUM(H115:H127)</f>
        <v>152870.26999999999</v>
      </c>
      <c r="I128" s="41">
        <f>SUM(I115:I127)</f>
        <v>5754712.2300000004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16755196.07</v>
      </c>
      <c r="G132" s="41">
        <f>G113+SUM(G128:G129)</f>
        <v>15402.58</v>
      </c>
      <c r="H132" s="41">
        <f>H113+SUM(H128:H131)</f>
        <v>152870.26999999999</v>
      </c>
      <c r="I132" s="41">
        <f>I113+I128</f>
        <v>5754712.2300000004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1236626.69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358438.25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116421.15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103562.25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424166.5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920426.93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424166.5</v>
      </c>
      <c r="H154" s="41">
        <f>SUM(H142:H153)</f>
        <v>2735475.27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424166.5</v>
      </c>
      <c r="H161" s="41">
        <f>H139+H154+SUM(H155:H160)</f>
        <v>2735475.27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32508500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>
        <v>1724287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34232787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49934.19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49934.19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301722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301722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351656.19</v>
      </c>
      <c r="G184" s="41">
        <f>G175+SUM(G180:G183)</f>
        <v>0</v>
      </c>
      <c r="H184" s="41">
        <f>+H175+SUM(H180:H183)</f>
        <v>0</v>
      </c>
      <c r="I184" s="41">
        <f>I169+I175+SUM(I180:I183)</f>
        <v>34232787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38227973.409999996</v>
      </c>
      <c r="G185" s="47">
        <f>G104+G132+G161+G184</f>
        <v>945044.17</v>
      </c>
      <c r="H185" s="47">
        <f>H104+H132+H161+H184</f>
        <v>2888345.54</v>
      </c>
      <c r="I185" s="47">
        <f>I104+I132+I161+I184</f>
        <v>40037433.420000002</v>
      </c>
      <c r="J185" s="47">
        <f>J104+J132+J184</f>
        <v>57608.75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5363159.0999999996</v>
      </c>
      <c r="G189" s="18">
        <v>1825823.97</v>
      </c>
      <c r="H189" s="18">
        <v>237518.8</v>
      </c>
      <c r="I189" s="18">
        <v>273151.23</v>
      </c>
      <c r="J189" s="18">
        <v>78470.880000000005</v>
      </c>
      <c r="K189" s="18">
        <v>190</v>
      </c>
      <c r="L189" s="19">
        <f>SUM(F189:K189)</f>
        <v>7778313.9799999995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2315586.2999999998</v>
      </c>
      <c r="G190" s="18">
        <v>910500.6</v>
      </c>
      <c r="H190" s="18">
        <v>432901.66</v>
      </c>
      <c r="I190" s="18">
        <v>19844.21</v>
      </c>
      <c r="J190" s="18">
        <v>7895.8</v>
      </c>
      <c r="K190" s="18">
        <v>895.5</v>
      </c>
      <c r="L190" s="19">
        <f>SUM(F190:K190)</f>
        <v>3687624.07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25361.69</v>
      </c>
      <c r="G192" s="18">
        <v>4971.9799999999996</v>
      </c>
      <c r="H192" s="18"/>
      <c r="I192" s="18">
        <v>39.97</v>
      </c>
      <c r="J192" s="18"/>
      <c r="K192" s="18"/>
      <c r="L192" s="19">
        <f>SUM(F192:K192)</f>
        <v>30373.64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534310.89</v>
      </c>
      <c r="G194" s="18">
        <v>221355.01</v>
      </c>
      <c r="H194" s="18">
        <v>128092.29</v>
      </c>
      <c r="I194" s="18">
        <v>6821.83</v>
      </c>
      <c r="J194" s="18">
        <v>168</v>
      </c>
      <c r="K194" s="18">
        <v>401.45</v>
      </c>
      <c r="L194" s="19">
        <f t="shared" ref="L194:L200" si="0">SUM(F194:K194)</f>
        <v>891149.47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390561.59</v>
      </c>
      <c r="G195" s="18">
        <v>219374.39</v>
      </c>
      <c r="H195" s="18">
        <v>34290.39</v>
      </c>
      <c r="I195" s="18">
        <v>71636.240000000005</v>
      </c>
      <c r="J195" s="18">
        <v>26935.47</v>
      </c>
      <c r="K195" s="18">
        <v>99</v>
      </c>
      <c r="L195" s="19">
        <f t="shared" si="0"/>
        <v>742897.08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110123.81</v>
      </c>
      <c r="G196" s="18">
        <v>97091.54</v>
      </c>
      <c r="H196" s="18">
        <v>50893.96</v>
      </c>
      <c r="I196" s="18">
        <v>12754.96</v>
      </c>
      <c r="J196" s="18">
        <v>85.75</v>
      </c>
      <c r="K196" s="18">
        <v>4405.2299999999996</v>
      </c>
      <c r="L196" s="19">
        <f t="shared" si="0"/>
        <v>275355.24999999994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742987.82</v>
      </c>
      <c r="G197" s="18">
        <v>340210.39</v>
      </c>
      <c r="H197" s="18">
        <v>104675.82</v>
      </c>
      <c r="I197" s="18">
        <v>5505.92</v>
      </c>
      <c r="J197" s="18">
        <v>4169.95</v>
      </c>
      <c r="K197" s="18">
        <v>2437.9499999999998</v>
      </c>
      <c r="L197" s="19">
        <f t="shared" si="0"/>
        <v>1199987.8499999999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122822.84</v>
      </c>
      <c r="G198" s="18">
        <v>54335.13</v>
      </c>
      <c r="H198" s="18">
        <v>15743.37</v>
      </c>
      <c r="I198" s="18">
        <v>7800.05</v>
      </c>
      <c r="J198" s="18">
        <v>85.74</v>
      </c>
      <c r="K198" s="18">
        <v>6757.77</v>
      </c>
      <c r="L198" s="19">
        <f t="shared" si="0"/>
        <v>207544.89999999997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757478.94</v>
      </c>
      <c r="G199" s="18">
        <v>301812.82</v>
      </c>
      <c r="H199" s="18">
        <v>385892.54</v>
      </c>
      <c r="I199" s="18">
        <v>530249.75</v>
      </c>
      <c r="J199" s="18">
        <v>9433.14</v>
      </c>
      <c r="K199" s="18"/>
      <c r="L199" s="19">
        <f t="shared" si="0"/>
        <v>1984867.19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708429.84</v>
      </c>
      <c r="G200" s="18">
        <v>230670.02</v>
      </c>
      <c r="H200" s="18">
        <v>207867.19</v>
      </c>
      <c r="I200" s="18">
        <v>122288.39</v>
      </c>
      <c r="J200" s="18">
        <v>128440.22</v>
      </c>
      <c r="K200" s="18"/>
      <c r="L200" s="19">
        <f t="shared" si="0"/>
        <v>1397695.66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11070822.82</v>
      </c>
      <c r="G203" s="41">
        <f t="shared" si="1"/>
        <v>4206145.8499999996</v>
      </c>
      <c r="H203" s="41">
        <f t="shared" si="1"/>
        <v>1597876.0199999998</v>
      </c>
      <c r="I203" s="41">
        <f t="shared" si="1"/>
        <v>1050092.5499999998</v>
      </c>
      <c r="J203" s="41">
        <f t="shared" si="1"/>
        <v>255684.95</v>
      </c>
      <c r="K203" s="41">
        <f t="shared" si="1"/>
        <v>15186.9</v>
      </c>
      <c r="L203" s="41">
        <f t="shared" si="1"/>
        <v>18195809.09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2008004.01</v>
      </c>
      <c r="G207" s="18">
        <v>945375.64</v>
      </c>
      <c r="H207" s="18">
        <v>110751.66</v>
      </c>
      <c r="I207" s="18">
        <v>83516.820000000007</v>
      </c>
      <c r="J207" s="18">
        <v>105433.9</v>
      </c>
      <c r="K207" s="18">
        <v>25</v>
      </c>
      <c r="L207" s="19">
        <f>SUM(F207:K207)</f>
        <v>3253107.03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793696.86</v>
      </c>
      <c r="G208" s="18">
        <v>316514.28000000003</v>
      </c>
      <c r="H208" s="18">
        <v>75042.41</v>
      </c>
      <c r="I208" s="18">
        <v>6499.61</v>
      </c>
      <c r="J208" s="18">
        <v>5953.04</v>
      </c>
      <c r="K208" s="18">
        <v>320.2</v>
      </c>
      <c r="L208" s="19">
        <f>SUM(F208:K208)</f>
        <v>1198026.4000000001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52845.71</v>
      </c>
      <c r="G210" s="18">
        <v>8112.45</v>
      </c>
      <c r="H210" s="18">
        <v>8383.85</v>
      </c>
      <c r="I210" s="18">
        <v>5168.57</v>
      </c>
      <c r="J210" s="18">
        <v>6518.88</v>
      </c>
      <c r="K210" s="18"/>
      <c r="L210" s="19">
        <f>SUM(F210:K210)</f>
        <v>81029.459999999992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158825.14000000001</v>
      </c>
      <c r="G212" s="18">
        <v>75686.97</v>
      </c>
      <c r="H212" s="18">
        <v>45180.49</v>
      </c>
      <c r="I212" s="18">
        <v>2870.84</v>
      </c>
      <c r="J212" s="18">
        <v>1343.13</v>
      </c>
      <c r="K212" s="18"/>
      <c r="L212" s="19">
        <f t="shared" ref="L212:L218" si="2">SUM(F212:K212)</f>
        <v>283906.57000000007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68067.38</v>
      </c>
      <c r="G213" s="18">
        <v>65533.18</v>
      </c>
      <c r="H213" s="18">
        <v>11426.75</v>
      </c>
      <c r="I213" s="18">
        <v>27254.62</v>
      </c>
      <c r="J213" s="18">
        <v>17526.86</v>
      </c>
      <c r="K213" s="18">
        <v>640</v>
      </c>
      <c r="L213" s="19">
        <f t="shared" si="2"/>
        <v>190448.78999999998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67394.929999999993</v>
      </c>
      <c r="G214" s="18">
        <v>12558.6</v>
      </c>
      <c r="H214" s="18">
        <v>20215.27</v>
      </c>
      <c r="I214" s="18">
        <v>5101.9799999999996</v>
      </c>
      <c r="J214" s="18">
        <v>34.299999999999997</v>
      </c>
      <c r="K214" s="18">
        <v>1762.09</v>
      </c>
      <c r="L214" s="19">
        <f t="shared" si="2"/>
        <v>107067.17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248875.21</v>
      </c>
      <c r="G215" s="18">
        <v>118665.81</v>
      </c>
      <c r="H215" s="18">
        <v>29216.09</v>
      </c>
      <c r="I215" s="18">
        <v>2663.29</v>
      </c>
      <c r="J215" s="18"/>
      <c r="K215" s="18">
        <v>1278</v>
      </c>
      <c r="L215" s="19">
        <f t="shared" si="2"/>
        <v>400698.4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41759.65</v>
      </c>
      <c r="G216" s="18">
        <v>18866.46</v>
      </c>
      <c r="H216" s="18">
        <v>6297.35</v>
      </c>
      <c r="I216" s="18">
        <v>3120.02</v>
      </c>
      <c r="J216" s="18">
        <v>34.299999999999997</v>
      </c>
      <c r="K216" s="18">
        <v>2703.11</v>
      </c>
      <c r="L216" s="19">
        <f t="shared" si="2"/>
        <v>72780.890000000014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91048.84</v>
      </c>
      <c r="G217" s="18">
        <v>71859.710000000006</v>
      </c>
      <c r="H217" s="18">
        <v>118745.08</v>
      </c>
      <c r="I217" s="18">
        <v>144047.19</v>
      </c>
      <c r="J217" s="18">
        <v>495.62</v>
      </c>
      <c r="K217" s="18"/>
      <c r="L217" s="19">
        <f t="shared" si="2"/>
        <v>426196.44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46003.81</v>
      </c>
      <c r="G218" s="18">
        <v>91130.13</v>
      </c>
      <c r="H218" s="18">
        <v>52352.87</v>
      </c>
      <c r="I218" s="18">
        <v>53297.66</v>
      </c>
      <c r="J218" s="18">
        <v>51376.09</v>
      </c>
      <c r="K218" s="18"/>
      <c r="L218" s="19">
        <f t="shared" si="2"/>
        <v>294160.56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3576521.54</v>
      </c>
      <c r="G221" s="41">
        <f>SUM(G207:G220)</f>
        <v>1724303.23</v>
      </c>
      <c r="H221" s="41">
        <f>SUM(H207:H220)</f>
        <v>477611.82</v>
      </c>
      <c r="I221" s="41">
        <f>SUM(I207:I220)</f>
        <v>333540.59999999998</v>
      </c>
      <c r="J221" s="41">
        <f>SUM(J207:J220)</f>
        <v>188716.11999999997</v>
      </c>
      <c r="K221" s="41">
        <f t="shared" si="3"/>
        <v>6728.4</v>
      </c>
      <c r="L221" s="41">
        <f t="shared" si="3"/>
        <v>6307421.71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2971084.3</v>
      </c>
      <c r="G225" s="18">
        <v>1541884.52</v>
      </c>
      <c r="H225" s="18">
        <v>540007.14</v>
      </c>
      <c r="I225" s="18">
        <v>180734.78</v>
      </c>
      <c r="J225" s="18">
        <v>183587.17</v>
      </c>
      <c r="K225" s="18"/>
      <c r="L225" s="19">
        <f>SUM(F225:K225)</f>
        <v>5417297.9100000001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849308.31</v>
      </c>
      <c r="G226" s="18">
        <v>511345.51</v>
      </c>
      <c r="H226" s="18">
        <v>633320.25</v>
      </c>
      <c r="I226" s="18">
        <v>5948.64</v>
      </c>
      <c r="J226" s="18">
        <v>993.35</v>
      </c>
      <c r="K226" s="18">
        <v>480.3</v>
      </c>
      <c r="L226" s="19">
        <f>SUM(F226:K226)</f>
        <v>2001396.36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643032.38</v>
      </c>
      <c r="G227" s="18">
        <v>284608.39</v>
      </c>
      <c r="H227" s="18">
        <v>8032.84</v>
      </c>
      <c r="I227" s="18">
        <v>40548.6</v>
      </c>
      <c r="J227" s="18">
        <v>42093.24</v>
      </c>
      <c r="K227" s="18">
        <v>650</v>
      </c>
      <c r="L227" s="19">
        <f>SUM(F227:K227)</f>
        <v>1018965.45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261855.59</v>
      </c>
      <c r="G228" s="18">
        <v>34009.21</v>
      </c>
      <c r="H228" s="18">
        <v>150229.01</v>
      </c>
      <c r="I228" s="18">
        <v>13532.52</v>
      </c>
      <c r="J228" s="18">
        <v>25973.65</v>
      </c>
      <c r="K228" s="18">
        <v>7747.85</v>
      </c>
      <c r="L228" s="19">
        <f>SUM(F228:K228)</f>
        <v>493347.83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357926.75</v>
      </c>
      <c r="G230" s="18">
        <v>148836.04</v>
      </c>
      <c r="H230" s="18">
        <v>50749.23</v>
      </c>
      <c r="I230" s="18">
        <v>4660.22</v>
      </c>
      <c r="J230" s="18">
        <v>1543.85</v>
      </c>
      <c r="K230" s="18">
        <v>105</v>
      </c>
      <c r="L230" s="19">
        <f t="shared" ref="L230:L236" si="4">SUM(F230:K230)</f>
        <v>563821.09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187429.44</v>
      </c>
      <c r="G231" s="18">
        <v>126633.82</v>
      </c>
      <c r="H231" s="18">
        <v>30909.77</v>
      </c>
      <c r="I231" s="18">
        <v>53410.35</v>
      </c>
      <c r="J231" s="18">
        <v>27807.22</v>
      </c>
      <c r="K231" s="18">
        <v>1398.5</v>
      </c>
      <c r="L231" s="19">
        <f t="shared" si="4"/>
        <v>427589.1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130825.53</v>
      </c>
      <c r="G232" s="18">
        <v>59953.21</v>
      </c>
      <c r="H232" s="18">
        <v>30322.9</v>
      </c>
      <c r="I232" s="18">
        <v>7652.97</v>
      </c>
      <c r="J232" s="18">
        <v>51.45</v>
      </c>
      <c r="K232" s="18">
        <v>2643.14</v>
      </c>
      <c r="L232" s="19">
        <f t="shared" si="4"/>
        <v>231449.2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400759.01</v>
      </c>
      <c r="G233" s="18">
        <v>208169.7</v>
      </c>
      <c r="H233" s="18">
        <v>78999.8</v>
      </c>
      <c r="I233" s="18">
        <v>29248.3</v>
      </c>
      <c r="J233" s="18">
        <v>1894.91</v>
      </c>
      <c r="K233" s="18">
        <v>4676</v>
      </c>
      <c r="L233" s="19">
        <f t="shared" si="4"/>
        <v>723747.72000000009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81062.45</v>
      </c>
      <c r="G234" s="18">
        <v>36094.300000000003</v>
      </c>
      <c r="H234" s="18">
        <v>9446.02</v>
      </c>
      <c r="I234" s="18">
        <v>9404.7800000000007</v>
      </c>
      <c r="J234" s="18">
        <v>51.44</v>
      </c>
      <c r="K234" s="18">
        <v>4054.66</v>
      </c>
      <c r="L234" s="19">
        <f t="shared" si="4"/>
        <v>140113.65000000002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328247.94</v>
      </c>
      <c r="G235" s="18">
        <v>173266.63</v>
      </c>
      <c r="H235" s="18">
        <v>309795.21000000002</v>
      </c>
      <c r="I235" s="18">
        <v>390129.29</v>
      </c>
      <c r="J235" s="18">
        <v>8095.82</v>
      </c>
      <c r="K235" s="18"/>
      <c r="L235" s="19">
        <f t="shared" si="4"/>
        <v>1209534.8900000001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100950.8</v>
      </c>
      <c r="G236" s="18">
        <v>59153.49</v>
      </c>
      <c r="H236" s="18">
        <v>207401.12</v>
      </c>
      <c r="I236" s="18">
        <v>92633.68</v>
      </c>
      <c r="J236" s="18">
        <v>77064.13</v>
      </c>
      <c r="K236" s="18"/>
      <c r="L236" s="19">
        <f t="shared" si="4"/>
        <v>537203.22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6312482.5000000009</v>
      </c>
      <c r="G239" s="41">
        <f t="shared" si="5"/>
        <v>3183954.82</v>
      </c>
      <c r="H239" s="41">
        <f t="shared" si="5"/>
        <v>2049213.29</v>
      </c>
      <c r="I239" s="41">
        <f t="shared" si="5"/>
        <v>827904.12999999989</v>
      </c>
      <c r="J239" s="41">
        <f t="shared" si="5"/>
        <v>369156.23</v>
      </c>
      <c r="K239" s="41">
        <f t="shared" si="5"/>
        <v>21755.45</v>
      </c>
      <c r="L239" s="41">
        <f t="shared" si="5"/>
        <v>12764466.420000002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11560.92</v>
      </c>
      <c r="G243" s="18">
        <v>1810.4</v>
      </c>
      <c r="H243" s="18"/>
      <c r="I243" s="18"/>
      <c r="J243" s="18"/>
      <c r="K243" s="18"/>
      <c r="L243" s="19">
        <f t="shared" si="6"/>
        <v>13371.32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3819.46</v>
      </c>
      <c r="G245" s="18">
        <v>479.18</v>
      </c>
      <c r="H245" s="18"/>
      <c r="I245" s="18">
        <v>5702.26</v>
      </c>
      <c r="J245" s="18"/>
      <c r="K245" s="18"/>
      <c r="L245" s="19">
        <f t="shared" si="6"/>
        <v>10000.900000000001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144245</v>
      </c>
      <c r="K247" s="18"/>
      <c r="L247" s="19">
        <f t="shared" si="6"/>
        <v>144245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15380.380000000001</v>
      </c>
      <c r="G248" s="41">
        <f t="shared" si="7"/>
        <v>2289.58</v>
      </c>
      <c r="H248" s="41">
        <f t="shared" si="7"/>
        <v>0</v>
      </c>
      <c r="I248" s="41">
        <f t="shared" si="7"/>
        <v>5702.26</v>
      </c>
      <c r="J248" s="41">
        <f t="shared" si="7"/>
        <v>144245</v>
      </c>
      <c r="K248" s="41">
        <f t="shared" si="7"/>
        <v>0</v>
      </c>
      <c r="L248" s="41">
        <f>SUM(F248:K248)</f>
        <v>167617.22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20975207.239999998</v>
      </c>
      <c r="G249" s="41">
        <f t="shared" si="8"/>
        <v>9116693.4800000004</v>
      </c>
      <c r="H249" s="41">
        <f t="shared" si="8"/>
        <v>4124701.13</v>
      </c>
      <c r="I249" s="41">
        <f t="shared" si="8"/>
        <v>2217239.5399999996</v>
      </c>
      <c r="J249" s="41">
        <f t="shared" si="8"/>
        <v>957802.29999999993</v>
      </c>
      <c r="K249" s="41">
        <f t="shared" si="8"/>
        <v>43670.75</v>
      </c>
      <c r="L249" s="41">
        <f t="shared" si="8"/>
        <v>37435314.439999998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2777512.29</v>
      </c>
      <c r="L252" s="19">
        <f>SUM(F252:K252)</f>
        <v>2777512.29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149980.81</v>
      </c>
      <c r="L253" s="19">
        <f>SUM(F253:K253)</f>
        <v>149980.81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2927493.1</v>
      </c>
      <c r="L262" s="41">
        <f t="shared" si="9"/>
        <v>2927493.1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20975207.239999998</v>
      </c>
      <c r="G263" s="42">
        <f t="shared" si="11"/>
        <v>9116693.4800000004</v>
      </c>
      <c r="H263" s="42">
        <f t="shared" si="11"/>
        <v>4124701.13</v>
      </c>
      <c r="I263" s="42">
        <f t="shared" si="11"/>
        <v>2217239.5399999996</v>
      </c>
      <c r="J263" s="42">
        <f t="shared" si="11"/>
        <v>957802.29999999993</v>
      </c>
      <c r="K263" s="42">
        <f t="shared" si="11"/>
        <v>2971163.85</v>
      </c>
      <c r="L263" s="42">
        <f t="shared" si="11"/>
        <v>40362807.539999999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321214.82</v>
      </c>
      <c r="G268" s="18">
        <v>147382.94</v>
      </c>
      <c r="H268" s="18">
        <v>75816.13</v>
      </c>
      <c r="I268" s="18">
        <v>42078.34</v>
      </c>
      <c r="J268" s="18">
        <v>28565.01</v>
      </c>
      <c r="K268" s="18">
        <v>3271.73</v>
      </c>
      <c r="L268" s="19">
        <f>SUM(F268:K268)</f>
        <v>618328.97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217086.47</v>
      </c>
      <c r="G269" s="18">
        <v>109560.54</v>
      </c>
      <c r="H269" s="18">
        <v>21981.25</v>
      </c>
      <c r="I269" s="18">
        <v>5341.77</v>
      </c>
      <c r="J269" s="18">
        <v>72824.820000000007</v>
      </c>
      <c r="K269" s="18"/>
      <c r="L269" s="19">
        <f>SUM(F269:K269)</f>
        <v>426794.85000000003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44767.98</v>
      </c>
      <c r="I274" s="18">
        <v>10411.41</v>
      </c>
      <c r="J274" s="18">
        <v>2050</v>
      </c>
      <c r="K274" s="18"/>
      <c r="L274" s="19">
        <f t="shared" si="12"/>
        <v>57229.39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758.45</v>
      </c>
      <c r="G279" s="18">
        <v>110.8</v>
      </c>
      <c r="H279" s="18">
        <v>912</v>
      </c>
      <c r="I279" s="18"/>
      <c r="J279" s="18"/>
      <c r="K279" s="18"/>
      <c r="L279" s="19">
        <f t="shared" si="12"/>
        <v>1781.25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539059.74</v>
      </c>
      <c r="G282" s="42">
        <f t="shared" si="13"/>
        <v>257054.27999999997</v>
      </c>
      <c r="H282" s="42">
        <f t="shared" si="13"/>
        <v>143477.36000000002</v>
      </c>
      <c r="I282" s="42">
        <f t="shared" si="13"/>
        <v>57831.520000000004</v>
      </c>
      <c r="J282" s="42">
        <f t="shared" si="13"/>
        <v>103439.83</v>
      </c>
      <c r="K282" s="42">
        <f t="shared" si="13"/>
        <v>3271.73</v>
      </c>
      <c r="L282" s="41">
        <f t="shared" si="13"/>
        <v>1104134.46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398895.7</v>
      </c>
      <c r="G287" s="18">
        <v>156078.64000000001</v>
      </c>
      <c r="H287" s="18">
        <v>161325.19</v>
      </c>
      <c r="I287" s="18">
        <v>38198.07</v>
      </c>
      <c r="J287" s="18">
        <v>85571.57</v>
      </c>
      <c r="K287" s="18">
        <v>9815.19</v>
      </c>
      <c r="L287" s="19">
        <f>SUM(F287:K287)</f>
        <v>849884.35999999987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86834.59</v>
      </c>
      <c r="G288" s="18">
        <v>43824.21</v>
      </c>
      <c r="H288" s="18">
        <v>8792.5</v>
      </c>
      <c r="I288" s="18">
        <v>2136.71</v>
      </c>
      <c r="J288" s="18">
        <v>29129.93</v>
      </c>
      <c r="K288" s="18"/>
      <c r="L288" s="19">
        <f>SUM(F288:K288)</f>
        <v>170717.93999999997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24419.57</v>
      </c>
      <c r="I293" s="18">
        <v>2964.56</v>
      </c>
      <c r="J293" s="18">
        <v>820</v>
      </c>
      <c r="K293" s="18"/>
      <c r="L293" s="19">
        <f t="shared" si="14"/>
        <v>28204.13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2275.35</v>
      </c>
      <c r="G298" s="18">
        <v>332.41</v>
      </c>
      <c r="H298" s="18">
        <v>2736</v>
      </c>
      <c r="I298" s="18"/>
      <c r="J298" s="18"/>
      <c r="K298" s="18"/>
      <c r="L298" s="19">
        <f t="shared" si="14"/>
        <v>5343.76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488005.64</v>
      </c>
      <c r="G301" s="42">
        <f t="shared" si="15"/>
        <v>200235.26</v>
      </c>
      <c r="H301" s="42">
        <f t="shared" si="15"/>
        <v>197273.26</v>
      </c>
      <c r="I301" s="42">
        <f t="shared" si="15"/>
        <v>43299.34</v>
      </c>
      <c r="J301" s="42">
        <f t="shared" si="15"/>
        <v>115521.5</v>
      </c>
      <c r="K301" s="42">
        <f t="shared" si="15"/>
        <v>9815.19</v>
      </c>
      <c r="L301" s="41">
        <f t="shared" si="15"/>
        <v>1054150.1899999997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1252.5</v>
      </c>
      <c r="G306" s="18">
        <v>167.35</v>
      </c>
      <c r="H306" s="18">
        <v>911.1</v>
      </c>
      <c r="I306" s="18">
        <v>13926.38</v>
      </c>
      <c r="J306" s="18">
        <v>28.5</v>
      </c>
      <c r="K306" s="18"/>
      <c r="L306" s="19">
        <f>SUM(F306:K306)</f>
        <v>16285.829999999998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130251.88</v>
      </c>
      <c r="G307" s="18">
        <v>65736.320000000007</v>
      </c>
      <c r="H307" s="18">
        <v>13188.75</v>
      </c>
      <c r="I307" s="18">
        <v>3205.06</v>
      </c>
      <c r="J307" s="18">
        <v>43694.89</v>
      </c>
      <c r="K307" s="18"/>
      <c r="L307" s="19">
        <f>SUM(F307:K307)</f>
        <v>256076.90000000002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50539.81</v>
      </c>
      <c r="G308" s="18">
        <v>21963.88</v>
      </c>
      <c r="H308" s="18">
        <v>16033.83</v>
      </c>
      <c r="I308" s="18"/>
      <c r="J308" s="18">
        <v>24491.200000000001</v>
      </c>
      <c r="K308" s="18"/>
      <c r="L308" s="19">
        <f>SUM(F308:K308)</f>
        <v>113028.72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21752.36</v>
      </c>
      <c r="I312" s="18">
        <v>4446.8500000000004</v>
      </c>
      <c r="J312" s="18">
        <v>1230</v>
      </c>
      <c r="K312" s="18">
        <v>3392.43</v>
      </c>
      <c r="L312" s="19">
        <f t="shared" si="16"/>
        <v>30821.64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182044.19</v>
      </c>
      <c r="G320" s="42">
        <f t="shared" si="17"/>
        <v>87867.550000000017</v>
      </c>
      <c r="H320" s="42">
        <f t="shared" si="17"/>
        <v>51886.04</v>
      </c>
      <c r="I320" s="42">
        <f t="shared" si="17"/>
        <v>21578.29</v>
      </c>
      <c r="J320" s="42">
        <f t="shared" si="17"/>
        <v>69444.59</v>
      </c>
      <c r="K320" s="42">
        <f t="shared" si="17"/>
        <v>3392.43</v>
      </c>
      <c r="L320" s="41">
        <f t="shared" si="17"/>
        <v>416213.09000000008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103576.52</v>
      </c>
      <c r="G325" s="18">
        <v>60310.04</v>
      </c>
      <c r="H325" s="18">
        <v>28734.21</v>
      </c>
      <c r="I325" s="18">
        <v>4981.57</v>
      </c>
      <c r="J325" s="18"/>
      <c r="K325" s="18">
        <v>1363.62</v>
      </c>
      <c r="L325" s="19">
        <f t="shared" si="18"/>
        <v>198965.96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63952.34</v>
      </c>
      <c r="G327" s="18">
        <v>38815.199999999997</v>
      </c>
      <c r="H327" s="18">
        <v>6238.48</v>
      </c>
      <c r="I327" s="18">
        <v>1252.82</v>
      </c>
      <c r="J327" s="18">
        <v>2875</v>
      </c>
      <c r="K327" s="18">
        <v>1748</v>
      </c>
      <c r="L327" s="19">
        <f t="shared" si="18"/>
        <v>114881.84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167528.85999999999</v>
      </c>
      <c r="G329" s="41">
        <f t="shared" si="19"/>
        <v>99125.239999999991</v>
      </c>
      <c r="H329" s="41">
        <f t="shared" si="19"/>
        <v>34972.69</v>
      </c>
      <c r="I329" s="41">
        <f t="shared" si="19"/>
        <v>6234.3899999999994</v>
      </c>
      <c r="J329" s="41">
        <f t="shared" si="19"/>
        <v>2875</v>
      </c>
      <c r="K329" s="41">
        <f t="shared" si="19"/>
        <v>3111.62</v>
      </c>
      <c r="L329" s="41">
        <f t="shared" si="18"/>
        <v>313847.8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1376638.4300000002</v>
      </c>
      <c r="G330" s="41">
        <f t="shared" si="20"/>
        <v>644282.32999999996</v>
      </c>
      <c r="H330" s="41">
        <f t="shared" si="20"/>
        <v>427609.35</v>
      </c>
      <c r="I330" s="41">
        <f t="shared" si="20"/>
        <v>128943.54</v>
      </c>
      <c r="J330" s="41">
        <f t="shared" si="20"/>
        <v>291280.92000000004</v>
      </c>
      <c r="K330" s="41">
        <f t="shared" si="20"/>
        <v>19590.969999999998</v>
      </c>
      <c r="L330" s="41">
        <f t="shared" si="20"/>
        <v>2888345.5399999991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1376638.4300000002</v>
      </c>
      <c r="G344" s="41">
        <f>G330</f>
        <v>644282.32999999996</v>
      </c>
      <c r="H344" s="41">
        <f>H330</f>
        <v>427609.35</v>
      </c>
      <c r="I344" s="41">
        <f>I330</f>
        <v>128943.54</v>
      </c>
      <c r="J344" s="41">
        <f>J330</f>
        <v>291280.92000000004</v>
      </c>
      <c r="K344" s="47">
        <f>K330+K343</f>
        <v>19590.969999999998</v>
      </c>
      <c r="L344" s="41">
        <f>L330+L343</f>
        <v>2888345.5399999991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219090.84</v>
      </c>
      <c r="G350" s="18">
        <v>27052.44</v>
      </c>
      <c r="H350" s="18">
        <v>7735.44</v>
      </c>
      <c r="I350" s="18">
        <v>226345.34</v>
      </c>
      <c r="J350" s="18">
        <v>17630.82</v>
      </c>
      <c r="K350" s="18"/>
      <c r="L350" s="13">
        <f>SUM(F350:K350)</f>
        <v>497854.88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87636.34</v>
      </c>
      <c r="G351" s="18">
        <v>10820.98</v>
      </c>
      <c r="H351" s="18">
        <v>3094.18</v>
      </c>
      <c r="I351" s="18">
        <v>90538.13</v>
      </c>
      <c r="J351" s="18">
        <v>7052.33</v>
      </c>
      <c r="K351" s="18"/>
      <c r="L351" s="19">
        <f>SUM(F351:K351)</f>
        <v>199141.96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131454.5</v>
      </c>
      <c r="G352" s="18">
        <v>16231.46</v>
      </c>
      <c r="H352" s="18">
        <v>4641.26</v>
      </c>
      <c r="I352" s="18">
        <v>135807.20000000001</v>
      </c>
      <c r="J352" s="18">
        <v>10578.49</v>
      </c>
      <c r="K352" s="18"/>
      <c r="L352" s="19">
        <f>SUM(F352:K352)</f>
        <v>298712.91000000003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438181.68</v>
      </c>
      <c r="G354" s="47">
        <f t="shared" si="22"/>
        <v>54104.88</v>
      </c>
      <c r="H354" s="47">
        <f t="shared" si="22"/>
        <v>15470.88</v>
      </c>
      <c r="I354" s="47">
        <f t="shared" si="22"/>
        <v>452690.67</v>
      </c>
      <c r="J354" s="47">
        <f t="shared" si="22"/>
        <v>35261.64</v>
      </c>
      <c r="K354" s="47">
        <f t="shared" si="22"/>
        <v>0</v>
      </c>
      <c r="L354" s="47">
        <f t="shared" si="22"/>
        <v>995709.75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208026.7</v>
      </c>
      <c r="G359" s="18">
        <v>83210.67</v>
      </c>
      <c r="H359" s="18">
        <v>124816.02</v>
      </c>
      <c r="I359" s="56">
        <f>SUM(F359:H359)</f>
        <v>416053.39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18318.64</v>
      </c>
      <c r="G360" s="63">
        <v>7327.46</v>
      </c>
      <c r="H360" s="63">
        <v>10991.18</v>
      </c>
      <c r="I360" s="56">
        <f>SUM(F360:H360)</f>
        <v>36637.279999999999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226345.34000000003</v>
      </c>
      <c r="G361" s="47">
        <f>SUM(G359:G360)</f>
        <v>90538.13</v>
      </c>
      <c r="H361" s="47">
        <f>SUM(H359:H360)</f>
        <v>135807.20000000001</v>
      </c>
      <c r="I361" s="47">
        <f>SUM(I359:I360)</f>
        <v>452690.67000000004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>
        <v>23325</v>
      </c>
      <c r="K367" s="18"/>
      <c r="L367" s="13">
        <f t="shared" ref="L367:L373" si="23">SUM(F367:K367)</f>
        <v>23325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630180.1</v>
      </c>
      <c r="I368" s="18"/>
      <c r="J368" s="18"/>
      <c r="K368" s="18"/>
      <c r="L368" s="13">
        <f t="shared" si="23"/>
        <v>630180.1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>
        <v>35707024.670000002</v>
      </c>
      <c r="K370" s="18">
        <v>9405.74</v>
      </c>
      <c r="L370" s="13">
        <f t="shared" si="23"/>
        <v>35716430.410000004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40274.120000000003</v>
      </c>
      <c r="I371" s="18"/>
      <c r="J371" s="18"/>
      <c r="K371" s="18"/>
      <c r="L371" s="13">
        <f t="shared" si="23"/>
        <v>40274.120000000003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49934.19</v>
      </c>
      <c r="L373" s="13">
        <f t="shared" si="23"/>
        <v>49934.19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670454.22</v>
      </c>
      <c r="I374" s="41">
        <f t="shared" si="24"/>
        <v>0</v>
      </c>
      <c r="J374" s="47">
        <f t="shared" si="24"/>
        <v>35730349.670000002</v>
      </c>
      <c r="K374" s="47">
        <f t="shared" si="24"/>
        <v>59339.93</v>
      </c>
      <c r="L374" s="47">
        <f t="shared" si="24"/>
        <v>36460143.82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3372.91</v>
      </c>
      <c r="I388" s="18"/>
      <c r="J388" s="24" t="s">
        <v>312</v>
      </c>
      <c r="K388" s="24" t="s">
        <v>312</v>
      </c>
      <c r="L388" s="56">
        <f t="shared" si="26"/>
        <v>3372.91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3581.28</v>
      </c>
      <c r="I389" s="18"/>
      <c r="J389" s="24" t="s">
        <v>312</v>
      </c>
      <c r="K389" s="24" t="s">
        <v>312</v>
      </c>
      <c r="L389" s="56">
        <f t="shared" si="26"/>
        <v>3581.28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50654.559999999998</v>
      </c>
      <c r="I392" s="18"/>
      <c r="J392" s="24" t="s">
        <v>312</v>
      </c>
      <c r="K392" s="24" t="s">
        <v>312</v>
      </c>
      <c r="L392" s="56">
        <f t="shared" si="26"/>
        <v>50654.559999999998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57608.75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57608.75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57608.75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57608.75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5786</v>
      </c>
      <c r="I418" s="18"/>
      <c r="J418" s="18"/>
      <c r="K418" s="18">
        <v>301722</v>
      </c>
      <c r="L418" s="56">
        <f t="shared" si="29"/>
        <v>307508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5786</v>
      </c>
      <c r="I419" s="47">
        <f t="shared" si="30"/>
        <v>0</v>
      </c>
      <c r="J419" s="47">
        <f t="shared" si="30"/>
        <v>0</v>
      </c>
      <c r="K419" s="47">
        <f t="shared" si="30"/>
        <v>301722</v>
      </c>
      <c r="L419" s="47">
        <f t="shared" si="30"/>
        <v>307508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5786</v>
      </c>
      <c r="I426" s="47">
        <f t="shared" si="32"/>
        <v>0</v>
      </c>
      <c r="J426" s="47">
        <f t="shared" si="32"/>
        <v>0</v>
      </c>
      <c r="K426" s="47">
        <f t="shared" si="32"/>
        <v>301722</v>
      </c>
      <c r="L426" s="47">
        <f t="shared" si="32"/>
        <v>307508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43934.1</v>
      </c>
      <c r="H433" s="18"/>
      <c r="I433" s="56">
        <f t="shared" si="33"/>
        <v>43934.1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880103.8</v>
      </c>
      <c r="H434" s="18"/>
      <c r="I434" s="56">
        <f t="shared" si="33"/>
        <v>880103.8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924037.9</v>
      </c>
      <c r="H438" s="13">
        <f>SUM(H431:H437)</f>
        <v>0</v>
      </c>
      <c r="I438" s="13">
        <f>SUM(I431:I437)</f>
        <v>924037.9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924037.9</v>
      </c>
      <c r="H449" s="18"/>
      <c r="I449" s="56">
        <f>SUM(F449:H449)</f>
        <v>924037.9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924037.9</v>
      </c>
      <c r="H450" s="83">
        <f>SUM(H446:H449)</f>
        <v>0</v>
      </c>
      <c r="I450" s="83">
        <f>SUM(I446:I449)</f>
        <v>924037.9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924037.9</v>
      </c>
      <c r="H451" s="42">
        <f>H444+H450</f>
        <v>0</v>
      </c>
      <c r="I451" s="42">
        <f>I444+I450</f>
        <v>924037.9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3689750.48</v>
      </c>
      <c r="G455" s="18">
        <v>106771.98</v>
      </c>
      <c r="H455" s="18"/>
      <c r="I455" s="18">
        <v>12898485.65</v>
      </c>
      <c r="J455" s="18">
        <v>1173937.1499999999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38227973.409999996</v>
      </c>
      <c r="G458" s="18">
        <v>945044.17</v>
      </c>
      <c r="H458" s="18">
        <v>2888345.54</v>
      </c>
      <c r="I458" s="18">
        <v>40037433.420000002</v>
      </c>
      <c r="J458" s="18">
        <v>57608.75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38227973.409999996</v>
      </c>
      <c r="G460" s="53">
        <f>SUM(G458:G459)</f>
        <v>945044.17</v>
      </c>
      <c r="H460" s="53">
        <f>SUM(H458:H459)</f>
        <v>2888345.54</v>
      </c>
      <c r="I460" s="53">
        <f>SUM(I458:I459)</f>
        <v>40037433.420000002</v>
      </c>
      <c r="J460" s="53">
        <f>SUM(J458:J459)</f>
        <v>57608.75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40362807.539999999</v>
      </c>
      <c r="G462" s="18">
        <v>995709.75</v>
      </c>
      <c r="H462" s="18">
        <v>2888345.54</v>
      </c>
      <c r="I462" s="18">
        <v>36460143.82</v>
      </c>
      <c r="J462" s="18">
        <v>307508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40362807.539999999</v>
      </c>
      <c r="G464" s="53">
        <f>SUM(G462:G463)</f>
        <v>995709.75</v>
      </c>
      <c r="H464" s="53">
        <f>SUM(H462:H463)</f>
        <v>2888345.54</v>
      </c>
      <c r="I464" s="53">
        <f>SUM(I462:I463)</f>
        <v>36460143.82</v>
      </c>
      <c r="J464" s="53">
        <f>SUM(J462:J463)</f>
        <v>307508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1554916.349999994</v>
      </c>
      <c r="G466" s="53">
        <f>(G455+G460)- G464</f>
        <v>56106.40000000014</v>
      </c>
      <c r="H466" s="53">
        <f>(H455+H460)- H464</f>
        <v>0</v>
      </c>
      <c r="I466" s="53">
        <f>(I455+I460)- I464</f>
        <v>16475775.25</v>
      </c>
      <c r="J466" s="53">
        <f>(J455+J460)- J464</f>
        <v>924037.89999999991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5</v>
      </c>
      <c r="I480" s="154">
        <v>30</v>
      </c>
      <c r="J480" s="154">
        <v>30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 t="s">
        <v>903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898</v>
      </c>
      <c r="H482" s="155" t="s">
        <v>899</v>
      </c>
      <c r="I482" s="155" t="s">
        <v>900</v>
      </c>
      <c r="J482" s="155" t="s">
        <v>904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2717849</v>
      </c>
      <c r="G483" s="18">
        <v>2996343</v>
      </c>
      <c r="H483" s="18">
        <v>325000</v>
      </c>
      <c r="I483" s="18">
        <v>25000000</v>
      </c>
      <c r="J483" s="18">
        <v>32508500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901</v>
      </c>
      <c r="G484" s="18" t="s">
        <v>902</v>
      </c>
      <c r="H484" s="18">
        <v>3.61</v>
      </c>
      <c r="I484" s="18">
        <v>4.3</v>
      </c>
      <c r="J484" s="18">
        <v>4.46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405000</v>
      </c>
      <c r="G485" s="18">
        <v>885000</v>
      </c>
      <c r="H485" s="18">
        <v>260000</v>
      </c>
      <c r="I485" s="18">
        <v>24713715.48</v>
      </c>
      <c r="J485" s="18"/>
      <c r="K485" s="53">
        <f>SUM(F485:J485)</f>
        <v>26263715.48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>
        <v>32508500</v>
      </c>
      <c r="K486" s="53">
        <f t="shared" ref="K486:K493" si="34">SUM(F486:J486)</f>
        <v>32508500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135000</v>
      </c>
      <c r="G487" s="18">
        <v>295000</v>
      </c>
      <c r="H487" s="18">
        <v>65000</v>
      </c>
      <c r="I487" s="18">
        <v>1431194.75</v>
      </c>
      <c r="J487" s="18">
        <v>851317.54</v>
      </c>
      <c r="K487" s="53">
        <f t="shared" si="34"/>
        <v>2777512.29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270000</v>
      </c>
      <c r="G488" s="205">
        <v>590000</v>
      </c>
      <c r="H488" s="205">
        <v>195000</v>
      </c>
      <c r="I488" s="205">
        <v>23282520.73</v>
      </c>
      <c r="J488" s="205">
        <v>31657182.460000001</v>
      </c>
      <c r="K488" s="206">
        <f t="shared" si="34"/>
        <v>55994703.189999998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16740</v>
      </c>
      <c r="G489" s="18">
        <v>23600</v>
      </c>
      <c r="H489" s="18">
        <v>14079</v>
      </c>
      <c r="I489" s="18">
        <v>20138107.059999999</v>
      </c>
      <c r="J489" s="18">
        <v>29367818.789999999</v>
      </c>
      <c r="K489" s="53">
        <f t="shared" si="34"/>
        <v>49560344.849999994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286740</v>
      </c>
      <c r="G490" s="42">
        <f>SUM(G488:G489)</f>
        <v>613600</v>
      </c>
      <c r="H490" s="42">
        <f>SUM(H488:H489)</f>
        <v>209079</v>
      </c>
      <c r="I490" s="42">
        <f>SUM(I488:I489)</f>
        <v>43420627.789999999</v>
      </c>
      <c r="J490" s="42">
        <f>SUM(J488:J489)</f>
        <v>61025001.25</v>
      </c>
      <c r="K490" s="42">
        <f t="shared" si="34"/>
        <v>105555048.03999999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135000</v>
      </c>
      <c r="G491" s="205">
        <v>295000</v>
      </c>
      <c r="H491" s="205">
        <v>65000</v>
      </c>
      <c r="I491" s="205">
        <v>1370172.09</v>
      </c>
      <c r="J491" s="205">
        <v>1981039.56</v>
      </c>
      <c r="K491" s="206">
        <f t="shared" si="34"/>
        <v>3846211.6500000004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12555</v>
      </c>
      <c r="G492" s="18">
        <v>17700</v>
      </c>
      <c r="H492" s="18">
        <v>7039.5</v>
      </c>
      <c r="I492" s="18">
        <v>126809.91</v>
      </c>
      <c r="J492" s="18">
        <v>121717.94</v>
      </c>
      <c r="K492" s="53">
        <f t="shared" si="34"/>
        <v>285822.34999999998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147555</v>
      </c>
      <c r="G493" s="42">
        <f>SUM(G491:G492)</f>
        <v>312700</v>
      </c>
      <c r="H493" s="42">
        <f>SUM(H491:H492)</f>
        <v>72039.5</v>
      </c>
      <c r="I493" s="42">
        <f>SUM(I491:I492)</f>
        <v>1496982</v>
      </c>
      <c r="J493" s="42">
        <f>SUM(J491:J492)</f>
        <v>2102757.5</v>
      </c>
      <c r="K493" s="42">
        <f t="shared" si="34"/>
        <v>4132034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771606</v>
      </c>
      <c r="G497" s="144">
        <v>36630</v>
      </c>
      <c r="H497" s="144"/>
      <c r="I497" s="144">
        <f>F497+G497</f>
        <v>808236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867743</v>
      </c>
      <c r="G501" s="24" t="s">
        <v>312</v>
      </c>
      <c r="H501" s="18">
        <v>867743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56100</v>
      </c>
      <c r="G502" s="24" t="s">
        <v>312</v>
      </c>
      <c r="H502" s="18">
        <v>37400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9113372.2400000002</v>
      </c>
      <c r="G503" s="24" t="s">
        <v>312</v>
      </c>
      <c r="H503" s="18">
        <v>8376120.3799999999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938281.63</v>
      </c>
      <c r="G504" s="24" t="s">
        <v>312</v>
      </c>
      <c r="H504" s="18">
        <v>1073301.93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13595483</v>
      </c>
      <c r="G505" s="24" t="s">
        <v>312</v>
      </c>
      <c r="H505" s="18">
        <v>50582866.229999997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24570979.870000001</v>
      </c>
      <c r="G507" s="42">
        <f>SUM(G501:G506)</f>
        <v>0</v>
      </c>
      <c r="H507" s="42">
        <f>SUM(H501:H506)</f>
        <v>60937431.539999992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1405684.61</v>
      </c>
      <c r="G511" s="18">
        <v>626394.06999999995</v>
      </c>
      <c r="H511" s="18">
        <v>355120.08</v>
      </c>
      <c r="I511" s="18">
        <v>13752.32</v>
      </c>
      <c r="J511" s="18">
        <v>51357.38</v>
      </c>
      <c r="K511" s="18">
        <v>542.72</v>
      </c>
      <c r="L511" s="88">
        <f>SUM(F511:K511)</f>
        <v>2452851.1800000002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477932.77</v>
      </c>
      <c r="G512" s="18">
        <v>212973.98</v>
      </c>
      <c r="H512" s="18">
        <v>120740.83</v>
      </c>
      <c r="I512" s="18">
        <v>4675.79</v>
      </c>
      <c r="J512" s="18">
        <v>17461.509999999998</v>
      </c>
      <c r="K512" s="18">
        <v>184.52</v>
      </c>
      <c r="L512" s="88">
        <f>SUM(F512:K512)</f>
        <v>833969.4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927751.84</v>
      </c>
      <c r="G513" s="18">
        <v>413420.08</v>
      </c>
      <c r="H513" s="18">
        <v>234379.25</v>
      </c>
      <c r="I513" s="18">
        <v>9076.5300000000007</v>
      </c>
      <c r="J513" s="18">
        <v>33895.879999999997</v>
      </c>
      <c r="K513" s="18">
        <v>358.2</v>
      </c>
      <c r="L513" s="88">
        <f>SUM(F513:K513)</f>
        <v>1618881.7799999998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2811369.22</v>
      </c>
      <c r="G514" s="108">
        <f t="shared" ref="G514:L514" si="35">SUM(G511:G513)</f>
        <v>1252788.1299999999</v>
      </c>
      <c r="H514" s="108">
        <f t="shared" si="35"/>
        <v>710240.16</v>
      </c>
      <c r="I514" s="108">
        <f t="shared" si="35"/>
        <v>27504.639999999999</v>
      </c>
      <c r="J514" s="108">
        <f t="shared" si="35"/>
        <v>102714.76999999999</v>
      </c>
      <c r="K514" s="108">
        <f t="shared" si="35"/>
        <v>1085.44</v>
      </c>
      <c r="L514" s="89">
        <f t="shared" si="35"/>
        <v>4905702.3599999994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658914.66</v>
      </c>
      <c r="G516" s="18">
        <v>293622.21999999997</v>
      </c>
      <c r="H516" s="18">
        <v>166462.54</v>
      </c>
      <c r="I516" s="18">
        <v>6446.4</v>
      </c>
      <c r="J516" s="18">
        <v>24073.77</v>
      </c>
      <c r="K516" s="18">
        <v>254.4</v>
      </c>
      <c r="L516" s="88">
        <f>SUM(F516:K516)</f>
        <v>1149773.9899999998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224030.98</v>
      </c>
      <c r="G517" s="18">
        <v>99831.55</v>
      </c>
      <c r="H517" s="18">
        <v>56597.27</v>
      </c>
      <c r="I517" s="18">
        <v>2191.7800000000002</v>
      </c>
      <c r="J517" s="18">
        <v>8185.08</v>
      </c>
      <c r="K517" s="18">
        <v>86.5</v>
      </c>
      <c r="L517" s="88">
        <f>SUM(F517:K517)</f>
        <v>390923.16000000009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434883.68</v>
      </c>
      <c r="G518" s="18">
        <v>193790.66</v>
      </c>
      <c r="H518" s="18">
        <v>109865.27</v>
      </c>
      <c r="I518" s="18">
        <v>4254.62</v>
      </c>
      <c r="J518" s="18">
        <v>15888.7</v>
      </c>
      <c r="K518" s="18">
        <v>167.9</v>
      </c>
      <c r="L518" s="88">
        <f>SUM(F518:K518)</f>
        <v>758850.83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1317829.32</v>
      </c>
      <c r="G519" s="89">
        <f t="shared" ref="G519:L519" si="36">SUM(G516:G518)</f>
        <v>587244.42999999993</v>
      </c>
      <c r="H519" s="89">
        <f t="shared" si="36"/>
        <v>332925.08</v>
      </c>
      <c r="I519" s="89">
        <f t="shared" si="36"/>
        <v>12892.8</v>
      </c>
      <c r="J519" s="89">
        <f t="shared" si="36"/>
        <v>48147.55</v>
      </c>
      <c r="K519" s="89">
        <f t="shared" si="36"/>
        <v>508.79999999999995</v>
      </c>
      <c r="L519" s="89">
        <f t="shared" si="36"/>
        <v>2299547.98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131782.93</v>
      </c>
      <c r="G521" s="18">
        <v>58724.45</v>
      </c>
      <c r="H521" s="18">
        <v>33292.51</v>
      </c>
      <c r="I521" s="18">
        <v>1289.28</v>
      </c>
      <c r="J521" s="18">
        <v>4814.75</v>
      </c>
      <c r="K521" s="18">
        <v>50.88</v>
      </c>
      <c r="L521" s="88">
        <f>SUM(F521:K521)</f>
        <v>229954.80000000002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44806.2</v>
      </c>
      <c r="G522" s="18">
        <v>19966.310000000001</v>
      </c>
      <c r="H522" s="18">
        <v>11319.45</v>
      </c>
      <c r="I522" s="18">
        <v>438.36</v>
      </c>
      <c r="J522" s="18">
        <v>1637.02</v>
      </c>
      <c r="K522" s="18">
        <v>17.3</v>
      </c>
      <c r="L522" s="88">
        <f>SUM(F522:K522)</f>
        <v>78184.639999999999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86976.74</v>
      </c>
      <c r="G523" s="18">
        <v>38758.129999999997</v>
      </c>
      <c r="H523" s="18">
        <v>21973.05</v>
      </c>
      <c r="I523" s="18">
        <v>850.92</v>
      </c>
      <c r="J523" s="18">
        <v>3177.74</v>
      </c>
      <c r="K523" s="18">
        <v>33.58</v>
      </c>
      <c r="L523" s="88">
        <f>SUM(F523:K523)</f>
        <v>151770.15999999997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263565.87</v>
      </c>
      <c r="G524" s="89">
        <f t="shared" ref="G524:L524" si="37">SUM(G521:G523)</f>
        <v>117448.88999999998</v>
      </c>
      <c r="H524" s="89">
        <f t="shared" si="37"/>
        <v>66585.010000000009</v>
      </c>
      <c r="I524" s="89">
        <f t="shared" si="37"/>
        <v>2578.56</v>
      </c>
      <c r="J524" s="89">
        <f t="shared" si="37"/>
        <v>9629.51</v>
      </c>
      <c r="K524" s="89">
        <f t="shared" si="37"/>
        <v>101.76</v>
      </c>
      <c r="L524" s="89">
        <f t="shared" si="37"/>
        <v>459909.6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37738.29</v>
      </c>
      <c r="I526" s="18"/>
      <c r="J526" s="18"/>
      <c r="K526" s="18"/>
      <c r="L526" s="88">
        <f>SUM(F526:K526)</f>
        <v>37738.29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12831.02</v>
      </c>
      <c r="I527" s="18"/>
      <c r="J527" s="18"/>
      <c r="K527" s="18"/>
      <c r="L527" s="88">
        <f>SUM(F527:K527)</f>
        <v>12831.02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24907.26</v>
      </c>
      <c r="I528" s="18"/>
      <c r="J528" s="18"/>
      <c r="K528" s="18"/>
      <c r="L528" s="88">
        <f>SUM(F528:K528)</f>
        <v>24907.26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75476.569999999992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75476.569999999992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77413.25</v>
      </c>
      <c r="G531" s="18">
        <v>12530.01</v>
      </c>
      <c r="H531" s="18">
        <v>154515.81</v>
      </c>
      <c r="I531" s="18">
        <v>860.13</v>
      </c>
      <c r="J531" s="18"/>
      <c r="K531" s="18"/>
      <c r="L531" s="88">
        <f>SUM(F531:K531)</f>
        <v>245319.2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26320.5</v>
      </c>
      <c r="G532" s="18">
        <v>4260.2</v>
      </c>
      <c r="H532" s="18">
        <v>20757</v>
      </c>
      <c r="I532" s="18">
        <v>292.45</v>
      </c>
      <c r="J532" s="18"/>
      <c r="K532" s="18"/>
      <c r="L532" s="88">
        <f>SUM(F532:K532)</f>
        <v>51630.149999999994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51092.74</v>
      </c>
      <c r="G533" s="18">
        <v>8269.7999999999993</v>
      </c>
      <c r="H533" s="18">
        <v>34358.01</v>
      </c>
      <c r="I533" s="18">
        <v>567.69000000000005</v>
      </c>
      <c r="J533" s="18"/>
      <c r="K533" s="18"/>
      <c r="L533" s="88">
        <f>SUM(F533:K533)</f>
        <v>94288.239999999991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154826.49</v>
      </c>
      <c r="G534" s="194">
        <f t="shared" ref="G534:L534" si="39">SUM(G531:G533)</f>
        <v>25060.01</v>
      </c>
      <c r="H534" s="194">
        <f t="shared" si="39"/>
        <v>209630.82</v>
      </c>
      <c r="I534" s="194">
        <f t="shared" si="39"/>
        <v>1720.27</v>
      </c>
      <c r="J534" s="194">
        <f t="shared" si="39"/>
        <v>0</v>
      </c>
      <c r="K534" s="194">
        <f t="shared" si="39"/>
        <v>0</v>
      </c>
      <c r="L534" s="194">
        <f t="shared" si="39"/>
        <v>391237.58999999997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4547590.9000000004</v>
      </c>
      <c r="G535" s="89">
        <f t="shared" ref="G535:L535" si="40">G514+G519+G524+G529+G534</f>
        <v>1982541.4599999997</v>
      </c>
      <c r="H535" s="89">
        <f t="shared" si="40"/>
        <v>1394857.6400000001</v>
      </c>
      <c r="I535" s="89">
        <f t="shared" si="40"/>
        <v>44696.27</v>
      </c>
      <c r="J535" s="89">
        <f t="shared" si="40"/>
        <v>160491.83000000002</v>
      </c>
      <c r="K535" s="89">
        <f t="shared" si="40"/>
        <v>1696</v>
      </c>
      <c r="L535" s="89">
        <f t="shared" si="40"/>
        <v>8131874.0999999996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2452851.1800000002</v>
      </c>
      <c r="G539" s="87">
        <f>L516</f>
        <v>1149773.9899999998</v>
      </c>
      <c r="H539" s="87">
        <f>L521</f>
        <v>229954.80000000002</v>
      </c>
      <c r="I539" s="87">
        <f>L526</f>
        <v>37738.29</v>
      </c>
      <c r="J539" s="87">
        <f>L531</f>
        <v>245319.2</v>
      </c>
      <c r="K539" s="87">
        <f>SUM(F539:J539)</f>
        <v>4115637.46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833969.4</v>
      </c>
      <c r="G540" s="87">
        <f>L517</f>
        <v>390923.16000000009</v>
      </c>
      <c r="H540" s="87">
        <f>L522</f>
        <v>78184.639999999999</v>
      </c>
      <c r="I540" s="87">
        <f>L527</f>
        <v>12831.02</v>
      </c>
      <c r="J540" s="87">
        <f>L532</f>
        <v>51630.149999999994</v>
      </c>
      <c r="K540" s="87">
        <f>SUM(F540:J540)</f>
        <v>1367538.3699999999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1618881.7799999998</v>
      </c>
      <c r="G541" s="87">
        <f>L518</f>
        <v>758850.83</v>
      </c>
      <c r="H541" s="87">
        <f>L523</f>
        <v>151770.15999999997</v>
      </c>
      <c r="I541" s="87">
        <f>L528</f>
        <v>24907.26</v>
      </c>
      <c r="J541" s="87">
        <f>L533</f>
        <v>94288.239999999991</v>
      </c>
      <c r="K541" s="87">
        <f>SUM(F541:J541)</f>
        <v>2648698.2699999996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4905702.3599999994</v>
      </c>
      <c r="G542" s="89">
        <f t="shared" si="41"/>
        <v>2299547.98</v>
      </c>
      <c r="H542" s="89">
        <f t="shared" si="41"/>
        <v>459909.6</v>
      </c>
      <c r="I542" s="89">
        <f t="shared" si="41"/>
        <v>75476.569999999992</v>
      </c>
      <c r="J542" s="89">
        <f t="shared" si="41"/>
        <v>391237.58999999997</v>
      </c>
      <c r="K542" s="89">
        <f t="shared" si="41"/>
        <v>8131874.0999999996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50438.41</v>
      </c>
      <c r="G547" s="18">
        <v>7842.74</v>
      </c>
      <c r="H547" s="18">
        <v>463.94</v>
      </c>
      <c r="I547" s="18">
        <v>451.13</v>
      </c>
      <c r="J547" s="18">
        <v>603.13</v>
      </c>
      <c r="K547" s="18"/>
      <c r="L547" s="88">
        <f>SUM(F547:K547)</f>
        <v>59799.35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20175.36</v>
      </c>
      <c r="G548" s="18">
        <v>3137.09</v>
      </c>
      <c r="H548" s="18">
        <v>113.07</v>
      </c>
      <c r="I548" s="18"/>
      <c r="J548" s="18"/>
      <c r="K548" s="18"/>
      <c r="L548" s="88">
        <f>SUM(F548:K548)</f>
        <v>23425.52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30263.040000000001</v>
      </c>
      <c r="G549" s="18">
        <v>4705.6400000000003</v>
      </c>
      <c r="H549" s="18">
        <v>169.61</v>
      </c>
      <c r="I549" s="18"/>
      <c r="J549" s="18"/>
      <c r="K549" s="18"/>
      <c r="L549" s="88">
        <f>SUM(F549:K549)</f>
        <v>35138.29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100876.81</v>
      </c>
      <c r="G550" s="108">
        <f t="shared" si="42"/>
        <v>15685.470000000001</v>
      </c>
      <c r="H550" s="108">
        <f t="shared" si="42"/>
        <v>746.62</v>
      </c>
      <c r="I550" s="108">
        <f t="shared" si="42"/>
        <v>451.13</v>
      </c>
      <c r="J550" s="108">
        <f t="shared" si="42"/>
        <v>603.13</v>
      </c>
      <c r="K550" s="108">
        <f t="shared" si="42"/>
        <v>0</v>
      </c>
      <c r="L550" s="89">
        <f t="shared" si="42"/>
        <v>118363.16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100876.81</v>
      </c>
      <c r="G561" s="89">
        <f t="shared" ref="G561:L561" si="45">G550+G555+G560</f>
        <v>15685.470000000001</v>
      </c>
      <c r="H561" s="89">
        <f t="shared" si="45"/>
        <v>746.62</v>
      </c>
      <c r="I561" s="89">
        <f t="shared" si="45"/>
        <v>451.13</v>
      </c>
      <c r="J561" s="89">
        <f t="shared" si="45"/>
        <v>603.13</v>
      </c>
      <c r="K561" s="89">
        <f t="shared" si="45"/>
        <v>0</v>
      </c>
      <c r="L561" s="89">
        <f t="shared" si="45"/>
        <v>118363.16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78957.39</v>
      </c>
      <c r="G569" s="18">
        <v>13084.78</v>
      </c>
      <c r="H569" s="18"/>
      <c r="I569" s="87">
        <f t="shared" si="46"/>
        <v>92042.17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208485.32</v>
      </c>
      <c r="G572" s="18">
        <v>43700</v>
      </c>
      <c r="H572" s="18">
        <v>308660.75</v>
      </c>
      <c r="I572" s="87">
        <f t="shared" si="46"/>
        <v>560846.07000000007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227762.97</v>
      </c>
      <c r="I573" s="87">
        <f t="shared" si="46"/>
        <v>227762.97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1016772.39</v>
      </c>
      <c r="I581" s="18">
        <v>213991.03</v>
      </c>
      <c r="J581" s="18">
        <v>390795.66</v>
      </c>
      <c r="K581" s="104">
        <f t="shared" ref="K581:K587" si="47">SUM(H581:J581)</f>
        <v>1621559.0799999998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245319.2</v>
      </c>
      <c r="I582" s="18">
        <v>51630.15</v>
      </c>
      <c r="J582" s="18">
        <v>94288.24</v>
      </c>
      <c r="K582" s="104">
        <f t="shared" si="47"/>
        <v>391237.59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1575.61</v>
      </c>
      <c r="I583" s="18">
        <v>331.6</v>
      </c>
      <c r="J583" s="18">
        <v>605.58000000000004</v>
      </c>
      <c r="K583" s="104">
        <f t="shared" si="47"/>
        <v>2512.79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37170.04</v>
      </c>
      <c r="I584" s="18">
        <v>7822.85</v>
      </c>
      <c r="J584" s="18">
        <v>14286.28</v>
      </c>
      <c r="K584" s="104">
        <f t="shared" si="47"/>
        <v>59279.17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24753.45</v>
      </c>
      <c r="I585" s="18">
        <v>5209.6400000000003</v>
      </c>
      <c r="J585" s="18">
        <v>9513.9699999999993</v>
      </c>
      <c r="K585" s="104">
        <f t="shared" si="47"/>
        <v>39477.06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72104.97</v>
      </c>
      <c r="I587" s="18">
        <v>15175.29</v>
      </c>
      <c r="J587" s="18">
        <v>27713.49</v>
      </c>
      <c r="K587" s="104">
        <f t="shared" si="47"/>
        <v>114993.75000000001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1397695.6600000001</v>
      </c>
      <c r="I588" s="108">
        <f>SUM(I581:I587)</f>
        <v>294160.55999999994</v>
      </c>
      <c r="J588" s="108">
        <f>SUM(J581:J587)</f>
        <v>537203.22</v>
      </c>
      <c r="K588" s="108">
        <f>SUM(K581:K587)</f>
        <v>2229059.44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465.02</v>
      </c>
      <c r="I593" s="18"/>
      <c r="J593" s="18"/>
      <c r="K593" s="104">
        <f>SUM(H593:J593)</f>
        <v>465.02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358659.76</v>
      </c>
      <c r="I594" s="18">
        <v>304237.62</v>
      </c>
      <c r="J594" s="18">
        <v>441475.82</v>
      </c>
      <c r="K594" s="104">
        <f>SUM(H594:J594)</f>
        <v>1104373.2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359124.78</v>
      </c>
      <c r="I595" s="108">
        <f>SUM(I592:I594)</f>
        <v>304237.62</v>
      </c>
      <c r="J595" s="108">
        <f>SUM(J592:J594)</f>
        <v>441475.82</v>
      </c>
      <c r="K595" s="108">
        <f>SUM(K592:K594)</f>
        <v>1104838.22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44153.35</v>
      </c>
      <c r="G601" s="18">
        <v>7462.52</v>
      </c>
      <c r="H601" s="18"/>
      <c r="I601" s="18">
        <v>39.979999999999997</v>
      </c>
      <c r="J601" s="18"/>
      <c r="K601" s="18"/>
      <c r="L601" s="88">
        <f>SUM(F601:K601)</f>
        <v>51655.85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9317.66</v>
      </c>
      <c r="G602" s="18">
        <v>564.12</v>
      </c>
      <c r="H602" s="18"/>
      <c r="I602" s="18"/>
      <c r="J602" s="18"/>
      <c r="K602" s="18"/>
      <c r="L602" s="88">
        <f>SUM(F602:K602)</f>
        <v>9881.7800000000007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13976.49</v>
      </c>
      <c r="G603" s="18">
        <v>4261.97</v>
      </c>
      <c r="H603" s="18"/>
      <c r="I603" s="18">
        <v>864.36</v>
      </c>
      <c r="J603" s="18"/>
      <c r="K603" s="18"/>
      <c r="L603" s="88">
        <f>SUM(F603:K603)</f>
        <v>19102.82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67447.5</v>
      </c>
      <c r="G604" s="108">
        <f t="shared" si="48"/>
        <v>12288.61</v>
      </c>
      <c r="H604" s="108">
        <f t="shared" si="48"/>
        <v>0</v>
      </c>
      <c r="I604" s="108">
        <f t="shared" si="48"/>
        <v>904.34</v>
      </c>
      <c r="J604" s="108">
        <f t="shared" si="48"/>
        <v>0</v>
      </c>
      <c r="K604" s="108">
        <f t="shared" si="48"/>
        <v>0</v>
      </c>
      <c r="L604" s="89">
        <f t="shared" si="48"/>
        <v>80640.45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2122129.9299999997</v>
      </c>
      <c r="H607" s="109">
        <f>SUM(F44)</f>
        <v>2122129.9300000002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70298.069999999992</v>
      </c>
      <c r="H608" s="109">
        <f>SUM(G44)</f>
        <v>70298.070000000007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494079.94</v>
      </c>
      <c r="H609" s="109">
        <f>SUM(H44)</f>
        <v>494079.94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17584056.789999999</v>
      </c>
      <c r="H610" s="109">
        <f>SUM(I44)</f>
        <v>17584056.789999999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924037.9</v>
      </c>
      <c r="H611" s="109">
        <f>SUM(J44)</f>
        <v>924037.9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1554916.35</v>
      </c>
      <c r="H612" s="109">
        <f>F466</f>
        <v>1554916.349999994</v>
      </c>
      <c r="I612" s="121" t="s">
        <v>106</v>
      </c>
      <c r="J612" s="109">
        <f t="shared" ref="J612:J645" si="49">G612-H612</f>
        <v>6.0535967350006104E-9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56106.400000000001</v>
      </c>
      <c r="H613" s="109">
        <f>G466</f>
        <v>56106.40000000014</v>
      </c>
      <c r="I613" s="121" t="s">
        <v>108</v>
      </c>
      <c r="J613" s="109">
        <f t="shared" si="49"/>
        <v>-1.3824319466948509E-10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16475775.25</v>
      </c>
      <c r="H615" s="109">
        <f>I466</f>
        <v>16475775.25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924037.9</v>
      </c>
      <c r="H616" s="109">
        <f>J466</f>
        <v>924037.89999999991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38227973.409999996</v>
      </c>
      <c r="H617" s="104">
        <f>SUM(F458)</f>
        <v>38227973.409999996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945044.17</v>
      </c>
      <c r="H618" s="104">
        <f>SUM(G458)</f>
        <v>945044.17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2888345.54</v>
      </c>
      <c r="H619" s="104">
        <f>SUM(H458)</f>
        <v>2888345.54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40037433.420000002</v>
      </c>
      <c r="H620" s="104">
        <f>SUM(I458)</f>
        <v>40037433.420000002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57608.75</v>
      </c>
      <c r="H621" s="104">
        <f>SUM(J458)</f>
        <v>57608.75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40362807.539999999</v>
      </c>
      <c r="H622" s="104">
        <f>SUM(F462)</f>
        <v>40362807.539999999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2888345.5399999991</v>
      </c>
      <c r="H623" s="104">
        <f>SUM(H462)</f>
        <v>2888345.54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452690.67</v>
      </c>
      <c r="H624" s="104">
        <f>I361</f>
        <v>452690.67000000004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995709.75</v>
      </c>
      <c r="H625" s="104">
        <f>SUM(G462)</f>
        <v>995709.75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36460143.82</v>
      </c>
      <c r="H626" s="104">
        <f>SUM(I462)</f>
        <v>36460143.82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57608.75</v>
      </c>
      <c r="H627" s="164">
        <f>SUM(J458)</f>
        <v>57608.75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307508</v>
      </c>
      <c r="H628" s="164">
        <f>SUM(J462)</f>
        <v>307508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924037.9</v>
      </c>
      <c r="H630" s="104">
        <f>SUM(G451)</f>
        <v>924037.9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924037.9</v>
      </c>
      <c r="H632" s="104">
        <f>SUM(I451)</f>
        <v>924037.9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57608.75</v>
      </c>
      <c r="H634" s="104">
        <f>H400</f>
        <v>57608.75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57608.75</v>
      </c>
      <c r="H636" s="104">
        <f>L400</f>
        <v>57608.75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2229059.44</v>
      </c>
      <c r="H637" s="104">
        <f>L200+L218+L236</f>
        <v>2229059.44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1104838.22</v>
      </c>
      <c r="H638" s="104">
        <f>(J249+J330)-(J247+J328)</f>
        <v>1104838.22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1397695.66</v>
      </c>
      <c r="H639" s="104">
        <f>H588</f>
        <v>1397695.6600000001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294160.56</v>
      </c>
      <c r="H640" s="104">
        <f>I588</f>
        <v>294160.55999999994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537203.22</v>
      </c>
      <c r="H641" s="104">
        <f>J588</f>
        <v>537203.22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19797798.43</v>
      </c>
      <c r="G650" s="19">
        <f>(L221+L301+L351)</f>
        <v>7560713.8599999994</v>
      </c>
      <c r="H650" s="19">
        <f>(L239+L320+L352)</f>
        <v>13479392.420000002</v>
      </c>
      <c r="I650" s="19">
        <f>SUM(F650:H650)</f>
        <v>40837904.710000001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252737.54753826529</v>
      </c>
      <c r="G651" s="19">
        <f>(L351/IF(SUM(L350:L352)=0,1,SUM(L350:L352))*(SUM(G89:G102)))</f>
        <v>101095.02307653049</v>
      </c>
      <c r="H651" s="19">
        <f>(L352/IF(SUM(L350:L352)=0,1,SUM(L350:L352))*(SUM(G89:G102)))</f>
        <v>151642.5193852043</v>
      </c>
      <c r="I651" s="19">
        <f>SUM(F651:H651)</f>
        <v>505475.09000000008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1271036.69</v>
      </c>
      <c r="G652" s="19">
        <f>(L218+L298)-(J218+J298)</f>
        <v>248128.23</v>
      </c>
      <c r="H652" s="19">
        <f>(L236+L317)-(J236+J317)</f>
        <v>460139.08999999997</v>
      </c>
      <c r="I652" s="19">
        <f>SUM(F652:H652)</f>
        <v>1979304.0099999998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698223.34</v>
      </c>
      <c r="G653" s="200">
        <f>SUM(G565:G577)+SUM(I592:I594)+L602</f>
        <v>370904.18000000005</v>
      </c>
      <c r="H653" s="200">
        <f>SUM(H565:H577)+SUM(J592:J594)+L603</f>
        <v>997002.36</v>
      </c>
      <c r="I653" s="19">
        <f>SUM(F653:H653)</f>
        <v>2066129.88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17575800.852461733</v>
      </c>
      <c r="G654" s="19">
        <f>G650-SUM(G651:G653)</f>
        <v>6840586.4269234687</v>
      </c>
      <c r="H654" s="19">
        <f>H650-SUM(H651:H653)</f>
        <v>11870608.450614797</v>
      </c>
      <c r="I654" s="19">
        <f>I650-SUM(I651:I653)</f>
        <v>36286995.730000004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1134.57</v>
      </c>
      <c r="G655" s="249">
        <v>398.79</v>
      </c>
      <c r="H655" s="249">
        <v>838.15</v>
      </c>
      <c r="I655" s="19">
        <f>SUM(F655:H655)</f>
        <v>2371.5099999999998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15491.16</v>
      </c>
      <c r="G657" s="19">
        <f>ROUND(G654/G655,2)</f>
        <v>17153.349999999999</v>
      </c>
      <c r="H657" s="19">
        <f>ROUND(H654/H655,2)</f>
        <v>14162.87</v>
      </c>
      <c r="I657" s="19">
        <f>ROUND(I654/I655,2)</f>
        <v>15301.22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13.61</v>
      </c>
      <c r="I660" s="19">
        <f>SUM(F660:H660)</f>
        <v>13.61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15491.16</v>
      </c>
      <c r="G662" s="19">
        <f>ROUND((G654+G659)/(G655+G660),2)</f>
        <v>17153.349999999999</v>
      </c>
      <c r="H662" s="19">
        <f>ROUND((H654+H659)/(H655+H660),2)</f>
        <v>13936.56</v>
      </c>
      <c r="I662" s="19">
        <f>ROUND((I654+I659)/(I655+I660),2)</f>
        <v>15213.91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fitToHeight="25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11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79AE-F708-41F4-8B3E-864424D74859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Governor Wentworth Regional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11063610.43</v>
      </c>
      <c r="C9" s="230">
        <f>'DOE25'!G189+'DOE25'!G207+'DOE25'!G225+'DOE25'!G268+'DOE25'!G287+'DOE25'!G306</f>
        <v>4616713.0599999996</v>
      </c>
    </row>
    <row r="10" spans="1:3" x14ac:dyDescent="0.2">
      <c r="A10" t="s">
        <v>810</v>
      </c>
      <c r="B10" s="241">
        <v>9951717.5800000001</v>
      </c>
      <c r="C10" s="241">
        <v>4152733.4</v>
      </c>
    </row>
    <row r="11" spans="1:3" x14ac:dyDescent="0.2">
      <c r="A11" t="s">
        <v>811</v>
      </c>
      <c r="B11" s="241">
        <v>595222.24</v>
      </c>
      <c r="C11" s="241">
        <v>248379.16</v>
      </c>
    </row>
    <row r="12" spans="1:3" x14ac:dyDescent="0.2">
      <c r="A12" t="s">
        <v>812</v>
      </c>
      <c r="B12" s="241">
        <v>516670.61</v>
      </c>
      <c r="C12" s="241">
        <v>215600.5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11063610.43</v>
      </c>
      <c r="C13" s="232">
        <f>SUM(C10:C12)</f>
        <v>4616713.0599999996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4392764.41</v>
      </c>
      <c r="C18" s="230">
        <f>'DOE25'!G190+'DOE25'!G208+'DOE25'!G226+'DOE25'!G269+'DOE25'!G288+'DOE25'!G307</f>
        <v>1957481.46</v>
      </c>
    </row>
    <row r="19" spans="1:3" x14ac:dyDescent="0.2">
      <c r="A19" t="s">
        <v>810</v>
      </c>
      <c r="B19" s="241">
        <v>2842118.57</v>
      </c>
      <c r="C19" s="241">
        <v>1266490.5</v>
      </c>
    </row>
    <row r="20" spans="1:3" x14ac:dyDescent="0.2">
      <c r="A20" t="s">
        <v>811</v>
      </c>
      <c r="B20" s="241">
        <v>1331886.17</v>
      </c>
      <c r="C20" s="241">
        <v>593508.38</v>
      </c>
    </row>
    <row r="21" spans="1:3" x14ac:dyDescent="0.2">
      <c r="A21" t="s">
        <v>812</v>
      </c>
      <c r="B21" s="241">
        <v>218759.67</v>
      </c>
      <c r="C21" s="241">
        <v>97482.58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4392764.41</v>
      </c>
      <c r="C22" s="232">
        <f>SUM(C19:C21)</f>
        <v>1957481.46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693572.19</v>
      </c>
      <c r="C27" s="235">
        <f>'DOE25'!G191+'DOE25'!G209+'DOE25'!G227+'DOE25'!G270+'DOE25'!G289+'DOE25'!G308</f>
        <v>306572.27</v>
      </c>
    </row>
    <row r="28" spans="1:3" x14ac:dyDescent="0.2">
      <c r="A28" t="s">
        <v>810</v>
      </c>
      <c r="B28" s="241">
        <v>458035.07</v>
      </c>
      <c r="C28" s="241">
        <v>202460.33</v>
      </c>
    </row>
    <row r="29" spans="1:3" x14ac:dyDescent="0.2">
      <c r="A29" t="s">
        <v>811</v>
      </c>
      <c r="B29" s="241">
        <v>106740.76</v>
      </c>
      <c r="C29" s="241">
        <v>47181.47</v>
      </c>
    </row>
    <row r="30" spans="1:3" x14ac:dyDescent="0.2">
      <c r="A30" t="s">
        <v>812</v>
      </c>
      <c r="B30" s="241">
        <v>128796.36</v>
      </c>
      <c r="C30" s="241">
        <v>56930.47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693572.19</v>
      </c>
      <c r="C31" s="232">
        <f>SUM(C28:C30)</f>
        <v>306572.27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340062.99</v>
      </c>
      <c r="C36" s="236">
        <f>'DOE25'!G192+'DOE25'!G210+'DOE25'!G228+'DOE25'!G271+'DOE25'!G290+'DOE25'!G309</f>
        <v>47093.64</v>
      </c>
    </row>
    <row r="37" spans="1:3" x14ac:dyDescent="0.2">
      <c r="A37" t="s">
        <v>810</v>
      </c>
      <c r="B37" s="241">
        <v>157925.25</v>
      </c>
      <c r="C37" s="241">
        <v>21870.29</v>
      </c>
    </row>
    <row r="38" spans="1:3" x14ac:dyDescent="0.2">
      <c r="A38" t="s">
        <v>811</v>
      </c>
      <c r="B38" s="241">
        <v>63489.760000000002</v>
      </c>
      <c r="C38" s="241">
        <v>8792.3799999999992</v>
      </c>
    </row>
    <row r="39" spans="1:3" x14ac:dyDescent="0.2">
      <c r="A39" t="s">
        <v>812</v>
      </c>
      <c r="B39" s="241">
        <v>118647.98</v>
      </c>
      <c r="C39" s="241">
        <v>16430.97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340062.99</v>
      </c>
      <c r="C40" s="232">
        <f>SUM(C37:C39)</f>
        <v>47093.64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9B84-9196-4D47-A7A6-67989C3860CB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Governor Wentworth Regional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24959482.129999999</v>
      </c>
      <c r="D5" s="20">
        <f>SUM('DOE25'!L189:L192)+SUM('DOE25'!L207:L210)+SUM('DOE25'!L225:L228)-F5-G5</f>
        <v>24492253.369999997</v>
      </c>
      <c r="E5" s="244"/>
      <c r="F5" s="256">
        <f>SUM('DOE25'!J189:J192)+SUM('DOE25'!J207:J210)+SUM('DOE25'!J225:J228)</f>
        <v>456919.91000000003</v>
      </c>
      <c r="G5" s="53">
        <f>SUM('DOE25'!K189:K192)+SUM('DOE25'!K207:K210)+SUM('DOE25'!K225:K228)</f>
        <v>10308.85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1738877.13</v>
      </c>
      <c r="D6" s="20">
        <f>'DOE25'!L194+'DOE25'!L212+'DOE25'!L230-F6-G6</f>
        <v>1735315.7</v>
      </c>
      <c r="E6" s="244"/>
      <c r="F6" s="256">
        <f>'DOE25'!J194+'DOE25'!J212+'DOE25'!J230</f>
        <v>3054.98</v>
      </c>
      <c r="G6" s="53">
        <f>'DOE25'!K194+'DOE25'!K212+'DOE25'!K230</f>
        <v>506.45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1360934.9699999997</v>
      </c>
      <c r="D7" s="20">
        <f>'DOE25'!L195+'DOE25'!L213+'DOE25'!L231-F7-G7</f>
        <v>1286527.9199999997</v>
      </c>
      <c r="E7" s="244"/>
      <c r="F7" s="256">
        <f>'DOE25'!J195+'DOE25'!J213+'DOE25'!J231</f>
        <v>72269.55</v>
      </c>
      <c r="G7" s="53">
        <f>'DOE25'!K195+'DOE25'!K213+'DOE25'!K231</f>
        <v>2137.5</v>
      </c>
      <c r="H7" s="260"/>
    </row>
    <row r="8" spans="1:9" x14ac:dyDescent="0.2">
      <c r="A8" s="32">
        <v>2300</v>
      </c>
      <c r="B8" t="s">
        <v>833</v>
      </c>
      <c r="C8" s="246">
        <f t="shared" si="0"/>
        <v>54586.039999999899</v>
      </c>
      <c r="D8" s="244"/>
      <c r="E8" s="20">
        <f>'DOE25'!L196+'DOE25'!L214+'DOE25'!L232-F8-G8-D9-D11</f>
        <v>45604.0799999999</v>
      </c>
      <c r="F8" s="256">
        <f>'DOE25'!J196+'DOE25'!J214+'DOE25'!J232</f>
        <v>171.5</v>
      </c>
      <c r="G8" s="53">
        <f>'DOE25'!K196+'DOE25'!K214+'DOE25'!K232</f>
        <v>8810.4599999999991</v>
      </c>
      <c r="H8" s="260"/>
    </row>
    <row r="9" spans="1:9" x14ac:dyDescent="0.2">
      <c r="A9" s="32">
        <v>2310</v>
      </c>
      <c r="B9" t="s">
        <v>849</v>
      </c>
      <c r="C9" s="246">
        <f t="shared" si="0"/>
        <v>83157.94</v>
      </c>
      <c r="D9" s="245">
        <v>83157.94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24555.43</v>
      </c>
      <c r="D10" s="244"/>
      <c r="E10" s="245">
        <v>24555.43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476127.64</v>
      </c>
      <c r="D11" s="245">
        <v>476127.64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2324433.9700000002</v>
      </c>
      <c r="D12" s="20">
        <f>'DOE25'!L197+'DOE25'!L215+'DOE25'!L233-F12-G12</f>
        <v>2309977.16</v>
      </c>
      <c r="E12" s="244"/>
      <c r="F12" s="256">
        <f>'DOE25'!J197+'DOE25'!J215+'DOE25'!J233</f>
        <v>6064.86</v>
      </c>
      <c r="G12" s="53">
        <f>'DOE25'!K197+'DOE25'!K215+'DOE25'!K233</f>
        <v>8391.9500000000007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420439.44</v>
      </c>
      <c r="D13" s="244"/>
      <c r="E13" s="20">
        <f>'DOE25'!L198+'DOE25'!L216+'DOE25'!L234-F13-G13</f>
        <v>406752.42000000004</v>
      </c>
      <c r="F13" s="256">
        <f>'DOE25'!J198+'DOE25'!J216+'DOE25'!J234</f>
        <v>171.48</v>
      </c>
      <c r="G13" s="53">
        <f>'DOE25'!K198+'DOE25'!K216+'DOE25'!K234</f>
        <v>13515.54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3620598.52</v>
      </c>
      <c r="D14" s="20">
        <f>'DOE25'!L199+'DOE25'!L217+'DOE25'!L235-F14-G14</f>
        <v>3602573.94</v>
      </c>
      <c r="E14" s="244"/>
      <c r="F14" s="256">
        <f>'DOE25'!J199+'DOE25'!J217+'DOE25'!J235</f>
        <v>18024.580000000002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2229059.44</v>
      </c>
      <c r="D15" s="20">
        <f>'DOE25'!L200+'DOE25'!L218+'DOE25'!L236-F15-G15</f>
        <v>1972179</v>
      </c>
      <c r="E15" s="244"/>
      <c r="F15" s="256">
        <f>'DOE25'!J200+'DOE25'!J218+'DOE25'!J236</f>
        <v>256880.44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13371.32</v>
      </c>
      <c r="D17" s="20">
        <f>'DOE25'!L243-F17-G17</f>
        <v>13371.32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10000.900000000001</v>
      </c>
      <c r="D19" s="20">
        <f>'DOE25'!L245-F19-G19</f>
        <v>10000.900000000001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144245</v>
      </c>
      <c r="D22" s="244"/>
      <c r="E22" s="244"/>
      <c r="F22" s="256">
        <f>'DOE25'!L247+'DOE25'!L328</f>
        <v>144245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2927493.1</v>
      </c>
      <c r="D25" s="244"/>
      <c r="E25" s="244"/>
      <c r="F25" s="259"/>
      <c r="G25" s="257"/>
      <c r="H25" s="258">
        <f>'DOE25'!L252+'DOE25'!L253+'DOE25'!L333+'DOE25'!L334</f>
        <v>2927493.1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579656.36</v>
      </c>
      <c r="D29" s="20">
        <f>'DOE25'!L350+'DOE25'!L351+'DOE25'!L352-'DOE25'!I359-F29-G29</f>
        <v>544394.72</v>
      </c>
      <c r="E29" s="244"/>
      <c r="F29" s="256">
        <f>'DOE25'!J350+'DOE25'!J351+'DOE25'!J352</f>
        <v>35261.64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2888345.5399999991</v>
      </c>
      <c r="D31" s="20">
        <f>'DOE25'!L282+'DOE25'!L301+'DOE25'!L320+'DOE25'!L325+'DOE25'!L326+'DOE25'!L327-F31-G31</f>
        <v>2577473.649999999</v>
      </c>
      <c r="E31" s="244"/>
      <c r="F31" s="256">
        <f>'DOE25'!J282+'DOE25'!J301+'DOE25'!J320+'DOE25'!J325+'DOE25'!J326+'DOE25'!J327</f>
        <v>291280.92000000004</v>
      </c>
      <c r="G31" s="53">
        <f>'DOE25'!K282+'DOE25'!K301+'DOE25'!K320+'DOE25'!K325+'DOE25'!K326+'DOE25'!K327</f>
        <v>19590.969999999998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39103353.25999999</v>
      </c>
      <c r="E33" s="247">
        <f>SUM(E5:E31)</f>
        <v>476911.92999999993</v>
      </c>
      <c r="F33" s="247">
        <f>SUM(F5:F31)</f>
        <v>1284344.8600000001</v>
      </c>
      <c r="G33" s="247">
        <f>SUM(G5:G31)</f>
        <v>63261.72</v>
      </c>
      <c r="H33" s="247">
        <f>SUM(H5:H31)</f>
        <v>2927493.1</v>
      </c>
    </row>
    <row r="35" spans="2:8" ht="12" thickBot="1" x14ac:dyDescent="0.25">
      <c r="B35" s="254" t="s">
        <v>878</v>
      </c>
      <c r="D35" s="255">
        <f>E33</f>
        <v>476911.92999999993</v>
      </c>
      <c r="E35" s="250"/>
    </row>
    <row r="36" spans="2:8" ht="12" thickTop="1" x14ac:dyDescent="0.2">
      <c r="B36" t="s">
        <v>846</v>
      </c>
      <c r="D36" s="20">
        <f>D33</f>
        <v>39103353.25999999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10D4-04CB-472A-9E61-21C5FE9E364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F1" sqref="F1:F65536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1711563.35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10</v>
      </c>
      <c r="D10" s="95">
        <f>'DOE25'!G10</f>
        <v>0</v>
      </c>
      <c r="E10" s="95">
        <f>'DOE25'!H10</f>
        <v>0</v>
      </c>
      <c r="F10" s="95">
        <f>'DOE25'!I10</f>
        <v>15779254.76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12984.41</v>
      </c>
      <c r="E12" s="95">
        <f>'DOE25'!H12</f>
        <v>0</v>
      </c>
      <c r="F12" s="95">
        <f>'DOE25'!I12</f>
        <v>810740.19</v>
      </c>
      <c r="G12" s="95">
        <f>'DOE25'!J12</f>
        <v>43934.1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389310.55</v>
      </c>
      <c r="D13" s="95">
        <f>'DOE25'!G13</f>
        <v>50588.29</v>
      </c>
      <c r="E13" s="95">
        <f>'DOE25'!H13</f>
        <v>482267.62</v>
      </c>
      <c r="F13" s="95">
        <f>'DOE25'!I13</f>
        <v>994061.84</v>
      </c>
      <c r="G13" s="95">
        <f>'DOE25'!J13</f>
        <v>880103.8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21246.03</v>
      </c>
      <c r="D14" s="95">
        <f>'DOE25'!G14</f>
        <v>6725.37</v>
      </c>
      <c r="E14" s="95">
        <f>'DOE25'!H14</f>
        <v>11812.32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2122129.9299999997</v>
      </c>
      <c r="D19" s="41">
        <f>SUM(D9:D18)</f>
        <v>70298.069999999992</v>
      </c>
      <c r="E19" s="41">
        <f>SUM(E9:E18)</f>
        <v>494079.94</v>
      </c>
      <c r="F19" s="41">
        <f>SUM(F9:F18)</f>
        <v>17584056.789999999</v>
      </c>
      <c r="G19" s="41">
        <f>SUM(G9:G18)</f>
        <v>924037.9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456012.53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411646.18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1108281.54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109751.05</v>
      </c>
      <c r="D28" s="95">
        <f>'DOE25'!G29</f>
        <v>890.55</v>
      </c>
      <c r="E28" s="95">
        <f>'DOE25'!H29</f>
        <v>7233.46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1450</v>
      </c>
      <c r="D30" s="95">
        <f>'DOE25'!G31</f>
        <v>13301.12</v>
      </c>
      <c r="E30" s="95">
        <f>'DOE25'!H31</f>
        <v>75200.3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567213.58000000007</v>
      </c>
      <c r="D32" s="41">
        <f>SUM(D22:D31)</f>
        <v>14191.67</v>
      </c>
      <c r="E32" s="41">
        <f>SUM(E22:E31)</f>
        <v>494079.94</v>
      </c>
      <c r="F32" s="41">
        <f>SUM(F22:F31)</f>
        <v>1108281.54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293560.64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56106.400000000001</v>
      </c>
      <c r="E40" s="95">
        <f>'DOE25'!H41</f>
        <v>0</v>
      </c>
      <c r="F40" s="95">
        <f>'DOE25'!I41</f>
        <v>16475775.25</v>
      </c>
      <c r="G40" s="95">
        <f>'DOE25'!J41</f>
        <v>924037.9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1261355.71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1554916.35</v>
      </c>
      <c r="D42" s="41">
        <f>SUM(D34:D41)</f>
        <v>56106.400000000001</v>
      </c>
      <c r="E42" s="41">
        <f>SUM(E34:E41)</f>
        <v>0</v>
      </c>
      <c r="F42" s="41">
        <f>SUM(F34:F41)</f>
        <v>16475775.25</v>
      </c>
      <c r="G42" s="41">
        <f>SUM(G34:G41)</f>
        <v>924037.9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2122129.9300000002</v>
      </c>
      <c r="D43" s="41">
        <f>D42+D32</f>
        <v>70298.070000000007</v>
      </c>
      <c r="E43" s="41">
        <f>E42+E32</f>
        <v>494079.94</v>
      </c>
      <c r="F43" s="41">
        <f>F42+F32</f>
        <v>17584056.789999999</v>
      </c>
      <c r="G43" s="41">
        <f>G42+G32</f>
        <v>924037.9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20650514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323692.83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8589.94</v>
      </c>
      <c r="D51" s="95">
        <f>'DOE25'!G88</f>
        <v>0</v>
      </c>
      <c r="E51" s="95">
        <f>'DOE25'!H88</f>
        <v>0</v>
      </c>
      <c r="F51" s="95">
        <f>'DOE25'!I88</f>
        <v>49934.19</v>
      </c>
      <c r="G51" s="95">
        <f>'DOE25'!J88</f>
        <v>57608.75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505475.09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138324.38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470607.15</v>
      </c>
      <c r="D54" s="130">
        <f>SUM(D49:D53)</f>
        <v>505475.09</v>
      </c>
      <c r="E54" s="130">
        <f>SUM(E49:E53)</f>
        <v>0</v>
      </c>
      <c r="F54" s="130">
        <f>SUM(F49:F53)</f>
        <v>49934.19</v>
      </c>
      <c r="G54" s="130">
        <f>SUM(G49:G53)</f>
        <v>57608.75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21121121.149999999</v>
      </c>
      <c r="D55" s="22">
        <f>D48+D54</f>
        <v>505475.09</v>
      </c>
      <c r="E55" s="22">
        <f>E48+E54</f>
        <v>0</v>
      </c>
      <c r="F55" s="22">
        <f>F48+F54</f>
        <v>49934.19</v>
      </c>
      <c r="G55" s="22">
        <f>G48+G54</f>
        <v>57608.75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3879104.96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10319887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140694.04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286244.24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14625930.24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1708939.64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256416.68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136759.51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27150</v>
      </c>
      <c r="D69" s="95">
        <f>SUM('DOE25'!G123:G127)</f>
        <v>15402.58</v>
      </c>
      <c r="E69" s="95">
        <f>SUM('DOE25'!H123:H127)</f>
        <v>152870.26999999999</v>
      </c>
      <c r="F69" s="95">
        <f>SUM('DOE25'!I123:I127)</f>
        <v>5754712.2300000004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2129265.83</v>
      </c>
      <c r="D70" s="130">
        <f>SUM(D64:D69)</f>
        <v>15402.58</v>
      </c>
      <c r="E70" s="130">
        <f>SUM(E64:E69)</f>
        <v>152870.26999999999</v>
      </c>
      <c r="F70" s="130">
        <f>SUM(F64:F69)</f>
        <v>5754712.2300000004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16755196.07</v>
      </c>
      <c r="D73" s="130">
        <f>SUM(D71:D72)+D70+D62</f>
        <v>15402.58</v>
      </c>
      <c r="E73" s="130">
        <f>SUM(E71:E72)+E70+E62</f>
        <v>152870.26999999999</v>
      </c>
      <c r="F73" s="130">
        <f>SUM(F71:F72)+F70+F62</f>
        <v>5754712.2300000004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424166.5</v>
      </c>
      <c r="E80" s="95">
        <f>SUM('DOE25'!H145:H153)</f>
        <v>2735475.27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424166.5</v>
      </c>
      <c r="E83" s="131">
        <f>SUM(E77:E82)</f>
        <v>2735475.27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34232787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49934.19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301722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351656.19</v>
      </c>
      <c r="D95" s="86">
        <f>SUM(D85:D94)</f>
        <v>0</v>
      </c>
      <c r="E95" s="86">
        <f>SUM(E85:E94)</f>
        <v>0</v>
      </c>
      <c r="F95" s="86">
        <f>SUM(F85:F94)</f>
        <v>34232787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38227973.409999996</v>
      </c>
      <c r="D96" s="86">
        <f>D55+D73+D83+D95</f>
        <v>945044.17</v>
      </c>
      <c r="E96" s="86">
        <f>E55+E73+E83+E95</f>
        <v>2888345.54</v>
      </c>
      <c r="F96" s="86">
        <f>F55+F73+F83+F95</f>
        <v>40037433.420000002</v>
      </c>
      <c r="G96" s="86">
        <f>G55+G73+G95</f>
        <v>57608.75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16448718.92</v>
      </c>
      <c r="D101" s="24" t="s">
        <v>312</v>
      </c>
      <c r="E101" s="95">
        <f>('DOE25'!L268)+('DOE25'!L287)+('DOE25'!L306)</f>
        <v>1484499.16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6887046.8300000001</v>
      </c>
      <c r="D102" s="24" t="s">
        <v>312</v>
      </c>
      <c r="E102" s="95">
        <f>('DOE25'!L269)+('DOE25'!L288)+('DOE25'!L307)</f>
        <v>853589.69000000006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1018965.45</v>
      </c>
      <c r="D103" s="24" t="s">
        <v>312</v>
      </c>
      <c r="E103" s="95">
        <f>('DOE25'!L270)+('DOE25'!L289)+('DOE25'!L308)</f>
        <v>113028.72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604750.93000000005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23372.22</v>
      </c>
      <c r="D106" s="24" t="s">
        <v>312</v>
      </c>
      <c r="E106" s="95">
        <f>+ SUM('DOE25'!L325:L327)</f>
        <v>313847.8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24982854.349999998</v>
      </c>
      <c r="D107" s="86">
        <f>SUM(D101:D106)</f>
        <v>0</v>
      </c>
      <c r="E107" s="86">
        <f>SUM(E101:E106)</f>
        <v>2764965.37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1738877.13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1360934.9699999997</v>
      </c>
      <c r="D111" s="24" t="s">
        <v>312</v>
      </c>
      <c r="E111" s="95">
        <f>+('DOE25'!L274)+('DOE25'!L293)+('DOE25'!L312)</f>
        <v>116255.16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613871.61999999988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2324433.9700000002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420439.44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3620598.52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2229059.44</v>
      </c>
      <c r="D116" s="24" t="s">
        <v>312</v>
      </c>
      <c r="E116" s="95">
        <f>+('DOE25'!L279)+('DOE25'!L298)+('DOE25'!L317)</f>
        <v>7125.01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995709.75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12308215.09</v>
      </c>
      <c r="D120" s="86">
        <f>SUM(D110:D119)</f>
        <v>995709.75</v>
      </c>
      <c r="E120" s="86">
        <f>SUM(E110:E119)</f>
        <v>123380.17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144245</v>
      </c>
      <c r="D122" s="24" t="s">
        <v>312</v>
      </c>
      <c r="E122" s="129">
        <f>'DOE25'!L328</f>
        <v>0</v>
      </c>
      <c r="F122" s="129">
        <f>SUM('DOE25'!L366:'DOE25'!L372)</f>
        <v>36410209.630000003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2777512.29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149980.81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49934.19</v>
      </c>
      <c r="G126" s="95">
        <f>'DOE25'!K426</f>
        <v>301722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57608.75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-57608.75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3071738.1</v>
      </c>
      <c r="D136" s="141">
        <f>SUM(D122:D135)</f>
        <v>0</v>
      </c>
      <c r="E136" s="141">
        <f>SUM(E122:E135)</f>
        <v>0</v>
      </c>
      <c r="F136" s="141">
        <f>SUM(F122:F135)</f>
        <v>36460143.82</v>
      </c>
      <c r="G136" s="141">
        <f>SUM(G122:G135)</f>
        <v>301722</v>
      </c>
    </row>
    <row r="137" spans="1:9" ht="12.75" thickTop="1" thickBot="1" x14ac:dyDescent="0.25">
      <c r="A137" s="33" t="s">
        <v>267</v>
      </c>
      <c r="C137" s="86">
        <f>(C107+C120+C136)</f>
        <v>40362807.539999999</v>
      </c>
      <c r="D137" s="86">
        <f>(D107+D120+D136)</f>
        <v>995709.75</v>
      </c>
      <c r="E137" s="86">
        <f>(E107+E120+E136)</f>
        <v>2888345.54</v>
      </c>
      <c r="F137" s="86">
        <f>(F107+F120+F136)</f>
        <v>36460143.82</v>
      </c>
      <c r="G137" s="86">
        <f>(G107+G120+G136)</f>
        <v>301722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5</v>
      </c>
      <c r="E143" s="153">
        <f>'DOE25'!I480</f>
        <v>30</v>
      </c>
      <c r="F143" s="153">
        <f>'DOE25'!J480</f>
        <v>30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08/92</v>
      </c>
      <c r="C144" s="152" t="str">
        <f>'DOE25'!G481</f>
        <v>08/02</v>
      </c>
      <c r="D144" s="152" t="str">
        <f>'DOE25'!H481</f>
        <v>06/09</v>
      </c>
      <c r="E144" s="152" t="str">
        <f>'DOE25'!I481</f>
        <v>07/09</v>
      </c>
      <c r="F144" s="152" t="str">
        <f>'DOE25'!J481</f>
        <v>07/10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 t="str">
        <f>'DOE25'!G482</f>
        <v>08/12</v>
      </c>
      <c r="D145" s="152" t="str">
        <f>'DOE25'!H482</f>
        <v>06/14</v>
      </c>
      <c r="E145" s="152" t="str">
        <f>'DOE25'!I482</f>
        <v>07/39</v>
      </c>
      <c r="F145" s="152" t="str">
        <f>'DOE25'!J482</f>
        <v>08/39</v>
      </c>
      <c r="G145" s="24" t="s">
        <v>312</v>
      </c>
    </row>
    <row r="146" spans="1:7" x14ac:dyDescent="0.2">
      <c r="A146" s="136" t="s">
        <v>30</v>
      </c>
      <c r="B146" s="137">
        <f>'DOE25'!F483</f>
        <v>2717849</v>
      </c>
      <c r="C146" s="137">
        <f>'DOE25'!G483</f>
        <v>2996343</v>
      </c>
      <c r="D146" s="137">
        <f>'DOE25'!H483</f>
        <v>325000</v>
      </c>
      <c r="E146" s="137">
        <f>'DOE25'!I483</f>
        <v>25000000</v>
      </c>
      <c r="F146" s="137">
        <f>'DOE25'!J483</f>
        <v>32508500</v>
      </c>
      <c r="G146" s="24" t="s">
        <v>312</v>
      </c>
    </row>
    <row r="147" spans="1:7" x14ac:dyDescent="0.2">
      <c r="A147" s="136" t="s">
        <v>31</v>
      </c>
      <c r="B147" s="137" t="str">
        <f>'DOE25'!F484</f>
        <v>"5.3-6.2</v>
      </c>
      <c r="C147" s="137" t="str">
        <f>'DOE25'!G484</f>
        <v>"3.0-4.0</v>
      </c>
      <c r="D147" s="137">
        <f>'DOE25'!H484</f>
        <v>3.61</v>
      </c>
      <c r="E147" s="137">
        <f>'DOE25'!I484</f>
        <v>4.3</v>
      </c>
      <c r="F147" s="137">
        <f>'DOE25'!J484</f>
        <v>4.46</v>
      </c>
      <c r="G147" s="24" t="s">
        <v>312</v>
      </c>
    </row>
    <row r="148" spans="1:7" x14ac:dyDescent="0.2">
      <c r="A148" s="22" t="s">
        <v>32</v>
      </c>
      <c r="B148" s="137">
        <f>'DOE25'!F485</f>
        <v>405000</v>
      </c>
      <c r="C148" s="137">
        <f>'DOE25'!G485</f>
        <v>885000</v>
      </c>
      <c r="D148" s="137">
        <f>'DOE25'!H485</f>
        <v>260000</v>
      </c>
      <c r="E148" s="137">
        <f>'DOE25'!I485</f>
        <v>24713715.48</v>
      </c>
      <c r="F148" s="137">
        <f>'DOE25'!J485</f>
        <v>0</v>
      </c>
      <c r="G148" s="138">
        <f>SUM(B148:F148)</f>
        <v>26263715.48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32508500</v>
      </c>
      <c r="G149" s="138">
        <f t="shared" ref="G149:G156" si="0">SUM(B149:F149)</f>
        <v>32508500</v>
      </c>
    </row>
    <row r="150" spans="1:7" x14ac:dyDescent="0.2">
      <c r="A150" s="22" t="s">
        <v>34</v>
      </c>
      <c r="B150" s="137">
        <f>'DOE25'!F487</f>
        <v>135000</v>
      </c>
      <c r="C150" s="137">
        <f>'DOE25'!G487</f>
        <v>295000</v>
      </c>
      <c r="D150" s="137">
        <f>'DOE25'!H487</f>
        <v>65000</v>
      </c>
      <c r="E150" s="137">
        <f>'DOE25'!I487</f>
        <v>1431194.75</v>
      </c>
      <c r="F150" s="137">
        <f>'DOE25'!J487</f>
        <v>851317.54</v>
      </c>
      <c r="G150" s="138">
        <f t="shared" si="0"/>
        <v>2777512.29</v>
      </c>
    </row>
    <row r="151" spans="1:7" x14ac:dyDescent="0.2">
      <c r="A151" s="22" t="s">
        <v>35</v>
      </c>
      <c r="B151" s="137">
        <f>'DOE25'!F488</f>
        <v>270000</v>
      </c>
      <c r="C151" s="137">
        <f>'DOE25'!G488</f>
        <v>590000</v>
      </c>
      <c r="D151" s="137">
        <f>'DOE25'!H488</f>
        <v>195000</v>
      </c>
      <c r="E151" s="137">
        <f>'DOE25'!I488</f>
        <v>23282520.73</v>
      </c>
      <c r="F151" s="137">
        <f>'DOE25'!J488</f>
        <v>31657182.460000001</v>
      </c>
      <c r="G151" s="138">
        <f t="shared" si="0"/>
        <v>55994703.189999998</v>
      </c>
    </row>
    <row r="152" spans="1:7" x14ac:dyDescent="0.2">
      <c r="A152" s="22" t="s">
        <v>36</v>
      </c>
      <c r="B152" s="137">
        <f>'DOE25'!F489</f>
        <v>16740</v>
      </c>
      <c r="C152" s="137">
        <f>'DOE25'!G489</f>
        <v>23600</v>
      </c>
      <c r="D152" s="137">
        <f>'DOE25'!H489</f>
        <v>14079</v>
      </c>
      <c r="E152" s="137">
        <f>'DOE25'!I489</f>
        <v>20138107.059999999</v>
      </c>
      <c r="F152" s="137">
        <f>'DOE25'!J489</f>
        <v>29367818.789999999</v>
      </c>
      <c r="G152" s="138">
        <f t="shared" si="0"/>
        <v>49560344.849999994</v>
      </c>
    </row>
    <row r="153" spans="1:7" x14ac:dyDescent="0.2">
      <c r="A153" s="22" t="s">
        <v>37</v>
      </c>
      <c r="B153" s="137">
        <f>'DOE25'!F490</f>
        <v>286740</v>
      </c>
      <c r="C153" s="137">
        <f>'DOE25'!G490</f>
        <v>613600</v>
      </c>
      <c r="D153" s="137">
        <f>'DOE25'!H490</f>
        <v>209079</v>
      </c>
      <c r="E153" s="137">
        <f>'DOE25'!I490</f>
        <v>43420627.789999999</v>
      </c>
      <c r="F153" s="137">
        <f>'DOE25'!J490</f>
        <v>61025001.25</v>
      </c>
      <c r="G153" s="138">
        <f t="shared" si="0"/>
        <v>105555048.03999999</v>
      </c>
    </row>
    <row r="154" spans="1:7" x14ac:dyDescent="0.2">
      <c r="A154" s="22" t="s">
        <v>38</v>
      </c>
      <c r="B154" s="137">
        <f>'DOE25'!F491</f>
        <v>135000</v>
      </c>
      <c r="C154" s="137">
        <f>'DOE25'!G491</f>
        <v>295000</v>
      </c>
      <c r="D154" s="137">
        <f>'DOE25'!H491</f>
        <v>65000</v>
      </c>
      <c r="E154" s="137">
        <f>'DOE25'!I491</f>
        <v>1370172.09</v>
      </c>
      <c r="F154" s="137">
        <f>'DOE25'!J491</f>
        <v>1981039.56</v>
      </c>
      <c r="G154" s="138">
        <f t="shared" si="0"/>
        <v>3846211.6500000004</v>
      </c>
    </row>
    <row r="155" spans="1:7" x14ac:dyDescent="0.2">
      <c r="A155" s="22" t="s">
        <v>39</v>
      </c>
      <c r="B155" s="137">
        <f>'DOE25'!F492</f>
        <v>12555</v>
      </c>
      <c r="C155" s="137">
        <f>'DOE25'!G492</f>
        <v>17700</v>
      </c>
      <c r="D155" s="137">
        <f>'DOE25'!H492</f>
        <v>7039.5</v>
      </c>
      <c r="E155" s="137">
        <f>'DOE25'!I492</f>
        <v>126809.91</v>
      </c>
      <c r="F155" s="137">
        <f>'DOE25'!J492</f>
        <v>121717.94</v>
      </c>
      <c r="G155" s="138">
        <f t="shared" si="0"/>
        <v>285822.34999999998</v>
      </c>
    </row>
    <row r="156" spans="1:7" x14ac:dyDescent="0.2">
      <c r="A156" s="22" t="s">
        <v>269</v>
      </c>
      <c r="B156" s="137">
        <f>'DOE25'!F493</f>
        <v>147555</v>
      </c>
      <c r="C156" s="137">
        <f>'DOE25'!G493</f>
        <v>312700</v>
      </c>
      <c r="D156" s="137">
        <f>'DOE25'!H493</f>
        <v>72039.5</v>
      </c>
      <c r="E156" s="137">
        <f>'DOE25'!I493</f>
        <v>1496982</v>
      </c>
      <c r="F156" s="137">
        <f>'DOE25'!J493</f>
        <v>2102757.5</v>
      </c>
      <c r="G156" s="138">
        <f t="shared" si="0"/>
        <v>4132034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2700-E1F8-4DF9-93E9-B41FAE319B0A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Governor Wentworth Regional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15491</v>
      </c>
    </row>
    <row r="5" spans="1:4" x14ac:dyDescent="0.2">
      <c r="B5" t="s">
        <v>735</v>
      </c>
      <c r="C5" s="179">
        <f>IF('DOE25'!G655+'DOE25'!G660=0,0,ROUND('DOE25'!G662,0))</f>
        <v>17153</v>
      </c>
    </row>
    <row r="6" spans="1:4" x14ac:dyDescent="0.2">
      <c r="B6" t="s">
        <v>62</v>
      </c>
      <c r="C6" s="179">
        <f>IF('DOE25'!H655+'DOE25'!H660=0,0,ROUND('DOE25'!H662,0))</f>
        <v>13937</v>
      </c>
    </row>
    <row r="7" spans="1:4" x14ac:dyDescent="0.2">
      <c r="B7" t="s">
        <v>736</v>
      </c>
      <c r="C7" s="179">
        <f>IF('DOE25'!I655+'DOE25'!I660=0,0,ROUND('DOE25'!I662,0))</f>
        <v>15214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17933218</v>
      </c>
      <c r="D10" s="182">
        <f>ROUND((C10/$C$28)*100,1)</f>
        <v>43.9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7740637</v>
      </c>
      <c r="D11" s="182">
        <f>ROUND((C11/$C$28)*100,1)</f>
        <v>19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1131994</v>
      </c>
      <c r="D12" s="182">
        <f>ROUND((C12/$C$28)*100,1)</f>
        <v>2.8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604751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1738877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1477190</v>
      </c>
      <c r="D16" s="182">
        <f t="shared" si="0"/>
        <v>3.6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613872</v>
      </c>
      <c r="D17" s="182">
        <f t="shared" si="0"/>
        <v>1.5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2324434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420439</v>
      </c>
      <c r="D19" s="182">
        <f t="shared" si="0"/>
        <v>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3620599</v>
      </c>
      <c r="D20" s="182">
        <f t="shared" si="0"/>
        <v>8.9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2236184</v>
      </c>
      <c r="D21" s="182">
        <f t="shared" si="0"/>
        <v>5.5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337220</v>
      </c>
      <c r="D24" s="182">
        <f t="shared" si="0"/>
        <v>0.8</v>
      </c>
    </row>
    <row r="25" spans="1:4" x14ac:dyDescent="0.2">
      <c r="A25">
        <v>5120</v>
      </c>
      <c r="B25" t="s">
        <v>751</v>
      </c>
      <c r="C25" s="179">
        <f>ROUND('DOE25'!L253+'DOE25'!L334,0)</f>
        <v>149981</v>
      </c>
      <c r="D25" s="182">
        <f t="shared" si="0"/>
        <v>0.4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490234.91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40819630.909999996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36554455</v>
      </c>
    </row>
    <row r="30" spans="1:4" x14ac:dyDescent="0.2">
      <c r="B30" s="187" t="s">
        <v>760</v>
      </c>
      <c r="C30" s="180">
        <f>SUM(C28:C29)</f>
        <v>77374085.909999996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2777512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20650514</v>
      </c>
      <c r="D35" s="182">
        <f t="shared" ref="D35:D40" si="1">ROUND((C35/$C$41)*100,1)</f>
        <v>42.3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2302437.09</v>
      </c>
      <c r="D36" s="182">
        <f t="shared" si="1"/>
        <v>4.7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14339686</v>
      </c>
      <c r="D37" s="182">
        <f t="shared" si="1"/>
        <v>29.4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8338495</v>
      </c>
      <c r="D38" s="182">
        <f t="shared" si="1"/>
        <v>17.100000000000001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3159642</v>
      </c>
      <c r="D39" s="182">
        <f t="shared" si="1"/>
        <v>6.5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48790774.090000004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32508500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C844-9549-4881-9A6E-3DE5C84596A2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3" t="str">
        <f>'DOE25'!A2</f>
        <v>Governor Wentworth Regional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92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2011-10-04T15:16:50Z</cp:lastPrinted>
  <dcterms:created xsi:type="dcterms:W3CDTF">1997-12-04T19:04:30Z</dcterms:created>
  <dcterms:modified xsi:type="dcterms:W3CDTF">2025-01-10T19:52:39Z</dcterms:modified>
</cp:coreProperties>
</file>