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B098B87-E4AF-4D06-99F6-6B84AA0B9703}" xr6:coauthVersionLast="47" xr6:coauthVersionMax="47" xr10:uidLastSave="{00000000-0000-0000-0000-000000000000}"/>
  <workbookProtection workbookPassword="B30A" lockStructure="1"/>
  <bookViews>
    <workbookView xWindow="2415" yWindow="2415" windowWidth="21600" windowHeight="11505" tabRatio="855" xr2:uid="{4CF5FBC6-D347-4F3E-A273-88BBC0550E0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G189" i="1"/>
  <c r="H190" i="1"/>
  <c r="C11" i="12"/>
  <c r="C12" i="12"/>
  <c r="C20" i="12"/>
  <c r="C19" i="12"/>
  <c r="C21" i="12"/>
  <c r="C22" i="12" s="1"/>
  <c r="B20" i="12"/>
  <c r="B22" i="12" s="1"/>
  <c r="B21" i="12"/>
  <c r="B12" i="12"/>
  <c r="B11" i="12"/>
  <c r="B13" i="12" s="1"/>
  <c r="B10" i="12"/>
  <c r="I594" i="1"/>
  <c r="H594" i="1"/>
  <c r="I269" i="1"/>
  <c r="H269" i="1"/>
  <c r="H288" i="1"/>
  <c r="H287" i="1"/>
  <c r="H268" i="1"/>
  <c r="G269" i="1"/>
  <c r="C18" i="12" s="1"/>
  <c r="G288" i="1"/>
  <c r="G268" i="1"/>
  <c r="L268" i="1" s="1"/>
  <c r="G287" i="1"/>
  <c r="G301" i="1" s="1"/>
  <c r="K275" i="1"/>
  <c r="K294" i="1"/>
  <c r="J288" i="1"/>
  <c r="J269" i="1"/>
  <c r="J287" i="1"/>
  <c r="J268" i="1"/>
  <c r="I288" i="1"/>
  <c r="I287" i="1"/>
  <c r="I268" i="1"/>
  <c r="F269" i="1"/>
  <c r="L269" i="1" s="1"/>
  <c r="E102" i="2" s="1"/>
  <c r="F288" i="1"/>
  <c r="L288" i="1" s="1"/>
  <c r="F287" i="1"/>
  <c r="F268" i="1"/>
  <c r="H146" i="1"/>
  <c r="H147" i="1"/>
  <c r="H151" i="1"/>
  <c r="F572" i="1"/>
  <c r="F569" i="1"/>
  <c r="G511" i="1"/>
  <c r="G512" i="1"/>
  <c r="G517" i="1"/>
  <c r="G516" i="1"/>
  <c r="G519" i="1" s="1"/>
  <c r="F517" i="1"/>
  <c r="L517" i="1" s="1"/>
  <c r="G540" i="1" s="1"/>
  <c r="F516" i="1"/>
  <c r="G213" i="1"/>
  <c r="G195" i="1"/>
  <c r="F492" i="1"/>
  <c r="G492" i="1"/>
  <c r="B19" i="12"/>
  <c r="H512" i="1"/>
  <c r="I512" i="1"/>
  <c r="I511" i="1"/>
  <c r="H532" i="1"/>
  <c r="L532" i="1"/>
  <c r="J540" i="1" s="1"/>
  <c r="H531" i="1"/>
  <c r="H527" i="1"/>
  <c r="H526" i="1"/>
  <c r="H511" i="1"/>
  <c r="F512" i="1"/>
  <c r="F511" i="1"/>
  <c r="F522" i="1"/>
  <c r="F521" i="1"/>
  <c r="H581" i="1"/>
  <c r="I581" i="1"/>
  <c r="H587" i="1"/>
  <c r="H585" i="1"/>
  <c r="K585" i="1" s="1"/>
  <c r="I582" i="1"/>
  <c r="I588" i="1" s="1"/>
  <c r="H640" i="1" s="1"/>
  <c r="H582" i="1"/>
  <c r="K582" i="1" s="1"/>
  <c r="H218" i="1"/>
  <c r="H200" i="1"/>
  <c r="H199" i="1"/>
  <c r="J199" i="1"/>
  <c r="H217" i="1"/>
  <c r="H242" i="1"/>
  <c r="H214" i="1"/>
  <c r="H196" i="1"/>
  <c r="H213" i="1"/>
  <c r="H195" i="1"/>
  <c r="H192" i="1"/>
  <c r="L192" i="1" s="1"/>
  <c r="C13" i="10" s="1"/>
  <c r="H189" i="1"/>
  <c r="H203" i="1" s="1"/>
  <c r="H249" i="1" s="1"/>
  <c r="H263" i="1" s="1"/>
  <c r="K199" i="1"/>
  <c r="K197" i="1"/>
  <c r="K214" i="1"/>
  <c r="K196" i="1"/>
  <c r="J217" i="1"/>
  <c r="J194" i="1"/>
  <c r="J189" i="1"/>
  <c r="I242" i="1"/>
  <c r="I195" i="1"/>
  <c r="I199" i="1"/>
  <c r="L199" i="1" s="1"/>
  <c r="I197" i="1"/>
  <c r="I213" i="1"/>
  <c r="I221" i="1" s="1"/>
  <c r="I212" i="1"/>
  <c r="I194" i="1"/>
  <c r="I192" i="1"/>
  <c r="I208" i="1"/>
  <c r="I190" i="1"/>
  <c r="I189" i="1"/>
  <c r="H197" i="1"/>
  <c r="H194" i="1"/>
  <c r="L194" i="1" s="1"/>
  <c r="H208" i="1"/>
  <c r="H221" i="1" s="1"/>
  <c r="F242" i="1"/>
  <c r="F248" i="1" s="1"/>
  <c r="L248" i="1" s="1"/>
  <c r="F213" i="1"/>
  <c r="F221" i="1" s="1"/>
  <c r="F195" i="1"/>
  <c r="L195" i="1" s="1"/>
  <c r="F212" i="1"/>
  <c r="F194" i="1"/>
  <c r="F199" i="1"/>
  <c r="F197" i="1"/>
  <c r="F214" i="1"/>
  <c r="F196" i="1"/>
  <c r="F192" i="1"/>
  <c r="F208" i="1"/>
  <c r="L208" i="1" s="1"/>
  <c r="F190" i="1"/>
  <c r="B18" i="12" s="1"/>
  <c r="F189" i="1"/>
  <c r="L189" i="1" s="1"/>
  <c r="F102" i="1"/>
  <c r="F103" i="1" s="1"/>
  <c r="F12" i="1"/>
  <c r="G462" i="1"/>
  <c r="K350" i="1"/>
  <c r="G360" i="1"/>
  <c r="F360" i="1"/>
  <c r="G359" i="1"/>
  <c r="F359" i="1"/>
  <c r="K351" i="1"/>
  <c r="J351" i="1"/>
  <c r="I351" i="1"/>
  <c r="H351" i="1"/>
  <c r="H354" i="1" s="1"/>
  <c r="F351" i="1"/>
  <c r="L351" i="1" s="1"/>
  <c r="J350" i="1"/>
  <c r="I350" i="1"/>
  <c r="H350" i="1"/>
  <c r="F350" i="1"/>
  <c r="C37" i="10"/>
  <c r="C60" i="2"/>
  <c r="B2" i="13"/>
  <c r="F8" i="13"/>
  <c r="G8" i="13"/>
  <c r="L196" i="1"/>
  <c r="E8" i="13" s="1"/>
  <c r="L214" i="1"/>
  <c r="L232" i="1"/>
  <c r="C17" i="10" s="1"/>
  <c r="D39" i="13"/>
  <c r="F13" i="13"/>
  <c r="G13" i="13"/>
  <c r="L198" i="1"/>
  <c r="L216" i="1"/>
  <c r="L234" i="1"/>
  <c r="F16" i="13"/>
  <c r="G16" i="13"/>
  <c r="L201" i="1"/>
  <c r="L219" i="1"/>
  <c r="E16" i="13" s="1"/>
  <c r="C16" i="13" s="1"/>
  <c r="L237" i="1"/>
  <c r="F5" i="13"/>
  <c r="G5" i="13"/>
  <c r="L191" i="1"/>
  <c r="L207" i="1"/>
  <c r="L209" i="1"/>
  <c r="L210" i="1"/>
  <c r="L225" i="1"/>
  <c r="L226" i="1"/>
  <c r="L227" i="1"/>
  <c r="L228" i="1"/>
  <c r="F6" i="13"/>
  <c r="G6" i="13"/>
  <c r="L212" i="1"/>
  <c r="L230" i="1"/>
  <c r="F7" i="13"/>
  <c r="G7" i="13"/>
  <c r="L231" i="1"/>
  <c r="F12" i="13"/>
  <c r="G12" i="13"/>
  <c r="L215" i="1"/>
  <c r="L233" i="1"/>
  <c r="F14" i="13"/>
  <c r="G14" i="13"/>
  <c r="L217" i="1"/>
  <c r="L235" i="1"/>
  <c r="F15" i="13"/>
  <c r="G15" i="13"/>
  <c r="L200" i="1"/>
  <c r="L218" i="1"/>
  <c r="L236" i="1"/>
  <c r="F17" i="13"/>
  <c r="G17" i="13"/>
  <c r="L243" i="1"/>
  <c r="D17" i="13" s="1"/>
  <c r="C17" i="13" s="1"/>
  <c r="F18" i="13"/>
  <c r="G18" i="13"/>
  <c r="L244" i="1"/>
  <c r="C24" i="10" s="1"/>
  <c r="D18" i="13"/>
  <c r="C18" i="13"/>
  <c r="F19" i="13"/>
  <c r="G19" i="13"/>
  <c r="L245" i="1"/>
  <c r="D19" i="13" s="1"/>
  <c r="C19" i="13" s="1"/>
  <c r="G29" i="13"/>
  <c r="L352" i="1"/>
  <c r="I359" i="1"/>
  <c r="J282" i="1"/>
  <c r="J301" i="1"/>
  <c r="J320" i="1"/>
  <c r="K282" i="1"/>
  <c r="K301" i="1"/>
  <c r="K320" i="1"/>
  <c r="L270" i="1"/>
  <c r="L271" i="1"/>
  <c r="L273" i="1"/>
  <c r="L274" i="1"/>
  <c r="L275" i="1"/>
  <c r="L276" i="1"/>
  <c r="L277" i="1"/>
  <c r="C19" i="10" s="1"/>
  <c r="L278" i="1"/>
  <c r="E115" i="2" s="1"/>
  <c r="L279" i="1"/>
  <c r="E116" i="2" s="1"/>
  <c r="L280" i="1"/>
  <c r="L289" i="1"/>
  <c r="L290" i="1"/>
  <c r="L292" i="1"/>
  <c r="E110" i="2" s="1"/>
  <c r="L293" i="1"/>
  <c r="E111" i="2" s="1"/>
  <c r="L294" i="1"/>
  <c r="L295" i="1"/>
  <c r="E113" i="2" s="1"/>
  <c r="L296" i="1"/>
  <c r="L297" i="1"/>
  <c r="L298" i="1"/>
  <c r="L299" i="1"/>
  <c r="L306" i="1"/>
  <c r="L307" i="1"/>
  <c r="L308" i="1"/>
  <c r="E103" i="2"/>
  <c r="L309" i="1"/>
  <c r="E104" i="2" s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H25" i="13" s="1"/>
  <c r="L253" i="1"/>
  <c r="L333" i="1"/>
  <c r="L334" i="1"/>
  <c r="L247" i="1"/>
  <c r="L328" i="1"/>
  <c r="F22" i="13"/>
  <c r="C22" i="13"/>
  <c r="C11" i="13"/>
  <c r="C10" i="13"/>
  <c r="C9" i="13"/>
  <c r="L353" i="1"/>
  <c r="B4" i="12"/>
  <c r="B36" i="12"/>
  <c r="C36" i="12"/>
  <c r="B40" i="12"/>
  <c r="C40" i="12"/>
  <c r="B27" i="12"/>
  <c r="C27" i="12"/>
  <c r="B31" i="12"/>
  <c r="C31" i="12"/>
  <c r="C13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J104" i="1" s="1"/>
  <c r="G48" i="2"/>
  <c r="G55" i="2" s="1"/>
  <c r="G51" i="2"/>
  <c r="G54" i="2" s="1"/>
  <c r="G53" i="2"/>
  <c r="F2" i="11"/>
  <c r="L603" i="1"/>
  <c r="H653" i="1"/>
  <c r="L602" i="1"/>
  <c r="G653" i="1"/>
  <c r="L601" i="1"/>
  <c r="F653" i="1" s="1"/>
  <c r="I653" i="1" s="1"/>
  <c r="C40" i="10"/>
  <c r="F52" i="1"/>
  <c r="G52" i="1"/>
  <c r="D48" i="2" s="1"/>
  <c r="D55" i="2" s="1"/>
  <c r="H52" i="1"/>
  <c r="I52" i="1"/>
  <c r="F71" i="1"/>
  <c r="F86" i="1"/>
  <c r="G103" i="1"/>
  <c r="H71" i="1"/>
  <c r="H86" i="1"/>
  <c r="H103" i="1"/>
  <c r="H104" i="1" s="1"/>
  <c r="I103" i="1"/>
  <c r="I104" i="1" s="1"/>
  <c r="J103" i="1"/>
  <c r="F113" i="1"/>
  <c r="F128" i="1"/>
  <c r="F132" i="1" s="1"/>
  <c r="G113" i="1"/>
  <c r="G128" i="1"/>
  <c r="G132" i="1"/>
  <c r="H113" i="1"/>
  <c r="H128" i="1"/>
  <c r="H132" i="1"/>
  <c r="I113" i="1"/>
  <c r="I132" i="1" s="1"/>
  <c r="I128" i="1"/>
  <c r="J113" i="1"/>
  <c r="J128" i="1"/>
  <c r="J132" i="1" s="1"/>
  <c r="F139" i="1"/>
  <c r="C77" i="2" s="1"/>
  <c r="C83" i="2" s="1"/>
  <c r="F154" i="1"/>
  <c r="F161" i="1"/>
  <c r="G139" i="1"/>
  <c r="G154" i="1"/>
  <c r="G161" i="1"/>
  <c r="H139" i="1"/>
  <c r="H154" i="1"/>
  <c r="I139" i="1"/>
  <c r="I154" i="1"/>
  <c r="I161" i="1"/>
  <c r="L324" i="1"/>
  <c r="E105" i="2" s="1"/>
  <c r="L246" i="1"/>
  <c r="L260" i="1"/>
  <c r="L261" i="1"/>
  <c r="L341" i="1"/>
  <c r="E134" i="2"/>
  <c r="L342" i="1"/>
  <c r="C26" i="10"/>
  <c r="I655" i="1"/>
  <c r="I660" i="1"/>
  <c r="H652" i="1"/>
  <c r="I659" i="1"/>
  <c r="C6" i="10"/>
  <c r="C42" i="10"/>
  <c r="L366" i="1"/>
  <c r="L374" i="1" s="1"/>
  <c r="G626" i="1" s="1"/>
  <c r="J626" i="1" s="1"/>
  <c r="L367" i="1"/>
  <c r="F122" i="2" s="1"/>
  <c r="F136" i="2" s="1"/>
  <c r="L368" i="1"/>
  <c r="L369" i="1"/>
  <c r="L370" i="1"/>
  <c r="L371" i="1"/>
  <c r="L372" i="1"/>
  <c r="B2" i="10"/>
  <c r="L336" i="1"/>
  <c r="L337" i="1"/>
  <c r="L338" i="1"/>
  <c r="E129" i="2" s="1"/>
  <c r="L339" i="1"/>
  <c r="L343" i="1" s="1"/>
  <c r="K343" i="1"/>
  <c r="L511" i="1"/>
  <c r="L514" i="1" s="1"/>
  <c r="F539" i="1"/>
  <c r="L512" i="1"/>
  <c r="F540" i="1" s="1"/>
  <c r="L513" i="1"/>
  <c r="F541" i="1"/>
  <c r="L518" i="1"/>
  <c r="G541" i="1"/>
  <c r="K541" i="1" s="1"/>
  <c r="L521" i="1"/>
  <c r="L524" i="1" s="1"/>
  <c r="H539" i="1"/>
  <c r="L522" i="1"/>
  <c r="H540" i="1" s="1"/>
  <c r="L523" i="1"/>
  <c r="H541" i="1" s="1"/>
  <c r="L526" i="1"/>
  <c r="I539" i="1" s="1"/>
  <c r="L528" i="1"/>
  <c r="I541" i="1"/>
  <c r="L533" i="1"/>
  <c r="J541" i="1"/>
  <c r="E124" i="2"/>
  <c r="K262" i="1"/>
  <c r="J262" i="1"/>
  <c r="I262" i="1"/>
  <c r="H262" i="1"/>
  <c r="G262" i="1"/>
  <c r="F262" i="1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E19" i="2" s="1"/>
  <c r="F10" i="2"/>
  <c r="I432" i="1"/>
  <c r="J10" i="1"/>
  <c r="C11" i="2"/>
  <c r="D12" i="2"/>
  <c r="E12" i="2"/>
  <c r="F12" i="2"/>
  <c r="F13" i="2"/>
  <c r="F14" i="2"/>
  <c r="F15" i="2"/>
  <c r="F16" i="2"/>
  <c r="F17" i="2"/>
  <c r="F18" i="2"/>
  <c r="F19" i="2"/>
  <c r="I433" i="1"/>
  <c r="J12" i="1" s="1"/>
  <c r="G12" i="2" s="1"/>
  <c r="C13" i="2"/>
  <c r="D13" i="2"/>
  <c r="E13" i="2"/>
  <c r="I434" i="1"/>
  <c r="J13" i="1"/>
  <c r="G13" i="2"/>
  <c r="C14" i="2"/>
  <c r="D14" i="2"/>
  <c r="D16" i="2"/>
  <c r="D17" i="2"/>
  <c r="D18" i="2"/>
  <c r="E14" i="2"/>
  <c r="I435" i="1"/>
  <c r="J14" i="1"/>
  <c r="G14" i="2"/>
  <c r="C16" i="2"/>
  <c r="E16" i="2"/>
  <c r="C17" i="2"/>
  <c r="E17" i="2"/>
  <c r="I436" i="1"/>
  <c r="C18" i="2"/>
  <c r="E18" i="2"/>
  <c r="I437" i="1"/>
  <c r="J18" i="1"/>
  <c r="G18" i="2"/>
  <c r="C22" i="2"/>
  <c r="C32" i="2" s="1"/>
  <c r="D22" i="2"/>
  <c r="D32" i="2" s="1"/>
  <c r="E22" i="2"/>
  <c r="E32" i="2" s="1"/>
  <c r="F22" i="2"/>
  <c r="F32" i="2" s="1"/>
  <c r="I440" i="1"/>
  <c r="C23" i="2"/>
  <c r="D23" i="2"/>
  <c r="E23" i="2"/>
  <c r="E24" i="2"/>
  <c r="E25" i="2"/>
  <c r="E28" i="2"/>
  <c r="E29" i="2"/>
  <c r="E30" i="2"/>
  <c r="E31" i="2"/>
  <c r="E34" i="2"/>
  <c r="E35" i="2"/>
  <c r="E36" i="2"/>
  <c r="E37" i="2"/>
  <c r="E38" i="2"/>
  <c r="E40" i="2"/>
  <c r="E41" i="2"/>
  <c r="E42" i="2"/>
  <c r="F23" i="2"/>
  <c r="I441" i="1"/>
  <c r="J24" i="1" s="1"/>
  <c r="G23" i="2" s="1"/>
  <c r="C24" i="2"/>
  <c r="D24" i="2"/>
  <c r="F24" i="2"/>
  <c r="I442" i="1"/>
  <c r="J25" i="1"/>
  <c r="G24" i="2" s="1"/>
  <c r="C25" i="2"/>
  <c r="D25" i="2"/>
  <c r="F25" i="2"/>
  <c r="C26" i="2"/>
  <c r="F26" i="2"/>
  <c r="C27" i="2"/>
  <c r="F27" i="2"/>
  <c r="C28" i="2"/>
  <c r="D28" i="2"/>
  <c r="F28" i="2"/>
  <c r="C29" i="2"/>
  <c r="D29" i="2"/>
  <c r="F29" i="2"/>
  <c r="C30" i="2"/>
  <c r="D30" i="2"/>
  <c r="F30" i="2"/>
  <c r="C31" i="2"/>
  <c r="D31" i="2"/>
  <c r="F31" i="2"/>
  <c r="I443" i="1"/>
  <c r="J32" i="1"/>
  <c r="G31" i="2" s="1"/>
  <c r="C34" i="2"/>
  <c r="D34" i="2"/>
  <c r="F34" i="2"/>
  <c r="F42" i="2" s="1"/>
  <c r="C35" i="2"/>
  <c r="D35" i="2"/>
  <c r="F35" i="2"/>
  <c r="C36" i="2"/>
  <c r="D36" i="2"/>
  <c r="F36" i="2"/>
  <c r="I446" i="1"/>
  <c r="J37" i="1"/>
  <c r="C37" i="2"/>
  <c r="D37" i="2"/>
  <c r="F37" i="2"/>
  <c r="I447" i="1"/>
  <c r="I450" i="1" s="1"/>
  <c r="J38" i="1"/>
  <c r="J43" i="1" s="1"/>
  <c r="G37" i="2"/>
  <c r="G42" i="2" s="1"/>
  <c r="C38" i="2"/>
  <c r="D38" i="2"/>
  <c r="F38" i="2"/>
  <c r="I448" i="1"/>
  <c r="J40" i="1"/>
  <c r="G39" i="2"/>
  <c r="C40" i="2"/>
  <c r="D40" i="2"/>
  <c r="F40" i="2"/>
  <c r="I449" i="1"/>
  <c r="J41" i="1"/>
  <c r="G40" i="2" s="1"/>
  <c r="C41" i="2"/>
  <c r="D41" i="2"/>
  <c r="F41" i="2"/>
  <c r="E48" i="2"/>
  <c r="F48" i="2"/>
  <c r="E49" i="2"/>
  <c r="E50" i="2"/>
  <c r="E51" i="2"/>
  <c r="E53" i="2"/>
  <c r="E54" i="2"/>
  <c r="E55" i="2" s="1"/>
  <c r="C50" i="2"/>
  <c r="C51" i="2"/>
  <c r="D51" i="2"/>
  <c r="F51" i="2"/>
  <c r="F53" i="2"/>
  <c r="F54" i="2"/>
  <c r="D52" i="2"/>
  <c r="D53" i="2"/>
  <c r="D54" i="2"/>
  <c r="C53" i="2"/>
  <c r="C54" i="2" s="1"/>
  <c r="C58" i="2"/>
  <c r="C62" i="2" s="1"/>
  <c r="C59" i="2"/>
  <c r="C61" i="2"/>
  <c r="D61" i="2"/>
  <c r="E61" i="2"/>
  <c r="E62" i="2"/>
  <c r="F61" i="2"/>
  <c r="F62" i="2" s="1"/>
  <c r="G61" i="2"/>
  <c r="G62" i="2"/>
  <c r="G69" i="2"/>
  <c r="G70" i="2"/>
  <c r="G73" i="2"/>
  <c r="G96" i="2" s="1"/>
  <c r="D62" i="2"/>
  <c r="C64" i="2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D70" i="2" s="1"/>
  <c r="D73" i="2" s="1"/>
  <c r="D96" i="2" s="1"/>
  <c r="E69" i="2"/>
  <c r="F69" i="2"/>
  <c r="C71" i="2"/>
  <c r="D71" i="2"/>
  <c r="E71" i="2"/>
  <c r="C72" i="2"/>
  <c r="E72" i="2"/>
  <c r="D77" i="2"/>
  <c r="D83" i="2" s="1"/>
  <c r="F77" i="2"/>
  <c r="C79" i="2"/>
  <c r="E79" i="2"/>
  <c r="F79" i="2"/>
  <c r="F83" i="2" s="1"/>
  <c r="C80" i="2"/>
  <c r="D80" i="2"/>
  <c r="D81" i="2"/>
  <c r="E80" i="2"/>
  <c r="E81" i="2"/>
  <c r="E88" i="2"/>
  <c r="E95" i="2" s="1"/>
  <c r="E89" i="2"/>
  <c r="E90" i="2"/>
  <c r="E91" i="2"/>
  <c r="E92" i="2"/>
  <c r="E93" i="2"/>
  <c r="E94" i="2"/>
  <c r="F80" i="2"/>
  <c r="C81" i="2"/>
  <c r="F81" i="2"/>
  <c r="C82" i="2"/>
  <c r="C85" i="2"/>
  <c r="F85" i="2"/>
  <c r="C86" i="2"/>
  <c r="F86" i="2"/>
  <c r="D88" i="2"/>
  <c r="D95" i="2" s="1"/>
  <c r="F88" i="2"/>
  <c r="G88" i="2"/>
  <c r="G95" i="2" s="1"/>
  <c r="C89" i="2"/>
  <c r="D89" i="2"/>
  <c r="D90" i="2"/>
  <c r="D91" i="2"/>
  <c r="D92" i="2"/>
  <c r="D93" i="2"/>
  <c r="D94" i="2"/>
  <c r="F89" i="2"/>
  <c r="G89" i="2"/>
  <c r="C90" i="2"/>
  <c r="G90" i="2"/>
  <c r="C91" i="2"/>
  <c r="F91" i="2"/>
  <c r="F95" i="2" s="1"/>
  <c r="C92" i="2"/>
  <c r="F92" i="2"/>
  <c r="C93" i="2"/>
  <c r="F93" i="2"/>
  <c r="C94" i="2"/>
  <c r="F94" i="2"/>
  <c r="C104" i="2"/>
  <c r="D107" i="2"/>
  <c r="F107" i="2"/>
  <c r="G107" i="2"/>
  <c r="E114" i="2"/>
  <c r="E117" i="2"/>
  <c r="C114" i="2"/>
  <c r="F120" i="2"/>
  <c r="G120" i="2"/>
  <c r="C122" i="2"/>
  <c r="E122" i="2"/>
  <c r="D126" i="2"/>
  <c r="D136" i="2"/>
  <c r="E126" i="2"/>
  <c r="F126" i="2"/>
  <c r="K411" i="1"/>
  <c r="K419" i="1"/>
  <c r="K425" i="1"/>
  <c r="K426" i="1"/>
  <c r="G126" i="2"/>
  <c r="L255" i="1"/>
  <c r="C127" i="2"/>
  <c r="E127" i="2"/>
  <c r="L256" i="1"/>
  <c r="C128" i="2"/>
  <c r="L257" i="1"/>
  <c r="C129" i="2" s="1"/>
  <c r="C134" i="2"/>
  <c r="C135" i="2"/>
  <c r="E135" i="2"/>
  <c r="G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 s="1"/>
  <c r="B150" i="2"/>
  <c r="C150" i="2"/>
  <c r="G150" i="2" s="1"/>
  <c r="D150" i="2"/>
  <c r="E150" i="2"/>
  <c r="F150" i="2"/>
  <c r="B151" i="2"/>
  <c r="C151" i="2"/>
  <c r="D151" i="2"/>
  <c r="E151" i="2"/>
  <c r="F151" i="2"/>
  <c r="G151" i="2" s="1"/>
  <c r="B152" i="2"/>
  <c r="C152" i="2"/>
  <c r="G152" i="2" s="1"/>
  <c r="D152" i="2"/>
  <c r="E152" i="2"/>
  <c r="F152" i="2"/>
  <c r="F490" i="1"/>
  <c r="B153" i="2" s="1"/>
  <c r="G490" i="1"/>
  <c r="C153" i="2"/>
  <c r="H490" i="1"/>
  <c r="D153" i="2" s="1"/>
  <c r="I490" i="1"/>
  <c r="K490" i="1" s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 s="1"/>
  <c r="F493" i="1"/>
  <c r="B156" i="2"/>
  <c r="G493" i="1"/>
  <c r="C156" i="2" s="1"/>
  <c r="H493" i="1"/>
  <c r="D156" i="2" s="1"/>
  <c r="I493" i="1"/>
  <c r="E156" i="2" s="1"/>
  <c r="J493" i="1"/>
  <c r="F156" i="2" s="1"/>
  <c r="G19" i="1"/>
  <c r="G608" i="1"/>
  <c r="J608" i="1" s="1"/>
  <c r="H19" i="1"/>
  <c r="I19" i="1"/>
  <c r="G610" i="1" s="1"/>
  <c r="F33" i="1"/>
  <c r="G33" i="1"/>
  <c r="H33" i="1"/>
  <c r="I33" i="1"/>
  <c r="F43" i="1"/>
  <c r="G43" i="1"/>
  <c r="G613" i="1" s="1"/>
  <c r="G44" i="1"/>
  <c r="H608" i="1"/>
  <c r="H43" i="1"/>
  <c r="H44" i="1" s="1"/>
  <c r="H609" i="1" s="1"/>
  <c r="I43" i="1"/>
  <c r="F169" i="1"/>
  <c r="I169" i="1"/>
  <c r="F175" i="1"/>
  <c r="G175" i="1"/>
  <c r="H175" i="1"/>
  <c r="H184" i="1" s="1"/>
  <c r="I175" i="1"/>
  <c r="I184" i="1" s="1"/>
  <c r="J175" i="1"/>
  <c r="G635" i="1" s="1"/>
  <c r="J635" i="1" s="1"/>
  <c r="F180" i="1"/>
  <c r="G180" i="1"/>
  <c r="G184" i="1" s="1"/>
  <c r="H180" i="1"/>
  <c r="I180" i="1"/>
  <c r="G203" i="1"/>
  <c r="J203" i="1"/>
  <c r="J249" i="1" s="1"/>
  <c r="K203" i="1"/>
  <c r="K249" i="1" s="1"/>
  <c r="K263" i="1" s="1"/>
  <c r="G221" i="1"/>
  <c r="J221" i="1"/>
  <c r="K221" i="1"/>
  <c r="F239" i="1"/>
  <c r="G239" i="1"/>
  <c r="H239" i="1"/>
  <c r="I239" i="1"/>
  <c r="J239" i="1"/>
  <c r="K239" i="1"/>
  <c r="G248" i="1"/>
  <c r="H248" i="1"/>
  <c r="I248" i="1"/>
  <c r="J248" i="1"/>
  <c r="K248" i="1"/>
  <c r="L262" i="1"/>
  <c r="H282" i="1"/>
  <c r="H330" i="1" s="1"/>
  <c r="H344" i="1" s="1"/>
  <c r="I282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G354" i="1"/>
  <c r="I354" i="1"/>
  <c r="G624" i="1" s="1"/>
  <c r="J624" i="1" s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G399" i="1"/>
  <c r="G400" i="1" s="1"/>
  <c r="H635" i="1" s="1"/>
  <c r="H399" i="1"/>
  <c r="I399" i="1"/>
  <c r="F400" i="1"/>
  <c r="H633" i="1" s="1"/>
  <c r="J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G438" i="1"/>
  <c r="H438" i="1"/>
  <c r="G631" i="1" s="1"/>
  <c r="F444" i="1"/>
  <c r="F451" i="1" s="1"/>
  <c r="H629" i="1" s="1"/>
  <c r="J629" i="1" s="1"/>
  <c r="G444" i="1"/>
  <c r="H444" i="1"/>
  <c r="F450" i="1"/>
  <c r="G450" i="1"/>
  <c r="H450" i="1"/>
  <c r="G451" i="1"/>
  <c r="H630" i="1" s="1"/>
  <c r="H451" i="1"/>
  <c r="H631" i="1" s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H466" i="1"/>
  <c r="H614" i="1"/>
  <c r="I464" i="1"/>
  <c r="J464" i="1"/>
  <c r="J466" i="1"/>
  <c r="I466" i="1"/>
  <c r="H615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I535" i="1" s="1"/>
  <c r="J514" i="1"/>
  <c r="K514" i="1"/>
  <c r="H519" i="1"/>
  <c r="I519" i="1"/>
  <c r="J519" i="1"/>
  <c r="J535" i="1" s="1"/>
  <c r="K519" i="1"/>
  <c r="K535" i="1" s="1"/>
  <c r="F524" i="1"/>
  <c r="G524" i="1"/>
  <c r="H524" i="1"/>
  <c r="I524" i="1"/>
  <c r="J524" i="1"/>
  <c r="K524" i="1"/>
  <c r="F529" i="1"/>
  <c r="G529" i="1"/>
  <c r="I529" i="1"/>
  <c r="J529" i="1"/>
  <c r="K529" i="1"/>
  <c r="F534" i="1"/>
  <c r="G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6" i="1"/>
  <c r="K587" i="1"/>
  <c r="H588" i="1"/>
  <c r="H639" i="1" s="1"/>
  <c r="J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9" i="1"/>
  <c r="G612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G633" i="1"/>
  <c r="G634" i="1"/>
  <c r="J634" i="1" s="1"/>
  <c r="G640" i="1"/>
  <c r="J640" i="1" s="1"/>
  <c r="G641" i="1"/>
  <c r="H641" i="1"/>
  <c r="J641" i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/>
  <c r="F55" i="2"/>
  <c r="C42" i="2"/>
  <c r="C49" i="2"/>
  <c r="G137" i="2"/>
  <c r="G36" i="2"/>
  <c r="F137" i="2"/>
  <c r="A31" i="12"/>
  <c r="C21" i="10"/>
  <c r="G652" i="1"/>
  <c r="C117" i="2"/>
  <c r="E123" i="2"/>
  <c r="C35" i="10"/>
  <c r="G104" i="1"/>
  <c r="E13" i="13"/>
  <c r="C13" i="13"/>
  <c r="A40" i="12"/>
  <c r="F542" i="1"/>
  <c r="D15" i="13"/>
  <c r="C15" i="13" s="1"/>
  <c r="G249" i="1"/>
  <c r="G263" i="1"/>
  <c r="F44" i="1"/>
  <c r="H607" i="1" s="1"/>
  <c r="D42" i="2"/>
  <c r="I330" i="1"/>
  <c r="I344" i="1" s="1"/>
  <c r="J609" i="1"/>
  <c r="F96" i="2" l="1"/>
  <c r="E96" i="2"/>
  <c r="F29" i="13"/>
  <c r="F33" i="13" s="1"/>
  <c r="L350" i="1"/>
  <c r="J354" i="1"/>
  <c r="C12" i="2"/>
  <c r="F19" i="1"/>
  <c r="G607" i="1" s="1"/>
  <c r="C111" i="2"/>
  <c r="C16" i="10"/>
  <c r="D7" i="13"/>
  <c r="C7" i="13" s="1"/>
  <c r="K588" i="1"/>
  <c r="G637" i="1" s="1"/>
  <c r="L527" i="1"/>
  <c r="H529" i="1"/>
  <c r="L516" i="1"/>
  <c r="F519" i="1"/>
  <c r="F535" i="1" s="1"/>
  <c r="L287" i="1"/>
  <c r="L301" i="1" s="1"/>
  <c r="B9" i="12"/>
  <c r="H426" i="1"/>
  <c r="F301" i="1"/>
  <c r="J613" i="1"/>
  <c r="C95" i="2"/>
  <c r="G651" i="1"/>
  <c r="L197" i="1"/>
  <c r="L203" i="1" s="1"/>
  <c r="I203" i="1"/>
  <c r="I249" i="1" s="1"/>
  <c r="I263" i="1" s="1"/>
  <c r="H534" i="1"/>
  <c r="L531" i="1"/>
  <c r="E101" i="2"/>
  <c r="E107" i="2" s="1"/>
  <c r="L282" i="1"/>
  <c r="D43" i="2"/>
  <c r="K493" i="1"/>
  <c r="L221" i="1"/>
  <c r="G650" i="1" s="1"/>
  <c r="C15" i="10"/>
  <c r="D6" i="13"/>
  <c r="C6" i="13" s="1"/>
  <c r="C110" i="2"/>
  <c r="G156" i="2"/>
  <c r="C8" i="13"/>
  <c r="E33" i="13"/>
  <c r="D35" i="13" s="1"/>
  <c r="J19" i="1"/>
  <c r="G611" i="1" s="1"/>
  <c r="G10" i="2"/>
  <c r="C19" i="2"/>
  <c r="J330" i="1"/>
  <c r="J344" i="1" s="1"/>
  <c r="C103" i="2"/>
  <c r="C12" i="10"/>
  <c r="J630" i="1"/>
  <c r="L329" i="1"/>
  <c r="F184" i="1"/>
  <c r="C70" i="2"/>
  <c r="C73" i="2" s="1"/>
  <c r="E43" i="2"/>
  <c r="C38" i="10"/>
  <c r="J185" i="1"/>
  <c r="L239" i="1"/>
  <c r="H650" i="1" s="1"/>
  <c r="E77" i="2"/>
  <c r="E83" i="2" s="1"/>
  <c r="H161" i="1"/>
  <c r="K330" i="1"/>
  <c r="K344" i="1" s="1"/>
  <c r="G31" i="13"/>
  <c r="G33" i="13" s="1"/>
  <c r="C101" i="2"/>
  <c r="C20" i="10"/>
  <c r="C115" i="2"/>
  <c r="D14" i="13"/>
  <c r="C14" i="13" s="1"/>
  <c r="C39" i="10"/>
  <c r="A22" i="12"/>
  <c r="J612" i="1"/>
  <c r="J263" i="1"/>
  <c r="E136" i="2"/>
  <c r="C48" i="2"/>
  <c r="C55" i="2" s="1"/>
  <c r="C96" i="2" s="1"/>
  <c r="F104" i="1"/>
  <c r="L426" i="1"/>
  <c r="G628" i="1" s="1"/>
  <c r="J628" i="1" s="1"/>
  <c r="I44" i="1"/>
  <c r="H610" i="1" s="1"/>
  <c r="J610" i="1" s="1"/>
  <c r="G615" i="1"/>
  <c r="J615" i="1" s="1"/>
  <c r="J17" i="1"/>
  <c r="G17" i="2" s="1"/>
  <c r="I438" i="1"/>
  <c r="G632" i="1" s="1"/>
  <c r="C130" i="2"/>
  <c r="C133" i="2" s="1"/>
  <c r="L400" i="1"/>
  <c r="E112" i="2"/>
  <c r="E120" i="2" s="1"/>
  <c r="G185" i="1"/>
  <c r="G618" i="1" s="1"/>
  <c r="J618" i="1" s="1"/>
  <c r="L561" i="1"/>
  <c r="H535" i="1"/>
  <c r="G153" i="2"/>
  <c r="G148" i="2"/>
  <c r="G616" i="1"/>
  <c r="J616" i="1" s="1"/>
  <c r="H542" i="1"/>
  <c r="I185" i="1"/>
  <c r="G620" i="1" s="1"/>
  <c r="J620" i="1" s="1"/>
  <c r="C25" i="10"/>
  <c r="C124" i="2"/>
  <c r="C116" i="2"/>
  <c r="H637" i="1"/>
  <c r="G639" i="1"/>
  <c r="J639" i="1" s="1"/>
  <c r="F652" i="1"/>
  <c r="I652" i="1" s="1"/>
  <c r="C43" i="2"/>
  <c r="G535" i="1"/>
  <c r="J631" i="1"/>
  <c r="F43" i="2"/>
  <c r="J23" i="1"/>
  <c r="I444" i="1"/>
  <c r="I451" i="1" s="1"/>
  <c r="H632" i="1" s="1"/>
  <c r="H185" i="1"/>
  <c r="G619" i="1" s="1"/>
  <c r="J619" i="1" s="1"/>
  <c r="H33" i="13"/>
  <c r="C25" i="13"/>
  <c r="F31" i="13"/>
  <c r="F282" i="1"/>
  <c r="F330" i="1" s="1"/>
  <c r="F344" i="1" s="1"/>
  <c r="L242" i="1"/>
  <c r="C32" i="10"/>
  <c r="L213" i="1"/>
  <c r="C112" i="2"/>
  <c r="F354" i="1"/>
  <c r="F203" i="1"/>
  <c r="F249" i="1" s="1"/>
  <c r="F263" i="1" s="1"/>
  <c r="C9" i="12"/>
  <c r="G282" i="1"/>
  <c r="G330" i="1" s="1"/>
  <c r="G344" i="1" s="1"/>
  <c r="J184" i="1"/>
  <c r="L320" i="1"/>
  <c r="C29" i="10"/>
  <c r="C123" i="2"/>
  <c r="L604" i="1"/>
  <c r="G614" i="1"/>
  <c r="J614" i="1" s="1"/>
  <c r="C106" i="2"/>
  <c r="L190" i="1"/>
  <c r="F650" i="1" l="1"/>
  <c r="L249" i="1"/>
  <c r="L263" i="1" s="1"/>
  <c r="G622" i="1" s="1"/>
  <c r="J622" i="1" s="1"/>
  <c r="G627" i="1"/>
  <c r="J627" i="1" s="1"/>
  <c r="H636" i="1"/>
  <c r="D31" i="13"/>
  <c r="C31" i="13" s="1"/>
  <c r="L330" i="1"/>
  <c r="L344" i="1" s="1"/>
  <c r="G623" i="1" s="1"/>
  <c r="J623" i="1" s="1"/>
  <c r="C107" i="2"/>
  <c r="H638" i="1"/>
  <c r="J638" i="1" s="1"/>
  <c r="E137" i="2"/>
  <c r="L534" i="1"/>
  <c r="J539" i="1"/>
  <c r="J542" i="1" s="1"/>
  <c r="J607" i="1"/>
  <c r="C136" i="2"/>
  <c r="G22" i="2"/>
  <c r="G32" i="2" s="1"/>
  <c r="G43" i="2" s="1"/>
  <c r="J33" i="1"/>
  <c r="J44" i="1" s="1"/>
  <c r="H611" i="1" s="1"/>
  <c r="J611" i="1" s="1"/>
  <c r="C102" i="2"/>
  <c r="C11" i="10"/>
  <c r="J632" i="1"/>
  <c r="A13" i="12"/>
  <c r="C23" i="10"/>
  <c r="C105" i="2"/>
  <c r="D29" i="13"/>
  <c r="C29" i="13" s="1"/>
  <c r="D119" i="2"/>
  <c r="D120" i="2" s="1"/>
  <c r="D137" i="2" s="1"/>
  <c r="H651" i="1"/>
  <c r="H654" i="1" s="1"/>
  <c r="F651" i="1"/>
  <c r="L354" i="1"/>
  <c r="G636" i="1"/>
  <c r="J636" i="1" s="1"/>
  <c r="G621" i="1"/>
  <c r="J621" i="1" s="1"/>
  <c r="G654" i="1"/>
  <c r="G539" i="1"/>
  <c r="L519" i="1"/>
  <c r="D5" i="13"/>
  <c r="I540" i="1"/>
  <c r="L529" i="1"/>
  <c r="C113" i="2"/>
  <c r="C120" i="2" s="1"/>
  <c r="C18" i="10"/>
  <c r="D12" i="13"/>
  <c r="C12" i="13" s="1"/>
  <c r="F185" i="1"/>
  <c r="G617" i="1" s="1"/>
  <c r="J617" i="1" s="1"/>
  <c r="C36" i="10"/>
  <c r="C10" i="10"/>
  <c r="G19" i="2"/>
  <c r="J637" i="1"/>
  <c r="H657" i="1" l="1"/>
  <c r="H662" i="1"/>
  <c r="G625" i="1"/>
  <c r="J625" i="1" s="1"/>
  <c r="C27" i="10"/>
  <c r="C28" i="10" s="1"/>
  <c r="C137" i="2"/>
  <c r="K540" i="1"/>
  <c r="I542" i="1"/>
  <c r="I651" i="1"/>
  <c r="D33" i="13"/>
  <c r="D36" i="13" s="1"/>
  <c r="C5" i="13"/>
  <c r="L535" i="1"/>
  <c r="G542" i="1"/>
  <c r="K539" i="1"/>
  <c r="H646" i="1"/>
  <c r="G662" i="1"/>
  <c r="C5" i="10" s="1"/>
  <c r="G657" i="1"/>
  <c r="C41" i="10"/>
  <c r="F654" i="1"/>
  <c r="I650" i="1"/>
  <c r="D22" i="10" l="1"/>
  <c r="C30" i="10"/>
  <c r="D26" i="10"/>
  <c r="D21" i="10"/>
  <c r="D19" i="10"/>
  <c r="D17" i="10"/>
  <c r="D13" i="10"/>
  <c r="D24" i="10"/>
  <c r="D20" i="10"/>
  <c r="D25" i="10"/>
  <c r="D16" i="10"/>
  <c r="D15" i="10"/>
  <c r="D12" i="10"/>
  <c r="D23" i="10"/>
  <c r="D11" i="10"/>
  <c r="D18" i="10"/>
  <c r="D10" i="10"/>
  <c r="F662" i="1"/>
  <c r="C4" i="10" s="1"/>
  <c r="F657" i="1"/>
  <c r="D37" i="10"/>
  <c r="D35" i="10"/>
  <c r="D40" i="10"/>
  <c r="D38" i="10"/>
  <c r="D39" i="10"/>
  <c r="D36" i="10"/>
  <c r="K542" i="1"/>
  <c r="D27" i="10"/>
  <c r="I654" i="1"/>
  <c r="D41" i="10" l="1"/>
  <c r="D28" i="10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AF7A5C1-80F5-40A7-A8B7-ABDDA8C83DE6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24CC422-A671-42E8-A1B8-B8A220582EB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24C9DD1-E4A9-4FF9-A0B9-BFCCC8A1F40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57D16AD-316D-4BC8-AA73-59E4F4EE0A9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43E0F30-3EC4-4DB7-8C8A-2D6C1A6C7C3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5AE7615-DCD5-4A46-8499-43433B66EBA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8EE8B6B-3E32-47EF-AD6E-340CF058A11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317DA47-B257-4439-9936-6CD7A555E7C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EB748015-7CA4-42CD-8A0F-10AB7EDCC6A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4B268BB-EF1D-4DCE-8199-0A95BB1C35A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D86A6B5-2D53-4F69-BA1A-790CC89039F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68FD753-EEAC-4B92-BCF4-F9B4565C5FC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<sst xmlns="http://schemas.openxmlformats.org/spreadsheetml/2006/main" count="3863" uniqueCount="900">
  <si>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</si>
  <si>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</si>
  <si>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</si>
  <si>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</si>
  <si>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</si>
  <si>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</si>
  <si>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</si>
  <si>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</si>
  <si>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</si>
  <si>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</si>
  <si>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</si>
  <si>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</si>
  <si>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</si>
  <si>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</si>
  <si>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</si>
  <si>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</si>
  <si>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</si>
  <si>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</si>
  <si>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</si>
  <si>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</si>
  <si>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</si>
  <si>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</si>
  <si>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</si>
  <si>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</si>
  <si>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</si>
  <si>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</si>
  <si>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</si>
  <si>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</si>
  <si>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</si>
  <si>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</si>
  <si>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</si>
  <si>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</si>
  <si>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</si>
  <si>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</si>
  <si>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</si>
  <si>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</si>
  <si>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</si>
  <si>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</si>
  <si>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</si>
  <si>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</si>
  <si>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</si>
  <si>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</si>
  <si>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</si>
  <si>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</si>
  <si>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</si>
  <si>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</si>
  <si>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</si>
  <si>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</si>
  <si>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</si>
  <si>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</si>
  <si>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</si>
  <si>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</si>
  <si>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</si>
  <si>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</si>
  <si>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</si>
  <si>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</si>
  <si>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</si>
  <si>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</si>
  <si>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</si>
  <si>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</si>
  <si>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</si>
  <si>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</si>
  <si>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</si>
  <si>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</si>
  <si>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</si>
  <si>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</si>
  <si>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</si>
  <si>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</si>
  <si>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</si>
  <si>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</si>
  <si>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</si>
  <si>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</si>
  <si>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</si>
  <si>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</si>
  <si>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</si>
  <si>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</si>
  <si>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</si>
  <si>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</si>
  <si>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</si>
  <si>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</si>
  <si>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</si>
  <si>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</si>
  <si>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</si>
  <si>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</si>
  <si>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</si>
  <si>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</si>
  <si>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</si>
  <si>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</si>
  <si>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</si>
  <si>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</si>
  <si>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</si>
  <si>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</si>
  <si>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</si>
  <si>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</si>
  <si>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</si>
  <si>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</si>
  <si>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</si>
  <si>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</si>
  <si>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</si>
  <si>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</si>
  <si>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</si>
  <si>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</si>
  <si>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</si>
  <si>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</si>
  <si>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</si>
  <si>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</si>
  <si>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</si>
  <si>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</si>
  <si>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</si>
  <si>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</si>
  <si>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</si>
  <si>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</si>
  <si>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</si>
  <si>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</si>
  <si>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</si>
  <si>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</si>
  <si>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</si>
  <si>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</si>
  <si>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</si>
  <si>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</si>
  <si>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</si>
  <si>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</si>
  <si>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</si>
  <si>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</si>
  <si>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</si>
  <si>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</si>
  <si>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</si>
  <si>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</si>
  <si>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</si>
  <si>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</si>
  <si>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</si>
  <si>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</si>
  <si>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</si>
  <si>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</si>
  <si>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</si>
  <si>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</si>
  <si>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</si>
  <si>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</si>
  <si>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</si>
  <si>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</si>
  <si>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</si>
  <si>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</si>
  <si>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</si>
  <si>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</si>
  <si>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</si>
  <si>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</si>
  <si>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</si>
  <si>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</si>
  <si>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</si>
  <si>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</si>
  <si>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</si>
  <si>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</si>
  <si>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</si>
  <si>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</si>
  <si>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</si>
  <si>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</si>
  <si>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</si>
  <si>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</si>
  <si>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</si>
  <si>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</si>
  <si>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</si>
  <si>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</si>
  <si>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</si>
  <si>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</si>
  <si>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</si>
  <si>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</si>
  <si>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</si>
  <si>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</si>
  <si>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</si>
  <si>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</si>
  <si>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</si>
  <si>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</si>
  <si>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</si>
  <si>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</si>
  <si>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</si>
  <si>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</si>
  <si>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</si>
  <si>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</si>
  <si>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</si>
  <si>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</si>
  <si>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</si>
  <si>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</si>
  <si>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</si>
  <si>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</si>
  <si>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</si>
  <si>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</si>
  <si>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</si>
  <si>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</si>
  <si>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</si>
  <si>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</si>
  <si>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</si>
  <si>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</si>
  <si>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</si>
  <si>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</si>
  <si>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</si>
  <si>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</si>
  <si>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</si>
  <si>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</si>
  <si>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</si>
  <si>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</si>
  <si>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</si>
  <si>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</si>
  <si>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</si>
  <si>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</si>
  <si>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</si>
  <si>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</si>
  <si>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</si>
  <si>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</si>
  <si>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</si>
  <si>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</si>
  <si>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</si>
  <si>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</si>
  <si>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</si>
  <si>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</si>
  <si>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</si>
  <si>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</si>
  <si>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</si>
  <si>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</si>
  <si>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</si>
  <si>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</si>
  <si>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</si>
  <si>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</si>
  <si>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</si>
  <si>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</si>
  <si>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</si>
  <si>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</si>
  <si>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</si>
  <si>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</si>
  <si>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</si>
  <si>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</si>
  <si>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</si>
  <si>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</si>
  <si>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</si>
  <si>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</si>
  <si>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</si>
  <si>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</si>
  <si>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</si>
  <si>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</si>
  <si>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</si>
  <si>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</si>
  <si>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</si>
  <si>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</si>
  <si>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</si>
  <si>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</si>
  <si>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</si>
  <si>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</si>
  <si>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</si>
  <si>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</si>
  <si>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</si>
  <si>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</si>
  <si>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</si>
  <si>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</si>
  <si>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</si>
  <si>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</si>
  <si>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</si>
  <si>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</si>
  <si>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</si>
  <si>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</si>
  <si>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</si>
  <si>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</si>
  <si>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</si>
  <si>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</si>
  <si>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</si>
  <si>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</si>
  <si>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</si>
  <si>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</si>
  <si>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</si>
  <si>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</si>
  <si>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</si>
  <si>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</si>
  <si>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</si>
  <si>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</si>
  <si>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</si>
  <si>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</si>
  <si>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</si>
  <si>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</si>
  <si>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</si>
  <si>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</si>
  <si>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</si>
  <si>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</si>
  <si>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</si>
  <si>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</si>
  <si>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</si>
  <si>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</si>
  <si>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</si>
  <si>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</si>
  <si>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</si>
  <si>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</si>
  <si>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</si>
  <si>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</si>
  <si>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</si>
  <si>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</si>
  <si>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</si>
  <si>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</si>
  <si>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</si>
  <si>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</si>
  <si>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</si>
  <si>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</si>
  <si>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</si>
  <si>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</si>
  <si>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</si>
  <si>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</si>
  <si>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</si>
  <si>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</si>
  <si>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</si>
  <si>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</si>
  <si>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</si>
  <si>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</si>
  <si>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</si>
  <si>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</si>
  <si>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</si>
  <si>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</si>
  <si>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</si>
  <si>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</si>
  <si>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</si>
  <si>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</si>
  <si>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</si>
  <si>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</si>
  <si>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</si>
  <si>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</si>
  <si>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</si>
  <si>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</si>
  <si>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</si>
  <si>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</si>
  <si>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</si>
  <si>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</si>
  <si>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</si>
  <si>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</si>
  <si>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</si>
  <si>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</si>
  <si>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</si>
  <si>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</si>
  <si>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</si>
  <si>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</si>
  <si>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</si>
  <si>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</si>
  <si>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</si>
  <si>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</si>
  <si>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</si>
  <si>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</si>
  <si>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</si>
  <si>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</si>
  <si>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</si>
  <si>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</si>
  <si>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</si>
  <si>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</si>
  <si>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</si>
  <si>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</si>
  <si>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</si>
  <si>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</si>
  <si>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</si>
  <si>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</si>
  <si>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</si>
  <si>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</si>
  <si>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</si>
  <si>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</si>
  <si>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</si>
  <si>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</si>
  <si>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</si>
  <si>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</si>
  <si>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</si>
  <si>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</si>
  <si>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</si>
  <si>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</si>
  <si>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</si>
  <si>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</si>
  <si>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</si>
  <si>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</si>
  <si>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</si>
  <si>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</si>
  <si>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</si>
  <si>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</si>
  <si>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</si>
  <si>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</si>
  <si>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</si>
  <si>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</si>
  <si>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</si>
  <si>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</si>
  <si>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</si>
  <si>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</si>
  <si>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</si>
  <si>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</si>
  <si>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</si>
  <si>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</si>
  <si>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</si>
  <si>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</si>
  <si>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</si>
  <si>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</si>
  <si>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</si>
  <si>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</si>
  <si>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</si>
  <si>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</si>
  <si>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</si>
  <si>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</si>
  <si>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</si>
  <si>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</si>
  <si>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</si>
  <si>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</si>
  <si>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</si>
  <si>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</si>
  <si>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</si>
  <si>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</si>
  <si>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</si>
  <si>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</si>
  <si>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</si>
  <si>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</si>
  <si>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</si>
  <si>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</si>
  <si>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</si>
  <si>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</si>
  <si>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</si>
  <si>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</si>
  <si>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</si>
  <si>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</si>
  <si>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</si>
  <si>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</si>
  <si>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</si>
  <si>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</si>
  <si>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</si>
  <si>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</si>
  <si>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</si>
  <si>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</si>
  <si>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</si>
  <si>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</si>
  <si>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</si>
  <si>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</si>
  <si>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</si>
  <si>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</si>
  <si>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</si>
  <si>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</si>
  <si>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</si>
  <si>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</si>
  <si>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</si>
  <si>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</si>
  <si>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</si>
  <si>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</si>
  <si>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</si>
  <si>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</si>
  <si>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</si>
  <si>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</si>
  <si>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</si>
  <si>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</si>
  <si>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</si>
  <si>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</si>
  <si>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</si>
  <si>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</si>
  <si>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</si>
  <si>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</si>
  <si>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</si>
  <si>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</si>
  <si>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</si>
  <si>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</si>
  <si>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</si>
  <si>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</si>
  <si>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</si>
  <si>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</si>
  <si>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</si>
  <si>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</si>
  <si>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</si>
  <si>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</si>
  <si>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</si>
  <si>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</si>
  <si>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</si>
  <si>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</si>
  <si>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</si>
  <si>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</si>
  <si>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</si>
  <si>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</si>
  <si>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</si>
  <si>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</si>
  <si>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</si>
  <si>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</si>
  <si>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</si>
  <si>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</si>
  <si>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</si>
  <si>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</si>
  <si>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</si>
  <si>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</si>
  <si>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</si>
  <si>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</si>
  <si>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</si>
  <si>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</si>
  <si>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</si>
  <si>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</si>
  <si>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</si>
  <si>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</si>
  <si>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</si>
  <si>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</si>
  <si>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</si>
  <si>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</si>
  <si>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</si>
  <si>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</si>
  <si>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</si>
  <si>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</si>
  <si>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</si>
  <si>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</si>
  <si>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</si>
  <si>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</si>
  <si>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</si>
  <si>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</si>
  <si>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</si>
  <si>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</si>
  <si>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</si>
  <si>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</si>
  <si>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</si>
  <si>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</si>
  <si>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</si>
  <si>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</si>
  <si>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</si>
  <si>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</si>
  <si>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</si>
  <si>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</si>
  <si>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</si>
  <si>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</si>
  <si>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</si>
  <si>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</si>
  <si>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</si>
  <si>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</si>
  <si>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</si>
  <si>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</si>
  <si>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</si>
  <si>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</si>
  <si>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</si>
  <si>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</si>
  <si>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</si>
  <si>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</si>
  <si>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</si>
  <si>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</si>
  <si>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</si>
  <si>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</si>
  <si>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</si>
  <si>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</si>
  <si>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</si>
  <si>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</si>
  <si>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</si>
  <si>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</si>
  <si>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</si>
  <si>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</si>
  <si>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</si>
  <si>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</si>
  <si>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</si>
  <si>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</si>
  <si>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</si>
  <si>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</si>
  <si>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</si>
  <si>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</si>
  <si>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</si>
  <si>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</si>
  <si>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</si>
  <si>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</si>
  <si>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</si>
  <si>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</si>
  <si>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</si>
  <si>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</si>
  <si>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</si>
  <si>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</si>
  <si>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</si>
  <si>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</si>
  <si>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</si>
  <si>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</si>
  <si>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</si>
  <si>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</si>
  <si>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</si>
  <si>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</si>
  <si>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</si>
  <si>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</si>
  <si>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</si>
  <si>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</si>
  <si>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</si>
  <si>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</si>
  <si>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</si>
  <si>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</si>
  <si>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</si>
  <si>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</si>
  <si>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</si>
  <si>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</si>
  <si>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</si>
  <si>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</si>
  <si>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</si>
  <si>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</si>
  <si>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</si>
  <si>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</si>
  <si>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</si>
  <si>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</si>
  <si>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</si>
  <si>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</si>
  <si>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</si>
  <si>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</si>
  <si>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</si>
  <si>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</si>
  <si>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</si>
  <si>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</si>
  <si>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</si>
  <si>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</si>
  <si>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</si>
  <si>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</si>
  <si>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</si>
  <si>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</si>
  <si>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</si>
  <si>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</si>
  <si>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</si>
  <si>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</si>
  <si>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</si>
  <si>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</si>
  <si>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</si>
  <si>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</si>
  <si>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</si>
  <si>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</si>
  <si>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</si>
  <si>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</si>
  <si>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</si>
  <si>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</si>
  <si>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</si>
  <si>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</si>
  <si>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</si>
  <si>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</si>
  <si>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</si>
  <si>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</si>
  <si>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</si>
  <si>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</si>
  <si>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</si>
  <si>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</si>
  <si>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</si>
  <si>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</si>
  <si>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</si>
  <si>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</si>
  <si>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</si>
  <si>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</si>
  <si>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</si>
  <si>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</si>
  <si>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</si>
  <si>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</si>
  <si>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</si>
  <si>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</si>
  <si>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</si>
  <si>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</si>
  <si>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</si>
  <si>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</si>
  <si>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</si>
  <si>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</si>
  <si>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</si>
  <si>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</si>
  <si>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</si>
  <si>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</si>
  <si>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</si>
  <si>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</si>
  <si>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</si>
  <si>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</si>
  <si>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</si>
  <si>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</si>
  <si>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</si>
  <si>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</si>
  <si>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</si>
  <si>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</si>
  <si>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</si>
  <si>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</si>
  <si>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</si>
  <si>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</si>
  <si>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</si>
  <si>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</si>
  <si>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</si>
  <si>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</si>
  <si>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</si>
  <si>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</si>
  <si>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</si>
  <si>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</si>
  <si>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</si>
  <si>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</si>
  <si>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</si>
  <si>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</si>
  <si>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</si>
  <si>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</si>
  <si>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</si>
  <si>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</si>
  <si>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</si>
  <si>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</si>
  <si>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</si>
  <si>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</si>
  <si>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</si>
  <si>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</si>
  <si>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</si>
  <si>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</si>
  <si>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</si>
  <si>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</si>
  <si>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</si>
  <si>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</si>
  <si>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</si>
  <si>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</si>
  <si>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</si>
  <si>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</si>
  <si>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</si>
  <si>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</si>
  <si>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</si>
  <si>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</si>
  <si>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</si>
  <si>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</si>
  <si>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</si>
  <si>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</si>
  <si>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</si>
  <si>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</si>
  <si>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</si>
  <si>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</si>
  <si>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</si>
  <si>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</si>
  <si>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</si>
  <si>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</si>
  <si>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</si>
  <si>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</si>
  <si>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</si>
  <si>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</si>
  <si>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</si>
  <si>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</si>
  <si>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</si>
  <si>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</si>
  <si>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</si>
  <si>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</si>
  <si>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</si>
  <si>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</si>
  <si>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</si>
  <si>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</si>
  <si>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</si>
  <si>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</si>
  <si>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</si>
  <si>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</si>
  <si>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</si>
  <si>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</si>
  <si>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</si>
  <si>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</si>
  <si>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</si>
  <si>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</si>
  <si>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</si>
  <si>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</si>
  <si>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</si>
  <si>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</si>
  <si>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</si>
  <si>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</si>
  <si>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</si>
  <si>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</si>
  <si>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</si>
  <si>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</si>
  <si>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</si>
  <si>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</si>
  <si>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</si>
  <si>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</si>
  <si>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</si>
  <si>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</si>
  <si>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</si>
  <si>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</si>
  <si>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</si>
  <si>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</si>
  <si>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</si>
  <si>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</si>
  <si>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</si>
  <si>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</si>
  <si>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</si>
  <si>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</si>
  <si>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</si>
  <si>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</si>
  <si>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</si>
  <si>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</si>
  <si>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</si>
  <si>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</si>
  <si>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</si>
  <si>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</si>
  <si>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</si>
  <si>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</si>
  <si>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</si>
  <si>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</si>
  <si>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</si>
  <si>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</si>
  <si>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</si>
  <si>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</si>
  <si>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</si>
  <si>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</si>
  <si>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</si>
  <si>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</si>
  <si>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</si>
  <si>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</si>
  <si>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</si>
  <si>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</si>
  <si>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</si>
  <si>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</si>
  <si>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</si>
  <si>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</si>
  <si>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</si>
  <si>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</si>
  <si>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</si>
  <si>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</si>
  <si>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</si>
  <si>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</si>
  <si>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</si>
  <si>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</si>
  <si>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</si>
  <si>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</si>
  <si>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</si>
  <si>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</si>
  <si>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</si>
  <si>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</si>
  <si>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</si>
  <si>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</si>
  <si>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</si>
  <si>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</si>
  <si>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</si>
  <si>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</si>
  <si>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</si>
  <si>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</si>
  <si>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</si>
  <si>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</si>
  <si>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</si>
  <si>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</si>
  <si>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</si>
  <si>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</si>
  <si>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</si>
  <si>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</si>
  <si>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</si>
  <si>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</si>
  <si>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</si>
  <si>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</si>
  <si>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</si>
  <si>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</si>
  <si>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</si>
  <si>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</si>
  <si>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</si>
  <si>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</si>
  <si>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</si>
  <si>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</si>
  <si>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</si>
  <si>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</si>
  <si>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</si>
  <si>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</si>
  <si>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</si>
  <si>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</si>
  <si>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</si>
  <si>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</si>
  <si>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</si>
  <si>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</si>
  <si>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</si>
  <si>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</si>
  <si>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</si>
  <si>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</si>
  <si>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</si>
  <si>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</si>
  <si>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</si>
  <si>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</si>
  <si>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</si>
  <si>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</si>
  <si>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</si>
  <si>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</si>
  <si>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</si>
  <si>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</si>
  <si>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</si>
  <si>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</si>
  <si>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</si>
  <si>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</si>
  <si>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</si>
  <si>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</si>
  <si>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</si>
  <si>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</si>
  <si>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</si>
  <si>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</si>
  <si>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</si>
  <si>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</si>
  <si>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</si>
  <si>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</si>
  <si>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</si>
  <si>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</si>
  <si>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</si>
  <si>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</si>
  <si>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</si>
  <si>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</si>
  <si>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</si>
  <si>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</si>
  <si>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</si>
  <si>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</si>
  <si>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</si>
  <si>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</si>
  <si>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</si>
  <si>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</si>
  <si>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</si>
  <si>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</si>
  <si>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</si>
  <si>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</si>
  <si>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</si>
  <si>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</si>
  <si>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</si>
  <si>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</si>
  <si>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</si>
  <si>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</si>
  <si>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</si>
  <si>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</si>
  <si>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</si>
  <si>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</si>
  <si>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</si>
  <si>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</si>
  <si>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$318,598.37 is Impact Fees received from the Town of Hampton</t>
  </si>
  <si>
    <t>JULY 1996</t>
  </si>
  <si>
    <t>JULY 1998</t>
  </si>
  <si>
    <t>AUG 2016</t>
  </si>
  <si>
    <t>AUG 2018</t>
  </si>
  <si>
    <t>Hampton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</si>
</sst>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8229-21B0-4E4A-9E0F-1CA096E9AE18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899</v>
      </c>
      <c r="B2" s="21">
        <v>225</v>
      </c>
      <c r="C2" s="21">
        <v>225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882836.12</v>
      </c>
      <c r="G9" s="18">
        <v>300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53061.11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111728.63+10866.42</f>
        <v>122595.05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871.26</v>
      </c>
      <c r="G13" s="18">
        <v>35106.28</v>
      </c>
      <c r="H13" s="18">
        <v>109799.34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979.22</v>
      </c>
      <c r="G14" s="18">
        <v>1266.8800000000001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1007281.65</v>
      </c>
      <c r="G19" s="41">
        <f>SUM(G9:G18)</f>
        <v>36673.159999999996</v>
      </c>
      <c r="H19" s="41">
        <f>SUM(H9:H18)</f>
        <v>109799.34</v>
      </c>
      <c r="I19" s="41">
        <f>SUM(I9:I18)</f>
        <v>0</v>
      </c>
      <c r="J19" s="41">
        <f>SUM(J9:J18)</f>
        <v>53061.11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10866.42</v>
      </c>
      <c r="H24" s="18">
        <v>109799.34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134894.71</v>
      </c>
      <c r="G25" s="18">
        <v>14119.79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59921.120000000003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11165.67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194815.83</v>
      </c>
      <c r="G33" s="41">
        <f>SUM(G23:G32)</f>
        <v>36151.879999999997</v>
      </c>
      <c r="H33" s="41">
        <f>SUM(H23:H32)</f>
        <v>109799.34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206116.85</v>
      </c>
      <c r="G37" s="18">
        <v>481.68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75000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2759.61</v>
      </c>
      <c r="G41" s="18">
        <v>39.6</v>
      </c>
      <c r="H41" s="18"/>
      <c r="I41" s="18"/>
      <c r="J41" s="13">
        <f>SUM(I449)</f>
        <v>53061.11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528589.36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812465.82</v>
      </c>
      <c r="G43" s="41">
        <f>SUM(G35:G42)</f>
        <v>521.28</v>
      </c>
      <c r="H43" s="41">
        <f>SUM(H35:H42)</f>
        <v>0</v>
      </c>
      <c r="I43" s="41">
        <f>SUM(I35:I42)</f>
        <v>0</v>
      </c>
      <c r="J43" s="41">
        <f>SUM(J35:J42)</f>
        <v>53061.11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1007281.6499999999</v>
      </c>
      <c r="G44" s="41">
        <f>G43+G33</f>
        <v>36673.159999999996</v>
      </c>
      <c r="H44" s="41">
        <f>H43+H33</f>
        <v>109799.34</v>
      </c>
      <c r="I44" s="41">
        <f>I43+I33</f>
        <v>0</v>
      </c>
      <c r="J44" s="41">
        <f>J43+J33</f>
        <v>53061.11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13310669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13310669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-1484.1</v>
      </c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-1484.1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/>
      <c r="J88" s="18">
        <v>3061.11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324714.44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50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5270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6949.17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318598.37+35775.51</f>
        <v>354373.88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366643.05</v>
      </c>
      <c r="G103" s="41">
        <f>SUM(G88:G102)</f>
        <v>324714.44</v>
      </c>
      <c r="H103" s="41">
        <f>SUM(H88:H102)</f>
        <v>0</v>
      </c>
      <c r="I103" s="41">
        <f>SUM(I88:I102)</f>
        <v>0</v>
      </c>
      <c r="J103" s="41">
        <f>SUM(J88:J102)</f>
        <v>3061.11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13675827.950000001</v>
      </c>
      <c r="G104" s="41">
        <f>G52+G103</f>
        <v>324714.44</v>
      </c>
      <c r="H104" s="41">
        <f>H52+H71+H86+H103</f>
        <v>0</v>
      </c>
      <c r="I104" s="41">
        <f>I52+I103</f>
        <v>0</v>
      </c>
      <c r="J104" s="41">
        <f>J52+J103</f>
        <v>3061.11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4242760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4242760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99237.7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61524.93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7549.57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160762.63</v>
      </c>
      <c r="G128" s="41">
        <f>SUM(G115:G127)</f>
        <v>7549.57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4403522.63</v>
      </c>
      <c r="G132" s="41">
        <f>G113+SUM(G128:G129)</f>
        <v>7549.57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125604.99+53328.67+2995.97+24.49+215.87</f>
        <v>182169.99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95328.75+1295.07+37580.51+22</f>
        <v>134226.33000000002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160756.41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232523.72+8267.57+146515.98+17760.07+2723.79</f>
        <v>407791.13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41514.36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24941.56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41514.36</v>
      </c>
      <c r="G154" s="41">
        <f>SUM(G142:G153)</f>
        <v>185697.97</v>
      </c>
      <c r="H154" s="41">
        <f>SUM(H142:H153)</f>
        <v>724187.45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41514.36</v>
      </c>
      <c r="G161" s="41">
        <f>G139+G154+SUM(G155:G160)</f>
        <v>185697.97</v>
      </c>
      <c r="H161" s="41">
        <f>H139+H154+SUM(H155:H160)</f>
        <v>724187.45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45900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45900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45900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18120864.940000001</v>
      </c>
      <c r="G185" s="47">
        <f>G104+G132+G161+G184</f>
        <v>563861.98</v>
      </c>
      <c r="H185" s="47">
        <f>H104+H132+H161+H184</f>
        <v>724187.45</v>
      </c>
      <c r="I185" s="47">
        <f>I104+I132+I161+I184</f>
        <v>0</v>
      </c>
      <c r="J185" s="47">
        <f>J104+J132+J184</f>
        <v>53061.11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1941716.44+1828595.86</f>
        <v>3770312.3</v>
      </c>
      <c r="G189" s="18">
        <f>1393670.84+228.61+0.05-2.78-0.4</f>
        <v>1393896.3200000003</v>
      </c>
      <c r="H189" s="18">
        <f>15607.02+12618.55</f>
        <v>28225.57</v>
      </c>
      <c r="I189" s="18">
        <f>56605.72+47498.04</f>
        <v>104103.76000000001</v>
      </c>
      <c r="J189" s="18">
        <f>3168.37+1940.31</f>
        <v>5108.68</v>
      </c>
      <c r="K189" s="18"/>
      <c r="L189" s="19">
        <f>SUM(F189:K189)</f>
        <v>5301646.63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1791211.65*66%</f>
        <v>1182199.689</v>
      </c>
      <c r="G190" s="18">
        <v>374587.18</v>
      </c>
      <c r="H190" s="18">
        <f>382624.14*66%-5296.95</f>
        <v>247234.98240000001</v>
      </c>
      <c r="I190" s="18">
        <f>4290.09*66%</f>
        <v>2831.4594000000002</v>
      </c>
      <c r="J190" s="18"/>
      <c r="K190" s="18">
        <v>470</v>
      </c>
      <c r="L190" s="19">
        <f>SUM(F190:K190)</f>
        <v>1807323.3108000001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6668+7117</f>
        <v>13785</v>
      </c>
      <c r="G192" s="18">
        <v>1153.8</v>
      </c>
      <c r="H192" s="18">
        <f>2839+2999.87</f>
        <v>5838.87</v>
      </c>
      <c r="I192" s="18">
        <f>1789.89+1541.33</f>
        <v>3331.2200000000003</v>
      </c>
      <c r="J192" s="18"/>
      <c r="K192" s="18"/>
      <c r="L192" s="19">
        <f>SUM(F192:K192)</f>
        <v>24108.89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76444.94+74515.04+84769.12+44970.03+114848.74+67193.96+9442.56</f>
        <v>472184.39</v>
      </c>
      <c r="G194" s="18">
        <v>196333.54</v>
      </c>
      <c r="H194" s="18">
        <f>320+300</f>
        <v>620</v>
      </c>
      <c r="I194" s="18">
        <f>599.3+577.56+1139.8+1059.98</f>
        <v>3376.64</v>
      </c>
      <c r="J194" s="18">
        <f>201.65+469.5</f>
        <v>671.15</v>
      </c>
      <c r="K194" s="18"/>
      <c r="L194" s="19">
        <f t="shared" ref="L194:L200" si="0">SUM(F194:K194)</f>
        <v>673185.72000000009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18255.51+4000+69499.9+31964.89+20262.81+120593.71</f>
        <v>264576.82</v>
      </c>
      <c r="G195" s="18">
        <f>5979.75+13058.5+95903.59</f>
        <v>114941.84</v>
      </c>
      <c r="H195" s="18">
        <f>2363.95+9422.55+10084.25+397.87+10358.98</f>
        <v>32627.599999999999</v>
      </c>
      <c r="I195" s="18">
        <f>796.19+7384.75+8202.3+96715</f>
        <v>113098.24000000001</v>
      </c>
      <c r="J195" s="18">
        <v>9732.59</v>
      </c>
      <c r="K195" s="18">
        <v>219</v>
      </c>
      <c r="L195" s="19">
        <f t="shared" si="0"/>
        <v>535196.09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23870*66%</f>
        <v>15754.2</v>
      </c>
      <c r="G196" s="18">
        <v>1291.8399999999999</v>
      </c>
      <c r="H196" s="18">
        <f>SUM(30312.5+432522)*66%</f>
        <v>305470.77</v>
      </c>
      <c r="I196" s="18"/>
      <c r="J196" s="18"/>
      <c r="K196" s="18">
        <f>22324.65*66%</f>
        <v>14734.269000000002</v>
      </c>
      <c r="L196" s="19">
        <f t="shared" si="0"/>
        <v>337251.07900000003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234166.31+248177.64</f>
        <v>482343.95</v>
      </c>
      <c r="G197" s="18">
        <v>242738.82</v>
      </c>
      <c r="H197" s="18">
        <f>7462.7+8613.58</f>
        <v>16076.279999999999</v>
      </c>
      <c r="I197" s="18">
        <f>5465.77+5263.99</f>
        <v>10729.76</v>
      </c>
      <c r="J197" s="18"/>
      <c r="K197" s="18">
        <f>1370+1558</f>
        <v>2928</v>
      </c>
      <c r="L197" s="19">
        <f t="shared" si="0"/>
        <v>754816.81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147790.51+192775.64+3414.95</f>
        <v>343981.10000000003</v>
      </c>
      <c r="G199" s="18">
        <v>147401.04</v>
      </c>
      <c r="H199" s="18">
        <f>66330.04+190715.02+15465.25+25437.74-832.1</f>
        <v>297115.95</v>
      </c>
      <c r="I199" s="18">
        <f>99583.65+121213.11</f>
        <v>220796.76</v>
      </c>
      <c r="J199" s="18">
        <f>2772.6+21169.17+16283.52+33972</f>
        <v>74197.289999999994</v>
      </c>
      <c r="K199" s="18">
        <f>94.23+94.24</f>
        <v>188.47</v>
      </c>
      <c r="L199" s="19">
        <f t="shared" si="0"/>
        <v>1083680.6100000001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197578.38+197573.06+2471.75+2000+7850.58+7295.33+107286.96-12022.97-12017.66</f>
        <v>498015.43000000011</v>
      </c>
      <c r="I200" s="18"/>
      <c r="J200" s="18"/>
      <c r="K200" s="18"/>
      <c r="L200" s="19">
        <f t="shared" si="0"/>
        <v>498015.43000000011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6545137.449</v>
      </c>
      <c r="G203" s="41">
        <f t="shared" si="1"/>
        <v>2472344.3800000004</v>
      </c>
      <c r="H203" s="41">
        <f t="shared" si="1"/>
        <v>1431225.4524000001</v>
      </c>
      <c r="I203" s="41">
        <f t="shared" si="1"/>
        <v>458267.83940000006</v>
      </c>
      <c r="J203" s="41">
        <f t="shared" si="1"/>
        <v>89709.709999999992</v>
      </c>
      <c r="K203" s="41">
        <f t="shared" si="1"/>
        <v>18539.739000000001</v>
      </c>
      <c r="L203" s="41">
        <f t="shared" si="1"/>
        <v>11015224.569799999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2279277.2200000002</v>
      </c>
      <c r="G207" s="18">
        <v>775981.02</v>
      </c>
      <c r="H207" s="18">
        <v>14754.72</v>
      </c>
      <c r="I207" s="18">
        <v>55036.86</v>
      </c>
      <c r="J207" s="18">
        <v>4803.0600000000004</v>
      </c>
      <c r="K207" s="18"/>
      <c r="L207" s="19">
        <f>SUM(F207:K207)</f>
        <v>3129852.8800000004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1791211.65*34%</f>
        <v>609011.96100000001</v>
      </c>
      <c r="G208" s="18">
        <v>193391.5</v>
      </c>
      <c r="H208" s="18">
        <f>382624.14*34%</f>
        <v>130092.20760000001</v>
      </c>
      <c r="I208" s="18">
        <f>4290.09*34%</f>
        <v>1458.6306000000002</v>
      </c>
      <c r="J208" s="18"/>
      <c r="K208" s="18"/>
      <c r="L208" s="19">
        <f>SUM(F208:K208)</f>
        <v>933954.29920000001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48392.75</v>
      </c>
      <c r="G210" s="18">
        <v>3968.21</v>
      </c>
      <c r="H210" s="18">
        <v>22045</v>
      </c>
      <c r="I210" s="18">
        <v>14347.39</v>
      </c>
      <c r="J210" s="18"/>
      <c r="K210" s="18"/>
      <c r="L210" s="19">
        <f>SUM(F210:K210)</f>
        <v>88753.349999999991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115230.02+55816.02+31431.63+4864.35</f>
        <v>207342.02000000002</v>
      </c>
      <c r="G212" s="18">
        <v>63020.09</v>
      </c>
      <c r="H212" s="18">
        <v>100</v>
      </c>
      <c r="I212" s="18">
        <f>581.2+1458.05</f>
        <v>2039.25</v>
      </c>
      <c r="J212" s="18">
        <v>825.42</v>
      </c>
      <c r="K212" s="18"/>
      <c r="L212" s="19">
        <f t="shared" ref="L212:L218" si="2">SUM(F212:K212)</f>
        <v>273326.77999999997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70575.96+32458.4+62124.03</f>
        <v>165158.39000000001</v>
      </c>
      <c r="G213" s="18">
        <f>11284.25+64277.5</f>
        <v>75561.75</v>
      </c>
      <c r="H213" s="18">
        <f>9921.29+5336.44+28047.08</f>
        <v>43304.81</v>
      </c>
      <c r="I213" s="18">
        <f>8403.24+49822.88</f>
        <v>58226.119999999995</v>
      </c>
      <c r="J213" s="18">
        <v>5013.75</v>
      </c>
      <c r="K213" s="18"/>
      <c r="L213" s="19">
        <f t="shared" si="2"/>
        <v>347264.82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23870*34%</f>
        <v>8115.8</v>
      </c>
      <c r="G214" s="18">
        <v>665.5</v>
      </c>
      <c r="H214" s="18">
        <f>SUM(30312.5+432522)*34%</f>
        <v>157363.73000000001</v>
      </c>
      <c r="I214" s="18"/>
      <c r="J214" s="18"/>
      <c r="K214" s="18">
        <f>22324.65*34%</f>
        <v>7590.3810000000012</v>
      </c>
      <c r="L214" s="19">
        <f t="shared" si="2"/>
        <v>173735.41099999999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233129.68</v>
      </c>
      <c r="G215" s="18">
        <v>91017</v>
      </c>
      <c r="H215" s="18">
        <v>14306.26</v>
      </c>
      <c r="I215" s="18">
        <v>2861.23</v>
      </c>
      <c r="J215" s="18"/>
      <c r="K215" s="18">
        <v>1625</v>
      </c>
      <c r="L215" s="19">
        <f t="shared" si="2"/>
        <v>342939.17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183062.39999999999</v>
      </c>
      <c r="G217" s="18">
        <v>71387.42</v>
      </c>
      <c r="H217" s="18">
        <f>92158.38+21217.1+785.59+4939.53</f>
        <v>119100.6</v>
      </c>
      <c r="I217" s="18">
        <v>134449.51</v>
      </c>
      <c r="J217" s="18">
        <f>3850.53+8388.48</f>
        <v>12239.01</v>
      </c>
      <c r="K217" s="18">
        <v>94.22</v>
      </c>
      <c r="L217" s="19">
        <f t="shared" si="2"/>
        <v>520333.16000000003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197573.05+9151.34+1038.1+10462.83+55269.04-12017.65</f>
        <v>261476.71</v>
      </c>
      <c r="I218" s="18"/>
      <c r="J218" s="18"/>
      <c r="K218" s="18"/>
      <c r="L218" s="19">
        <f t="shared" si="2"/>
        <v>261476.71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v>0</v>
      </c>
      <c r="H219" s="18"/>
      <c r="I219" s="18"/>
      <c r="J219" s="18"/>
      <c r="K219" s="18">
        <v>884</v>
      </c>
      <c r="L219" s="19">
        <f>SUM(F219:K219)</f>
        <v>884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3733490.2210000004</v>
      </c>
      <c r="G221" s="41">
        <f>SUM(G207:G220)</f>
        <v>1274992.4899999998</v>
      </c>
      <c r="H221" s="41">
        <f>SUM(H207:H220)</f>
        <v>762544.03759999992</v>
      </c>
      <c r="I221" s="41">
        <f>SUM(I207:I220)</f>
        <v>268418.99060000002</v>
      </c>
      <c r="J221" s="41">
        <f>SUM(J207:J220)</f>
        <v>22881.239999999998</v>
      </c>
      <c r="K221" s="41">
        <f t="shared" si="3"/>
        <v>10193.601000000001</v>
      </c>
      <c r="L221" s="41">
        <f t="shared" si="3"/>
        <v>6072520.5802000007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f>12425.05</f>
        <v>12425.05</v>
      </c>
      <c r="G242" s="18"/>
      <c r="H242" s="18">
        <f>3028+2098</f>
        <v>5126</v>
      </c>
      <c r="I242" s="18">
        <f>9321.72+16064.46+1247.95</f>
        <v>26634.13</v>
      </c>
      <c r="J242" s="18"/>
      <c r="K242" s="18"/>
      <c r="L242" s="19">
        <f t="shared" ref="L242:L247" si="6">SUM(F242:K242)</f>
        <v>44185.18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326783.17</v>
      </c>
      <c r="I247" s="18"/>
      <c r="J247" s="18"/>
      <c r="K247" s="18"/>
      <c r="L247" s="19">
        <f t="shared" si="6"/>
        <v>326783.17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12425.05</v>
      </c>
      <c r="G248" s="41">
        <f t="shared" si="7"/>
        <v>0</v>
      </c>
      <c r="H248" s="41">
        <f t="shared" si="7"/>
        <v>331909.17</v>
      </c>
      <c r="I248" s="41">
        <f t="shared" si="7"/>
        <v>26634.13</v>
      </c>
      <c r="J248" s="41">
        <f t="shared" si="7"/>
        <v>0</v>
      </c>
      <c r="K248" s="41">
        <f t="shared" si="7"/>
        <v>0</v>
      </c>
      <c r="L248" s="41">
        <f>SUM(F248:K248)</f>
        <v>370968.35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10291052.720000001</v>
      </c>
      <c r="G249" s="41">
        <f t="shared" si="8"/>
        <v>3747336.87</v>
      </c>
      <c r="H249" s="41">
        <f t="shared" si="8"/>
        <v>2525678.66</v>
      </c>
      <c r="I249" s="41">
        <f t="shared" si="8"/>
        <v>753320.96000000008</v>
      </c>
      <c r="J249" s="41">
        <f t="shared" si="8"/>
        <v>112590.94999999998</v>
      </c>
      <c r="K249" s="41">
        <f t="shared" si="8"/>
        <v>28733.340000000004</v>
      </c>
      <c r="L249" s="41">
        <f t="shared" si="8"/>
        <v>17458713.5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320000</v>
      </c>
      <c r="L252" s="19">
        <f>SUM(F252:K252)</f>
        <v>320000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151500</v>
      </c>
      <c r="L253" s="19">
        <f>SUM(F253:K253)</f>
        <v>151500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45900</v>
      </c>
      <c r="L255" s="19">
        <f>SUM(F255:K255)</f>
        <v>45900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567400</v>
      </c>
      <c r="L262" s="41">
        <f t="shared" si="9"/>
        <v>567400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10291052.720000001</v>
      </c>
      <c r="G263" s="42">
        <f t="shared" si="11"/>
        <v>3747336.87</v>
      </c>
      <c r="H263" s="42">
        <f t="shared" si="11"/>
        <v>2525678.66</v>
      </c>
      <c r="I263" s="42">
        <f t="shared" si="11"/>
        <v>753320.96000000008</v>
      </c>
      <c r="J263" s="42">
        <f t="shared" si="11"/>
        <v>112590.94999999998</v>
      </c>
      <c r="K263" s="42">
        <f t="shared" si="11"/>
        <v>596133.34</v>
      </c>
      <c r="L263" s="42">
        <f t="shared" si="11"/>
        <v>18026113.5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SUM(21550+1515+340+50894.94+2520+1975)*66%+55201.67+34462.5+17664.9+47597.19</f>
        <v>206930.9204</v>
      </c>
      <c r="G268" s="18">
        <f>SUM(6.5+14.72+1764.75+117.3+26.01+1750+65+131.62+4220.18+3582.45+74.71+197.75+151.09)*66%+7.8+14.03+2.66+2.6+7.55+8323.74+4452.5+59.19+156.68+3522.41+84.26+194.81</f>
        <v>24815.602799999997</v>
      </c>
      <c r="H268" s="18">
        <f>SUM(8302.12+2813.12+766.66+56.39+27709.28+450+1425.27)*66%</f>
        <v>27405.074399999998</v>
      </c>
      <c r="I268" s="18">
        <f>SUM(652.75+119.8+819.88)*66%+85+3314.8+1100</f>
        <v>5550.8037999999997</v>
      </c>
      <c r="J268" s="18">
        <f>1497*66%</f>
        <v>988.0200000000001</v>
      </c>
      <c r="K268" s="18"/>
      <c r="L268" s="19">
        <f>SUM(F268:K268)</f>
        <v>265690.42139999999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SUM(12189+117325.31+13125)*66%+7516.63</f>
        <v>101658.57460000001</v>
      </c>
      <c r="G269" s="18">
        <f>SUM(932.46+19.13+2.3+153.4+280.1+9977.23)*66%+575.06</f>
        <v>8075.7091999999993</v>
      </c>
      <c r="H269" s="18">
        <f>SUM(3000+80601+82315.45+300)*66%+12728.05</f>
        <v>122430.90700000002</v>
      </c>
      <c r="I269" s="18">
        <f>SUM(24783.52+24270.2+8665.82)*66%+1302.02+3400+175.88+0.01</f>
        <v>42972.806400000001</v>
      </c>
      <c r="J269" s="18">
        <f>SUM(360.8+359.98)*66%</f>
        <v>475.71480000000003</v>
      </c>
      <c r="K269" s="18"/>
      <c r="L269" s="19">
        <f>SUM(F269:K269)</f>
        <v>275613.71200000006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SUM(106+1535+3379+22+50)*66%+2089.73+330+830-276.21</f>
        <v>6334.2400000000007</v>
      </c>
      <c r="L275" s="19">
        <f t="shared" si="12"/>
        <v>6334.2400000000007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308589.495</v>
      </c>
      <c r="G282" s="42">
        <f t="shared" si="13"/>
        <v>32891.311999999998</v>
      </c>
      <c r="H282" s="42">
        <f t="shared" si="13"/>
        <v>149835.98140000002</v>
      </c>
      <c r="I282" s="42">
        <f t="shared" si="13"/>
        <v>48523.610200000003</v>
      </c>
      <c r="J282" s="42">
        <f t="shared" si="13"/>
        <v>1463.7348000000002</v>
      </c>
      <c r="K282" s="42">
        <f t="shared" si="13"/>
        <v>6334.2400000000007</v>
      </c>
      <c r="L282" s="41">
        <f t="shared" si="13"/>
        <v>547638.37340000004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SUM(21550+1515+340+50894.94+2520+1975)*34%</f>
        <v>26790.279600000002</v>
      </c>
      <c r="G287" s="18">
        <f>SUM(6.5+14.72+1764.75+117.3+26.01+1750+65+131.62+4220.18+3582.45+74.71+197.75+151.09)*34%</f>
        <v>4114.7071999999998</v>
      </c>
      <c r="H287" s="18">
        <f>SUM(8302.12+2813.12+766.66+56.39+27709.28+450+1425.27)*34%</f>
        <v>14117.765600000001</v>
      </c>
      <c r="I287" s="18">
        <f>SUM(652.75+119.8+819.88)*34%</f>
        <v>541.42619999999999</v>
      </c>
      <c r="J287" s="18">
        <f>1497*34%</f>
        <v>508.98</v>
      </c>
      <c r="K287" s="18"/>
      <c r="L287" s="19">
        <f>SUM(F287:K287)</f>
        <v>46073.15860000001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SUM(12189+117325.31+13125)*34%</f>
        <v>48497.365400000002</v>
      </c>
      <c r="G288" s="18">
        <f>SUM(932.46+19.13+2.3+153.4+280.1+9977.23)*34%</f>
        <v>3863.9708000000001</v>
      </c>
      <c r="H288" s="18">
        <f>SUM(3000+80601+82315.45+300)*34%</f>
        <v>56513.593000000008</v>
      </c>
      <c r="I288" s="18">
        <f>SUM(24783.52+24270.2+8665.82)*34%</f>
        <v>19624.643600000003</v>
      </c>
      <c r="J288" s="18">
        <f>SUM(360.8+359.98)*34%</f>
        <v>245.0652</v>
      </c>
      <c r="K288" s="18"/>
      <c r="L288" s="19">
        <f>SUM(F288:K288)</f>
        <v>128744.63800000002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f>SUM(106+1535+3379+22+50)*34%</f>
        <v>1731.2800000000002</v>
      </c>
      <c r="L294" s="19">
        <f t="shared" si="14"/>
        <v>1731.2800000000002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75287.645000000004</v>
      </c>
      <c r="G301" s="42">
        <f t="shared" si="15"/>
        <v>7978.6779999999999</v>
      </c>
      <c r="H301" s="42">
        <f t="shared" si="15"/>
        <v>70631.358600000007</v>
      </c>
      <c r="I301" s="42">
        <f t="shared" si="15"/>
        <v>20166.069800000005</v>
      </c>
      <c r="J301" s="42">
        <f t="shared" si="15"/>
        <v>754.04520000000002</v>
      </c>
      <c r="K301" s="42">
        <f t="shared" si="15"/>
        <v>1731.2800000000002</v>
      </c>
      <c r="L301" s="41">
        <f t="shared" si="15"/>
        <v>176549.07660000003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383877.14</v>
      </c>
      <c r="G330" s="41">
        <f t="shared" si="20"/>
        <v>40869.99</v>
      </c>
      <c r="H330" s="41">
        <f t="shared" si="20"/>
        <v>220467.34000000003</v>
      </c>
      <c r="I330" s="41">
        <f t="shared" si="20"/>
        <v>68689.680000000008</v>
      </c>
      <c r="J330" s="41">
        <f t="shared" si="20"/>
        <v>2217.7800000000002</v>
      </c>
      <c r="K330" s="41">
        <f t="shared" si="20"/>
        <v>8065.52</v>
      </c>
      <c r="L330" s="41">
        <f t="shared" si="20"/>
        <v>724187.45000000007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383877.14</v>
      </c>
      <c r="G344" s="41">
        <f>G330</f>
        <v>40869.99</v>
      </c>
      <c r="H344" s="41">
        <f>H330</f>
        <v>220467.34000000003</v>
      </c>
      <c r="I344" s="41">
        <f>I330</f>
        <v>68689.680000000008</v>
      </c>
      <c r="J344" s="41">
        <f>J330</f>
        <v>2217.7800000000002</v>
      </c>
      <c r="K344" s="47">
        <f>K330+K343</f>
        <v>8065.52</v>
      </c>
      <c r="L344" s="41">
        <f>L330+L343</f>
        <v>724187.45000000007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260688.49*66%</f>
        <v>172054.40340000001</v>
      </c>
      <c r="G350" s="18"/>
      <c r="H350" s="18">
        <f>SUM(10368.44+3876.64)*66%</f>
        <v>9401.7528000000002</v>
      </c>
      <c r="I350" s="18">
        <f>SUM(1198.12+14845.61+244721.96+24941.56)*66%</f>
        <v>188566.785</v>
      </c>
      <c r="J350" s="18">
        <f>4627.95*66%</f>
        <v>3054.4470000000001</v>
      </c>
      <c r="K350" s="18">
        <f>4217.13*66%-15.54</f>
        <v>2767.7658000000001</v>
      </c>
      <c r="L350" s="13">
        <f>SUM(F350:K350)</f>
        <v>375845.15399999998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260688.49*34%</f>
        <v>88634.08660000001</v>
      </c>
      <c r="G351" s="18"/>
      <c r="H351" s="18">
        <f>SUM(10368.44+3876.64)*34%</f>
        <v>4843.3272000000006</v>
      </c>
      <c r="I351" s="18">
        <f>SUM(1198.12+14845.61+244721.96+24941.56)*34%</f>
        <v>97140.465000000011</v>
      </c>
      <c r="J351" s="18">
        <f>4627.95*34%</f>
        <v>1573.5030000000002</v>
      </c>
      <c r="K351" s="18">
        <f>4217.13*34%</f>
        <v>1433.8242000000002</v>
      </c>
      <c r="L351" s="19">
        <f>SUM(F351:K351)</f>
        <v>193625.20600000001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260688.49000000002</v>
      </c>
      <c r="G354" s="47">
        <f t="shared" si="22"/>
        <v>0</v>
      </c>
      <c r="H354" s="47">
        <f t="shared" si="22"/>
        <v>14245.080000000002</v>
      </c>
      <c r="I354" s="47">
        <f t="shared" si="22"/>
        <v>285707.25</v>
      </c>
      <c r="J354" s="47">
        <f t="shared" si="22"/>
        <v>4627.9500000000007</v>
      </c>
      <c r="K354" s="47">
        <f t="shared" si="22"/>
        <v>4201.59</v>
      </c>
      <c r="L354" s="47">
        <f t="shared" si="22"/>
        <v>569470.36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SUM(244721.96+24941.56)*66%</f>
        <v>177977.92320000002</v>
      </c>
      <c r="G359" s="18">
        <f>SUM(244721.96+24941.56)*34%</f>
        <v>91685.596800000014</v>
      </c>
      <c r="H359" s="18"/>
      <c r="I359" s="56">
        <f>SUM(F359:H359)</f>
        <v>269663.52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SUM(1198.12+14845.61)*66%</f>
        <v>10588.861800000001</v>
      </c>
      <c r="G360" s="63">
        <f>SUM(1198.12+14845.61)*34%</f>
        <v>5454.8681999999999</v>
      </c>
      <c r="H360" s="63"/>
      <c r="I360" s="56">
        <f>SUM(F360:H360)</f>
        <v>16043.73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188566.78500000003</v>
      </c>
      <c r="G361" s="47">
        <f>SUM(G359:G360)</f>
        <v>97140.465000000011</v>
      </c>
      <c r="H361" s="47">
        <f>SUM(H359:H360)</f>
        <v>0</v>
      </c>
      <c r="I361" s="47">
        <f>SUM(I359:I360)</f>
        <v>285707.25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3061.11</v>
      </c>
      <c r="I389" s="18"/>
      <c r="J389" s="24" t="s">
        <v>312</v>
      </c>
      <c r="K389" s="24" t="s">
        <v>312</v>
      </c>
      <c r="L389" s="56">
        <f t="shared" si="26"/>
        <v>53061.11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3061.11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53061.11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3061.11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53061.11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53061.11</v>
      </c>
      <c r="H432" s="18"/>
      <c r="I432" s="56">
        <f t="shared" si="33"/>
        <v>53061.11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53061.11</v>
      </c>
      <c r="H438" s="13">
        <f>SUM(H431:H437)</f>
        <v>0</v>
      </c>
      <c r="I438" s="13">
        <f>SUM(I431:I437)</f>
        <v>53061.11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53061.11</v>
      </c>
      <c r="H449" s="18"/>
      <c r="I449" s="56">
        <f>SUM(F449:H449)</f>
        <v>53061.11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53061.11</v>
      </c>
      <c r="H450" s="83">
        <f>SUM(H446:H449)</f>
        <v>0</v>
      </c>
      <c r="I450" s="83">
        <f>SUM(I446:I449)</f>
        <v>53061.11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53061.11</v>
      </c>
      <c r="H451" s="42">
        <f>H444+H450</f>
        <v>0</v>
      </c>
      <c r="I451" s="42">
        <f>I444+I450</f>
        <v>53061.11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717714.38</v>
      </c>
      <c r="G455" s="18">
        <v>6129.66</v>
      </c>
      <c r="H455" s="18">
        <v>0</v>
      </c>
      <c r="I455" s="18"/>
      <c r="J455" s="18">
        <v>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18120864.940000001</v>
      </c>
      <c r="G458" s="18">
        <v>563861.98</v>
      </c>
      <c r="H458" s="18">
        <v>724187.45</v>
      </c>
      <c r="I458" s="18"/>
      <c r="J458" s="18">
        <v>53061.11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18120864.940000001</v>
      </c>
      <c r="G460" s="53">
        <f>SUM(G458:G459)</f>
        <v>563861.98</v>
      </c>
      <c r="H460" s="53">
        <f>SUM(H458:H459)</f>
        <v>724187.45</v>
      </c>
      <c r="I460" s="53">
        <f>SUM(I458:I459)</f>
        <v>0</v>
      </c>
      <c r="J460" s="53">
        <f>SUM(J458:J459)</f>
        <v>53061.11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18026113.5</v>
      </c>
      <c r="G462" s="18">
        <f>569470.36</f>
        <v>569470.36</v>
      </c>
      <c r="H462" s="18">
        <v>724187.45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18026113.5</v>
      </c>
      <c r="G464" s="53">
        <f>SUM(G462:G463)</f>
        <v>569470.36</v>
      </c>
      <c r="H464" s="53">
        <f>SUM(H462:H463)</f>
        <v>724187.45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812465.8200000003</v>
      </c>
      <c r="G466" s="53">
        <f>(G455+G460)- G464</f>
        <v>521.28000000002794</v>
      </c>
      <c r="H466" s="53">
        <f>(H455+H460)- H464</f>
        <v>0</v>
      </c>
      <c r="I466" s="53">
        <f>(I455+I460)- I464</f>
        <v>0</v>
      </c>
      <c r="J466" s="53">
        <f>(J455+J460)- J464</f>
        <v>53061.11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3970000</v>
      </c>
      <c r="G483" s="18">
        <v>1770000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5.7</v>
      </c>
      <c r="G484" s="18">
        <v>4.9000000000000004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1915000</v>
      </c>
      <c r="G485" s="18">
        <v>1005000</v>
      </c>
      <c r="H485" s="18"/>
      <c r="I485" s="18"/>
      <c r="J485" s="18"/>
      <c r="K485" s="53">
        <f>SUM(F485:J485)</f>
        <v>2920000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230000</v>
      </c>
      <c r="G487" s="18">
        <v>90000</v>
      </c>
      <c r="H487" s="18"/>
      <c r="I487" s="18"/>
      <c r="J487" s="18"/>
      <c r="K487" s="53">
        <f t="shared" si="34"/>
        <v>320000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1685000</v>
      </c>
      <c r="G488" s="205">
        <v>915000</v>
      </c>
      <c r="H488" s="205"/>
      <c r="I488" s="205"/>
      <c r="J488" s="205"/>
      <c r="K488" s="206">
        <f t="shared" si="34"/>
        <v>2600000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307768.75</v>
      </c>
      <c r="G489" s="18">
        <v>195375</v>
      </c>
      <c r="H489" s="18"/>
      <c r="I489" s="18"/>
      <c r="J489" s="18"/>
      <c r="K489" s="53">
        <f t="shared" si="34"/>
        <v>503143.75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1992768.75</v>
      </c>
      <c r="G490" s="42">
        <f>SUM(G488:G489)</f>
        <v>1110375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3103143.75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240000</v>
      </c>
      <c r="G491" s="205">
        <v>95000</v>
      </c>
      <c r="H491" s="205"/>
      <c r="I491" s="205"/>
      <c r="J491" s="205"/>
      <c r="K491" s="206">
        <f t="shared" si="34"/>
        <v>335000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48443.75+41543.75</f>
        <v>89987.5</v>
      </c>
      <c r="G492" s="18">
        <f>22875+20500</f>
        <v>43375</v>
      </c>
      <c r="H492" s="18"/>
      <c r="I492" s="18"/>
      <c r="J492" s="18"/>
      <c r="K492" s="53">
        <f t="shared" si="34"/>
        <v>133362.5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329987.5</v>
      </c>
      <c r="G493" s="42">
        <f>SUM(G491:G492)</f>
        <v>138375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468362.5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SUM(967385.92+280626.31+395090.94)*66%</f>
        <v>1084448.0922000001</v>
      </c>
      <c r="G511" s="18">
        <f>293894+23436</f>
        <v>317330</v>
      </c>
      <c r="H511" s="18">
        <f>SUM(574+122204.61+5270+1577.83+251652.7)*66%</f>
        <v>251644.23240000001</v>
      </c>
      <c r="I511" s="18">
        <f>4290.09*66%</f>
        <v>2831.4594000000002</v>
      </c>
      <c r="J511" s="18"/>
      <c r="K511" s="18"/>
      <c r="L511" s="88">
        <f>SUM(F511:K511)</f>
        <v>1656253.7840000002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SUM(967385.92+280626.31+395090.94)*34%</f>
        <v>558655.07779999997</v>
      </c>
      <c r="G512" s="18">
        <f>151644+12231</f>
        <v>163875</v>
      </c>
      <c r="H512" s="18">
        <f>SUM(574+122204.61+5270+1577.83+251652.7)*34%</f>
        <v>129634.90760000002</v>
      </c>
      <c r="I512" s="18">
        <f>4290.09*34%</f>
        <v>1458.6306000000002</v>
      </c>
      <c r="J512" s="18"/>
      <c r="K512" s="18"/>
      <c r="L512" s="88">
        <f>SUM(F512:K512)</f>
        <v>853623.61600000004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1643103.17</v>
      </c>
      <c r="G514" s="108">
        <f t="shared" ref="G514:L514" si="35">SUM(G511:G513)</f>
        <v>481205</v>
      </c>
      <c r="H514" s="108">
        <f t="shared" si="35"/>
        <v>381279.14</v>
      </c>
      <c r="I514" s="108">
        <f t="shared" si="35"/>
        <v>4290.09</v>
      </c>
      <c r="J514" s="108">
        <f t="shared" si="35"/>
        <v>0</v>
      </c>
      <c r="K514" s="108">
        <f t="shared" si="35"/>
        <v>0</v>
      </c>
      <c r="L514" s="89">
        <f t="shared" si="35"/>
        <v>2509877.4000000004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67193.96+64955.54+49893.2</f>
        <v>182042.7</v>
      </c>
      <c r="G516" s="18">
        <f>26170.79+29495.1+23993.86</f>
        <v>79659.75</v>
      </c>
      <c r="H516" s="18"/>
      <c r="I516" s="18"/>
      <c r="J516" s="18"/>
      <c r="K516" s="18"/>
      <c r="L516" s="88">
        <f>SUM(F516:K516)</f>
        <v>261702.45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19190.29+12241.34</f>
        <v>31431.63</v>
      </c>
      <c r="G517" s="18">
        <f>1698.12+6053.18</f>
        <v>7751.3</v>
      </c>
      <c r="H517" s="18"/>
      <c r="I517" s="18"/>
      <c r="J517" s="18"/>
      <c r="K517" s="18"/>
      <c r="L517" s="88">
        <f>SUM(F517:K517)</f>
        <v>39182.93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213474.33000000002</v>
      </c>
      <c r="G519" s="89">
        <f t="shared" ref="G519:L519" si="36">SUM(G516:G518)</f>
        <v>87411.05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300885.38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SUM(81283+66825.48)*66%</f>
        <v>97751.596799999999</v>
      </c>
      <c r="G521" s="18">
        <v>57203.13</v>
      </c>
      <c r="H521" s="18"/>
      <c r="I521" s="18"/>
      <c r="J521" s="18"/>
      <c r="K521" s="18">
        <v>470</v>
      </c>
      <c r="L521" s="88">
        <f>SUM(F521:K521)</f>
        <v>155424.7268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SUM(81283+66825.48)*34%</f>
        <v>50356.883199999997</v>
      </c>
      <c r="G522" s="18">
        <v>29468.28</v>
      </c>
      <c r="H522" s="18"/>
      <c r="I522" s="18"/>
      <c r="J522" s="18"/>
      <c r="K522" s="18"/>
      <c r="L522" s="88">
        <f>SUM(F522:K522)</f>
        <v>79825.163199999995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148108.47999999998</v>
      </c>
      <c r="G524" s="89">
        <f t="shared" ref="G524:L524" si="37">SUM(G521:G523)</f>
        <v>86671.41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470</v>
      </c>
      <c r="L524" s="89">
        <f t="shared" si="37"/>
        <v>235249.89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1345*66%</f>
        <v>887.7</v>
      </c>
      <c r="I526" s="18"/>
      <c r="J526" s="18"/>
      <c r="K526" s="18"/>
      <c r="L526" s="88">
        <f>SUM(F526:K526)</f>
        <v>887.7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1345*34%</f>
        <v>457.3</v>
      </c>
      <c r="I527" s="18"/>
      <c r="J527" s="18"/>
      <c r="K527" s="18"/>
      <c r="L527" s="88">
        <f>SUM(F527:K527)</f>
        <v>457.3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1345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1345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162556*66%</f>
        <v>107286.96</v>
      </c>
      <c r="I531" s="18"/>
      <c r="J531" s="18"/>
      <c r="K531" s="18"/>
      <c r="L531" s="88">
        <f>SUM(F531:K531)</f>
        <v>107286.96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162556*34%</f>
        <v>55269.04</v>
      </c>
      <c r="I532" s="18"/>
      <c r="J532" s="18"/>
      <c r="K532" s="18"/>
      <c r="L532" s="88">
        <f>SUM(F532:K532)</f>
        <v>55269.04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162556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162556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2004685.98</v>
      </c>
      <c r="G535" s="89">
        <f t="shared" ref="G535:L535" si="40">G514+G519+G524+G529+G534</f>
        <v>655287.46000000008</v>
      </c>
      <c r="H535" s="89">
        <f t="shared" si="40"/>
        <v>545180.14</v>
      </c>
      <c r="I535" s="89">
        <f t="shared" si="40"/>
        <v>4290.09</v>
      </c>
      <c r="J535" s="89">
        <f t="shared" si="40"/>
        <v>0</v>
      </c>
      <c r="K535" s="89">
        <f t="shared" si="40"/>
        <v>470</v>
      </c>
      <c r="L535" s="89">
        <f t="shared" si="40"/>
        <v>3209913.6700000004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1656253.7840000002</v>
      </c>
      <c r="G539" s="87">
        <f>L516</f>
        <v>261702.45</v>
      </c>
      <c r="H539" s="87">
        <f>L521</f>
        <v>155424.7268</v>
      </c>
      <c r="I539" s="87">
        <f>L526</f>
        <v>887.7</v>
      </c>
      <c r="J539" s="87">
        <f>L531</f>
        <v>107286.96</v>
      </c>
      <c r="K539" s="87">
        <f>SUM(F539:J539)</f>
        <v>2181555.6208000001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853623.61600000004</v>
      </c>
      <c r="G540" s="87">
        <f>L517</f>
        <v>39182.93</v>
      </c>
      <c r="H540" s="87">
        <f>L522</f>
        <v>79825.163199999995</v>
      </c>
      <c r="I540" s="87">
        <f>L527</f>
        <v>457.3</v>
      </c>
      <c r="J540" s="87">
        <f>L532</f>
        <v>55269.04</v>
      </c>
      <c r="K540" s="87">
        <f>SUM(F540:J540)</f>
        <v>1028358.0492000001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2509877.4000000004</v>
      </c>
      <c r="G542" s="89">
        <f t="shared" si="41"/>
        <v>300885.38</v>
      </c>
      <c r="H542" s="89">
        <f t="shared" si="41"/>
        <v>235249.89</v>
      </c>
      <c r="I542" s="89">
        <f t="shared" si="41"/>
        <v>1345</v>
      </c>
      <c r="J542" s="89">
        <f t="shared" si="41"/>
        <v>162556</v>
      </c>
      <c r="K542" s="89">
        <f t="shared" si="41"/>
        <v>3209913.6700000004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7793.1+2132.4</f>
        <v>9925.5</v>
      </c>
      <c r="G569" s="18"/>
      <c r="H569" s="18"/>
      <c r="I569" s="87">
        <f t="shared" si="46"/>
        <v>9925.5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108130.81+38198.36+2000+1062.5+40</f>
        <v>149431.66999999998</v>
      </c>
      <c r="G572" s="18">
        <v>92295.53</v>
      </c>
      <c r="H572" s="18"/>
      <c r="I572" s="87">
        <f t="shared" si="46"/>
        <v>241727.19999999998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197578.38+197573.06-12017.66-12022.97</f>
        <v>371110.81000000006</v>
      </c>
      <c r="I581" s="18">
        <f>197573.05-12017.65</f>
        <v>185555.4</v>
      </c>
      <c r="J581" s="18"/>
      <c r="K581" s="104">
        <f t="shared" ref="K581:K587" si="47">SUM(H581:J581)</f>
        <v>556666.21000000008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162556*66%</f>
        <v>107286.96</v>
      </c>
      <c r="I582" s="18">
        <f>162556*34%</f>
        <v>55269.04</v>
      </c>
      <c r="J582" s="18"/>
      <c r="K582" s="104">
        <f t="shared" si="47"/>
        <v>162556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9151.34</v>
      </c>
      <c r="J584" s="18"/>
      <c r="K584" s="104">
        <f t="shared" si="47"/>
        <v>9151.34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2471.75+2000</f>
        <v>4471.75</v>
      </c>
      <c r="I585" s="18">
        <v>1038.0999999999999</v>
      </c>
      <c r="J585" s="18"/>
      <c r="K585" s="104">
        <f t="shared" si="47"/>
        <v>5509.85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f>7850.58+7295.33</f>
        <v>15145.91</v>
      </c>
      <c r="I587" s="18">
        <v>10462.83</v>
      </c>
      <c r="J587" s="18"/>
      <c r="K587" s="104">
        <f t="shared" si="47"/>
        <v>25608.739999999998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498015.43000000005</v>
      </c>
      <c r="I588" s="108">
        <f>SUM(I581:I587)</f>
        <v>261476.71</v>
      </c>
      <c r="J588" s="108">
        <f>SUM(J581:J587)</f>
        <v>0</v>
      </c>
      <c r="K588" s="108">
        <f>SUM(K581:K587)</f>
        <v>759492.14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33972</v>
      </c>
      <c r="I592" s="18"/>
      <c r="J592" s="18"/>
      <c r="K592" s="104">
        <f>SUM(H592:J592)</f>
        <v>33972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3168.37+1940.31+201.65+469.5+9732.59+2772.6+21169.17+16283.52+1463.74</f>
        <v>57201.450000000004</v>
      </c>
      <c r="I594" s="18">
        <f>4803.06+825.42+5013.75+3850.53+8388.48+754.04</f>
        <v>23635.279999999999</v>
      </c>
      <c r="J594" s="18"/>
      <c r="K594" s="104">
        <f>SUM(H594:J594)</f>
        <v>80836.73000000001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91173.450000000012</v>
      </c>
      <c r="I595" s="108">
        <f>SUM(I592:I594)</f>
        <v>23635.279999999999</v>
      </c>
      <c r="J595" s="108">
        <f>SUM(J592:J594)</f>
        <v>0</v>
      </c>
      <c r="K595" s="108">
        <f>SUM(K592:K594)</f>
        <v>114808.73000000001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1007281.65</v>
      </c>
      <c r="H607" s="109">
        <f>SUM(F44)</f>
        <v>1007281.6499999999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36673.159999999996</v>
      </c>
      <c r="H608" s="109">
        <f>SUM(G44)</f>
        <v>36673.159999999996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109799.34</v>
      </c>
      <c r="H609" s="109">
        <f>SUM(H44)</f>
        <v>109799.34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53061.11</v>
      </c>
      <c r="H611" s="109">
        <f>SUM(J44)</f>
        <v>53061.11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812465.82</v>
      </c>
      <c r="H612" s="109">
        <f>F466</f>
        <v>812465.8200000003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521.28</v>
      </c>
      <c r="H613" s="109">
        <f>G466</f>
        <v>521.28000000002794</v>
      </c>
      <c r="I613" s="121" t="s">
        <v>108</v>
      </c>
      <c r="J613" s="109">
        <f t="shared" si="49"/>
        <v>-2.7966962079517543E-11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53061.11</v>
      </c>
      <c r="H616" s="109">
        <f>J466</f>
        <v>53061.11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18120864.940000001</v>
      </c>
      <c r="H617" s="104">
        <f>SUM(F458)</f>
        <v>18120864.940000001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563861.98</v>
      </c>
      <c r="H618" s="104">
        <f>SUM(G458)</f>
        <v>563861.98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724187.45</v>
      </c>
      <c r="H619" s="104">
        <f>SUM(H458)</f>
        <v>724187.45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53061.11</v>
      </c>
      <c r="H621" s="104">
        <f>SUM(J458)</f>
        <v>53061.11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18026113.5</v>
      </c>
      <c r="H622" s="104">
        <f>SUM(F462)</f>
        <v>18026113.5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724187.45000000007</v>
      </c>
      <c r="H623" s="104">
        <f>SUM(H462)</f>
        <v>724187.45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285707.25</v>
      </c>
      <c r="H624" s="104">
        <f>I361</f>
        <v>285707.25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569470.36</v>
      </c>
      <c r="H625" s="104">
        <f>SUM(G462)</f>
        <v>569470.36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53061.11</v>
      </c>
      <c r="H627" s="164">
        <f>SUM(J458)</f>
        <v>53061.11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53061.11</v>
      </c>
      <c r="H630" s="104">
        <f>SUM(G451)</f>
        <v>53061.11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53061.11</v>
      </c>
      <c r="H632" s="104">
        <f>SUM(I451)</f>
        <v>53061.11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3061.11</v>
      </c>
      <c r="H634" s="104">
        <f>H400</f>
        <v>3061.11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53061.11</v>
      </c>
      <c r="H636" s="104">
        <f>L400</f>
        <v>53061.11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759492.14</v>
      </c>
      <c r="H637" s="104">
        <f>L200+L218+L236</f>
        <v>759492.14000000013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114808.73000000001</v>
      </c>
      <c r="H638" s="104">
        <f>(J249+J330)-(J247+J328)</f>
        <v>114808.72999999998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498015.43000000011</v>
      </c>
      <c r="H639" s="104">
        <f>H588</f>
        <v>498015.43000000005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261476.71</v>
      </c>
      <c r="H640" s="104">
        <f>I588</f>
        <v>261476.71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45900</v>
      </c>
      <c r="H642" s="104">
        <f>K255+K337</f>
        <v>45900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11938708.097199999</v>
      </c>
      <c r="G650" s="19">
        <f>(L221+L301+L351)</f>
        <v>6442694.8628000012</v>
      </c>
      <c r="H650" s="19">
        <f>(L239+L320+L352)</f>
        <v>0</v>
      </c>
      <c r="I650" s="19">
        <f>SUM(F650:H650)</f>
        <v>18381402.960000001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214308.51766863468</v>
      </c>
      <c r="G651" s="19">
        <f>(L351/IF(SUM(L350:L352)=0,1,SUM(L350:L352))*(SUM(G89:G102)))</f>
        <v>110405.92233136532</v>
      </c>
      <c r="H651" s="19">
        <f>(L352/IF(SUM(L350:L352)=0,1,SUM(L350:L352))*(SUM(G89:G102)))</f>
        <v>0</v>
      </c>
      <c r="I651" s="19">
        <f>SUM(F651:H651)</f>
        <v>324714.44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498015.43000000011</v>
      </c>
      <c r="G652" s="19">
        <f>(L218+L298)-(J218+J298)</f>
        <v>261476.71</v>
      </c>
      <c r="H652" s="19">
        <f>(L236+L317)-(J236+J317)</f>
        <v>0</v>
      </c>
      <c r="I652" s="19">
        <f>SUM(F652:H652)</f>
        <v>759492.14000000013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250530.62</v>
      </c>
      <c r="G653" s="200">
        <f>SUM(G565:G577)+SUM(I592:I594)+L602</f>
        <v>115930.81</v>
      </c>
      <c r="H653" s="200">
        <f>SUM(H565:H577)+SUM(J592:J594)+L603</f>
        <v>0</v>
      </c>
      <c r="I653" s="19">
        <f>SUM(F653:H653)</f>
        <v>366461.43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10975853.529531363</v>
      </c>
      <c r="G654" s="19">
        <f>G650-SUM(G651:G653)</f>
        <v>5954881.4204686359</v>
      </c>
      <c r="H654" s="19">
        <f>H650-SUM(H651:H653)</f>
        <v>0</v>
      </c>
      <c r="I654" s="19">
        <f>I650-SUM(I651:I653)</f>
        <v>16930734.949999999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829.46</v>
      </c>
      <c r="G655" s="249">
        <v>419</v>
      </c>
      <c r="H655" s="249"/>
      <c r="I655" s="19">
        <f>SUM(F655:H655)</f>
        <v>1248.46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13232.53</v>
      </c>
      <c r="G657" s="19">
        <f>ROUND(G654/G655,2)</f>
        <v>14212.13</v>
      </c>
      <c r="H657" s="19" t="e">
        <f>ROUND(H654/H655,2)</f>
        <v>#DIV/0!</v>
      </c>
      <c r="I657" s="19">
        <f>ROUND(I654/I655,2)</f>
        <v>13561.3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13232.53</v>
      </c>
      <c r="G662" s="19">
        <f>ROUND((G654+G659)/(G655+G660),2)</f>
        <v>14212.13</v>
      </c>
      <c r="H662" s="19" t="e">
        <f>ROUND((H654+H659)/(H655+H660),2)</f>
        <v>#DIV/0!</v>
      </c>
      <c r="I662" s="19">
        <f>ROUND((I654+I659)/(I655+I660),2)</f>
        <v>13561.3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9CCF-9D1A-4881-86EB-4D98C7216A67}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Hampton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6283310.7199999997</v>
      </c>
      <c r="C9" s="230">
        <f>'DOE25'!G189+'DOE25'!G207+'DOE25'!G225+'DOE25'!G268+'DOE25'!G287+'DOE25'!G306</f>
        <v>2198807.6500000004</v>
      </c>
    </row>
    <row r="10" spans="1:3" x14ac:dyDescent="0.2">
      <c r="A10" t="s">
        <v>810</v>
      </c>
      <c r="B10" s="241">
        <f>1752675.77+1756094.94+2230798.87+21550+340+55201.67+50894.94+1975</f>
        <v>5869531.1900000004</v>
      </c>
      <c r="C10" s="241">
        <f>1371139+771906+52+228.61-0.09+7.8+14.03+2.66+6.5+14.72+1648.85+117.3+26.01+2.6+7.5+4452.5+4335.98+1750+65+131.62+4220.18+3582.45+74.71+197.75+59.19+156.68+151.09+0.05-3.18</f>
        <v>2164347.5099999998</v>
      </c>
    </row>
    <row r="11" spans="1:3" x14ac:dyDescent="0.2">
      <c r="A11" t="s">
        <v>811</v>
      </c>
      <c r="B11" s="241">
        <f>130326.29+1000+4849.85+34462.5+47597.19</f>
        <v>218235.83</v>
      </c>
      <c r="C11" s="241">
        <f>11633+371+2636.39+3522.41+84.26+194.81</f>
        <v>18441.87</v>
      </c>
    </row>
    <row r="12" spans="1:3" x14ac:dyDescent="0.2">
      <c r="A12" t="s">
        <v>812</v>
      </c>
      <c r="B12" s="241">
        <f>57714.38+72500.92+43628.5+1515+17664.9+2520</f>
        <v>195543.69999999998</v>
      </c>
      <c r="C12" s="241">
        <f>10899+3652+115.9+1351.37</f>
        <v>16018.27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6283310.7200000007</v>
      </c>
      <c r="C13" s="232">
        <f>SUM(C10:C12)</f>
        <v>2198807.65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1941367.5899999999</v>
      </c>
      <c r="C18" s="230">
        <f>'DOE25'!G190+'DOE25'!G208+'DOE25'!G226+'DOE25'!G269+'DOE25'!G288+'DOE25'!G307</f>
        <v>579918.36</v>
      </c>
    </row>
    <row r="19" spans="1:3" x14ac:dyDescent="0.2">
      <c r="A19" t="s">
        <v>810</v>
      </c>
      <c r="B19" s="241">
        <f>967385.92+280626.31</f>
        <v>1248012.23</v>
      </c>
      <c r="C19" s="241">
        <f>293894+151644+0.68+19.13+2.3+153.4+280.1</f>
        <v>445993.61</v>
      </c>
    </row>
    <row r="20" spans="1:3" x14ac:dyDescent="0.2">
      <c r="A20" t="s">
        <v>811</v>
      </c>
      <c r="B20" s="241">
        <f>395090.94+117325.31+7516.63</f>
        <v>519932.88</v>
      </c>
      <c r="C20" s="241">
        <f>23436+12231+575.06+9977.23</f>
        <v>46219.289999999994</v>
      </c>
    </row>
    <row r="21" spans="1:3" x14ac:dyDescent="0.2">
      <c r="A21" t="s">
        <v>812</v>
      </c>
      <c r="B21" s="241">
        <f>81283+66825.48+12189+13125</f>
        <v>173422.47999999998</v>
      </c>
      <c r="C21" s="241">
        <f>21121+36136+10880+18636+932.46</f>
        <v>87705.46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1941367.5899999999</v>
      </c>
      <c r="C22" s="232">
        <f>SUM(C19:C21)</f>
        <v>579918.36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62177.75</v>
      </c>
      <c r="C36" s="236">
        <f>'DOE25'!G192+'DOE25'!G210+'DOE25'!G228+'DOE25'!G271+'DOE25'!G290+'DOE25'!G309</f>
        <v>5122.01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62177.75</v>
      </c>
      <c r="C39" s="241">
        <v>5122.01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62177.75</v>
      </c>
      <c r="C40" s="232">
        <f>SUM(C37:C39)</f>
        <v>5122.01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3BEC-327F-4F2C-8B20-69CFEDB352F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Hampton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11285639.359999999</v>
      </c>
      <c r="D5" s="20">
        <f>SUM('DOE25'!L189:L192)+SUM('DOE25'!L207:L210)+SUM('DOE25'!L225:L228)-F5-G5</f>
        <v>11275257.619999999</v>
      </c>
      <c r="E5" s="244"/>
      <c r="F5" s="256">
        <f>SUM('DOE25'!J189:J192)+SUM('DOE25'!J207:J210)+SUM('DOE25'!J225:J228)</f>
        <v>9911.7400000000016</v>
      </c>
      <c r="G5" s="53">
        <f>SUM('DOE25'!K189:K192)+SUM('DOE25'!K207:K210)+SUM('DOE25'!K225:K228)</f>
        <v>470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946512.5</v>
      </c>
      <c r="D6" s="20">
        <f>'DOE25'!L194+'DOE25'!L212+'DOE25'!L230-F6-G6</f>
        <v>945015.93</v>
      </c>
      <c r="E6" s="244"/>
      <c r="F6" s="256">
        <f>'DOE25'!J194+'DOE25'!J212+'DOE25'!J230</f>
        <v>1496.57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882460.90999999992</v>
      </c>
      <c r="D7" s="20">
        <f>'DOE25'!L195+'DOE25'!L213+'DOE25'!L231-F7-G7</f>
        <v>867495.57</v>
      </c>
      <c r="E7" s="244"/>
      <c r="F7" s="256">
        <f>'DOE25'!J195+'DOE25'!J213+'DOE25'!J231</f>
        <v>14746.34</v>
      </c>
      <c r="G7" s="53">
        <f>'DOE25'!K195+'DOE25'!K213+'DOE25'!K231</f>
        <v>219</v>
      </c>
      <c r="H7" s="260"/>
    </row>
    <row r="8" spans="1:9" x14ac:dyDescent="0.2">
      <c r="A8" s="32">
        <v>2300</v>
      </c>
      <c r="B8" t="s">
        <v>833</v>
      </c>
      <c r="C8" s="246">
        <f t="shared" si="0"/>
        <v>317736.96999999997</v>
      </c>
      <c r="D8" s="244"/>
      <c r="E8" s="20">
        <f>'DOE25'!L196+'DOE25'!L214+'DOE25'!L232-F8-G8-D9-D11</f>
        <v>295412.31999999995</v>
      </c>
      <c r="F8" s="256">
        <f>'DOE25'!J196+'DOE25'!J214+'DOE25'!J232</f>
        <v>0</v>
      </c>
      <c r="G8" s="53">
        <f>'DOE25'!K196+'DOE25'!K214+'DOE25'!K232</f>
        <v>22324.65</v>
      </c>
      <c r="H8" s="260"/>
    </row>
    <row r="9" spans="1:9" x14ac:dyDescent="0.2">
      <c r="A9" s="32">
        <v>2310</v>
      </c>
      <c r="B9" t="s">
        <v>849</v>
      </c>
      <c r="C9" s="246">
        <f t="shared" si="0"/>
        <v>76507.149999999994</v>
      </c>
      <c r="D9" s="245">
        <v>76507.149999999994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18412.8</v>
      </c>
      <c r="D10" s="244"/>
      <c r="E10" s="245">
        <v>18412.8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116742.37</v>
      </c>
      <c r="D11" s="245">
        <v>116742.37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1097755.98</v>
      </c>
      <c r="D12" s="20">
        <f>'DOE25'!L197+'DOE25'!L215+'DOE25'!L233-F12-G12</f>
        <v>1093202.98</v>
      </c>
      <c r="E12" s="244"/>
      <c r="F12" s="256">
        <f>'DOE25'!J197+'DOE25'!J215+'DOE25'!J233</f>
        <v>0</v>
      </c>
      <c r="G12" s="53">
        <f>'DOE25'!K197+'DOE25'!K215+'DOE25'!K233</f>
        <v>4553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1604013.77</v>
      </c>
      <c r="D14" s="20">
        <f>'DOE25'!L199+'DOE25'!L217+'DOE25'!L235-F14-G14</f>
        <v>1517294.78</v>
      </c>
      <c r="E14" s="244"/>
      <c r="F14" s="256">
        <f>'DOE25'!J199+'DOE25'!J217+'DOE25'!J235</f>
        <v>86436.299999999988</v>
      </c>
      <c r="G14" s="53">
        <f>'DOE25'!K199+'DOE25'!K217+'DOE25'!K235</f>
        <v>282.69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759492.14000000013</v>
      </c>
      <c r="D15" s="20">
        <f>'DOE25'!L200+'DOE25'!L218+'DOE25'!L236-F15-G15</f>
        <v>759492.14000000013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884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884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326783.17</v>
      </c>
      <c r="D22" s="244"/>
      <c r="E22" s="244"/>
      <c r="F22" s="256">
        <f>'DOE25'!L247+'DOE25'!L328</f>
        <v>326783.17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471500</v>
      </c>
      <c r="D25" s="244"/>
      <c r="E25" s="244"/>
      <c r="F25" s="259"/>
      <c r="G25" s="257"/>
      <c r="H25" s="258">
        <f>'DOE25'!L252+'DOE25'!L253+'DOE25'!L333+'DOE25'!L334</f>
        <v>471500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299806.83999999997</v>
      </c>
      <c r="D29" s="20">
        <f>'DOE25'!L350+'DOE25'!L351+'DOE25'!L352-'DOE25'!I359-F29-G29</f>
        <v>290977.29999999993</v>
      </c>
      <c r="E29" s="244"/>
      <c r="F29" s="256">
        <f>'DOE25'!J350+'DOE25'!J351+'DOE25'!J352</f>
        <v>4627.9500000000007</v>
      </c>
      <c r="G29" s="53">
        <f>'DOE25'!K350+'DOE25'!K351+'DOE25'!K352</f>
        <v>4201.59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724187.45000000007</v>
      </c>
      <c r="D31" s="20">
        <f>'DOE25'!L282+'DOE25'!L301+'DOE25'!L320+'DOE25'!L325+'DOE25'!L326+'DOE25'!L327-F31-G31</f>
        <v>713904.15</v>
      </c>
      <c r="E31" s="244"/>
      <c r="F31" s="256">
        <f>'DOE25'!J282+'DOE25'!J301+'DOE25'!J320+'DOE25'!J325+'DOE25'!J326+'DOE25'!J327</f>
        <v>2217.7800000000002</v>
      </c>
      <c r="G31" s="53">
        <f>'DOE25'!K282+'DOE25'!K301+'DOE25'!K320+'DOE25'!K325+'DOE25'!K326+'DOE25'!K327</f>
        <v>8065.52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17655889.989999998</v>
      </c>
      <c r="E33" s="247">
        <f>SUM(E5:E31)</f>
        <v>313825.11999999994</v>
      </c>
      <c r="F33" s="247">
        <f>SUM(F5:F31)</f>
        <v>446219.85000000003</v>
      </c>
      <c r="G33" s="247">
        <f>SUM(G5:G31)</f>
        <v>41000.449999999997</v>
      </c>
      <c r="H33" s="247">
        <f>SUM(H5:H31)</f>
        <v>471500</v>
      </c>
    </row>
    <row r="35" spans="2:8" ht="12" thickBot="1" x14ac:dyDescent="0.25">
      <c r="B35" s="254" t="s">
        <v>878</v>
      </c>
      <c r="D35" s="255">
        <f>E33</f>
        <v>313825.11999999994</v>
      </c>
      <c r="E35" s="250"/>
    </row>
    <row r="36" spans="2:8" ht="12" thickTop="1" x14ac:dyDescent="0.2">
      <c r="B36" t="s">
        <v>846</v>
      </c>
      <c r="D36" s="20">
        <f>D33</f>
        <v>17655889.989999998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F0D4-6FB1-4BE0-B90F-96DACD66082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882836.12</v>
      </c>
      <c r="D9" s="95">
        <f>'DOE25'!G9</f>
        <v>300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53061.11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122595.05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871.26</v>
      </c>
      <c r="D13" s="95">
        <f>'DOE25'!G13</f>
        <v>35106.28</v>
      </c>
      <c r="E13" s="95">
        <f>'DOE25'!H13</f>
        <v>109799.34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979.22</v>
      </c>
      <c r="D14" s="95">
        <f>'DOE25'!G14</f>
        <v>1266.8800000000001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1007281.65</v>
      </c>
      <c r="D19" s="41">
        <f>SUM(D9:D18)</f>
        <v>36673.159999999996</v>
      </c>
      <c r="E19" s="41">
        <f>SUM(E9:E18)</f>
        <v>109799.34</v>
      </c>
      <c r="F19" s="41">
        <f>SUM(F9:F18)</f>
        <v>0</v>
      </c>
      <c r="G19" s="41">
        <f>SUM(G9:G18)</f>
        <v>53061.11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10866.42</v>
      </c>
      <c r="E23" s="95">
        <f>'DOE25'!H24</f>
        <v>109799.34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134894.71</v>
      </c>
      <c r="D24" s="95">
        <f>'DOE25'!G25</f>
        <v>14119.79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59921.120000000003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11165.67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194815.83</v>
      </c>
      <c r="D32" s="41">
        <f>SUM(D22:D31)</f>
        <v>36151.879999999997</v>
      </c>
      <c r="E32" s="41">
        <f>SUM(E22:E31)</f>
        <v>109799.34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206116.85</v>
      </c>
      <c r="D36" s="95">
        <f>'DOE25'!G37</f>
        <v>481.68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75000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2759.61</v>
      </c>
      <c r="D40" s="95">
        <f>'DOE25'!G41</f>
        <v>39.6</v>
      </c>
      <c r="E40" s="95">
        <f>'DOE25'!H41</f>
        <v>0</v>
      </c>
      <c r="F40" s="95">
        <f>'DOE25'!I41</f>
        <v>0</v>
      </c>
      <c r="G40" s="95">
        <f>'DOE25'!J41</f>
        <v>53061.11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528589.36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812465.82</v>
      </c>
      <c r="D42" s="41">
        <f>SUM(D34:D41)</f>
        <v>521.28</v>
      </c>
      <c r="E42" s="41">
        <f>SUM(E34:E41)</f>
        <v>0</v>
      </c>
      <c r="F42" s="41">
        <f>SUM(F34:F41)</f>
        <v>0</v>
      </c>
      <c r="G42" s="41">
        <f>SUM(G34:G41)</f>
        <v>53061.11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1007281.6499999999</v>
      </c>
      <c r="D43" s="41">
        <f>D42+D32</f>
        <v>36673.159999999996</v>
      </c>
      <c r="E43" s="41">
        <f>E42+E32</f>
        <v>109799.34</v>
      </c>
      <c r="F43" s="41">
        <f>F42+F32</f>
        <v>0</v>
      </c>
      <c r="G43" s="41">
        <f>G42+G32</f>
        <v>53061.11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13310669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-1484.1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3061.11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324714.44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366643.05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365158.95</v>
      </c>
      <c r="D54" s="130">
        <f>SUM(D49:D53)</f>
        <v>324714.44</v>
      </c>
      <c r="E54" s="130">
        <f>SUM(E49:E53)</f>
        <v>0</v>
      </c>
      <c r="F54" s="130">
        <f>SUM(F49:F53)</f>
        <v>0</v>
      </c>
      <c r="G54" s="130">
        <f>SUM(G49:G53)</f>
        <v>3061.11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13675827.949999999</v>
      </c>
      <c r="D55" s="22">
        <f>D48+D54</f>
        <v>324714.44</v>
      </c>
      <c r="E55" s="22">
        <f>E48+E54</f>
        <v>0</v>
      </c>
      <c r="F55" s="22">
        <f>F48+F54</f>
        <v>0</v>
      </c>
      <c r="G55" s="22">
        <f>G48+G54</f>
        <v>3061.11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4242760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4242760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99237.7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61524.93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7549.57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160762.63</v>
      </c>
      <c r="D70" s="130">
        <f>SUM(D64:D69)</f>
        <v>7549.57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4403522.63</v>
      </c>
      <c r="D73" s="130">
        <f>SUM(D71:D72)+D70+D62</f>
        <v>7549.57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41514.36</v>
      </c>
      <c r="D80" s="95">
        <f>SUM('DOE25'!G145:G153)</f>
        <v>185697.97</v>
      </c>
      <c r="E80" s="95">
        <f>SUM('DOE25'!H145:H153)</f>
        <v>724187.45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41514.36</v>
      </c>
      <c r="D83" s="131">
        <f>SUM(D77:D82)</f>
        <v>185697.97</v>
      </c>
      <c r="E83" s="131">
        <f>SUM(E77:E82)</f>
        <v>724187.45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45900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45900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18120864.939999998</v>
      </c>
      <c r="D96" s="86">
        <f>D55+D73+D83+D95</f>
        <v>563861.98</v>
      </c>
      <c r="E96" s="86">
        <f>E55+E73+E83+E95</f>
        <v>724187.45</v>
      </c>
      <c r="F96" s="86">
        <f>F55+F73+F83+F95</f>
        <v>0</v>
      </c>
      <c r="G96" s="86">
        <f>G55+G73+G95</f>
        <v>53061.11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8431499.5099999998</v>
      </c>
      <c r="D101" s="24" t="s">
        <v>312</v>
      </c>
      <c r="E101" s="95">
        <f>('DOE25'!L268)+('DOE25'!L287)+('DOE25'!L306)</f>
        <v>311763.58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2741277.6100000003</v>
      </c>
      <c r="D102" s="24" t="s">
        <v>312</v>
      </c>
      <c r="E102" s="95">
        <f>('DOE25'!L269)+('DOE25'!L288)+('DOE25'!L307)</f>
        <v>404358.35000000009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112862.23999999999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44185.18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11329824.540000001</v>
      </c>
      <c r="D107" s="86">
        <f>SUM(D101:D106)</f>
        <v>0</v>
      </c>
      <c r="E107" s="86">
        <f>SUM(E101:E106)</f>
        <v>716121.93000000017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946512.5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882460.90999999992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510986.49</v>
      </c>
      <c r="D112" s="24" t="s">
        <v>312</v>
      </c>
      <c r="E112" s="95">
        <f>+('DOE25'!L275)+('DOE25'!L294)+('DOE25'!L313)</f>
        <v>8065.52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1097755.98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1604013.77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759492.14000000013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884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569470.36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5802105.790000001</v>
      </c>
      <c r="D120" s="86">
        <f>SUM(D110:D119)</f>
        <v>569470.36</v>
      </c>
      <c r="E120" s="86">
        <f>SUM(E110:E119)</f>
        <v>8065.52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326783.17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320000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151500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45900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53061.11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-3061.1100000000006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894183.16999999993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18026113.5</v>
      </c>
      <c r="D137" s="86">
        <f>(D107+D120+D136)</f>
        <v>569470.36</v>
      </c>
      <c r="E137" s="86">
        <f>(E107+E120+E136)</f>
        <v>724187.45000000019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1996</v>
      </c>
      <c r="C144" s="152" t="str">
        <f>'DOE25'!G481</f>
        <v>JULY 1998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 2016</v>
      </c>
      <c r="C145" s="152" t="str">
        <f>'DOE25'!G482</f>
        <v>AUG 2018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3970000</v>
      </c>
      <c r="C146" s="137">
        <f>'DOE25'!G483</f>
        <v>1770000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5.7</v>
      </c>
      <c r="C147" s="137">
        <f>'DOE25'!G484</f>
        <v>4.9000000000000004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1915000</v>
      </c>
      <c r="C148" s="137">
        <f>'DOE25'!G485</f>
        <v>1005000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2920000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230000</v>
      </c>
      <c r="C150" s="137">
        <f>'DOE25'!G487</f>
        <v>90000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320000</v>
      </c>
    </row>
    <row r="151" spans="1:7" x14ac:dyDescent="0.2">
      <c r="A151" s="22" t="s">
        <v>35</v>
      </c>
      <c r="B151" s="137">
        <f>'DOE25'!F488</f>
        <v>1685000</v>
      </c>
      <c r="C151" s="137">
        <f>'DOE25'!G488</f>
        <v>915000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2600000</v>
      </c>
    </row>
    <row r="152" spans="1:7" x14ac:dyDescent="0.2">
      <c r="A152" s="22" t="s">
        <v>36</v>
      </c>
      <c r="B152" s="137">
        <f>'DOE25'!F489</f>
        <v>307768.75</v>
      </c>
      <c r="C152" s="137">
        <f>'DOE25'!G489</f>
        <v>195375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503143.75</v>
      </c>
    </row>
    <row r="153" spans="1:7" x14ac:dyDescent="0.2">
      <c r="A153" s="22" t="s">
        <v>37</v>
      </c>
      <c r="B153" s="137">
        <f>'DOE25'!F490</f>
        <v>1992768.75</v>
      </c>
      <c r="C153" s="137">
        <f>'DOE25'!G490</f>
        <v>1110375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3103143.75</v>
      </c>
    </row>
    <row r="154" spans="1:7" x14ac:dyDescent="0.2">
      <c r="A154" s="22" t="s">
        <v>38</v>
      </c>
      <c r="B154" s="137">
        <f>'DOE25'!F491</f>
        <v>240000</v>
      </c>
      <c r="C154" s="137">
        <f>'DOE25'!G491</f>
        <v>95000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335000</v>
      </c>
    </row>
    <row r="155" spans="1:7" x14ac:dyDescent="0.2">
      <c r="A155" s="22" t="s">
        <v>39</v>
      </c>
      <c r="B155" s="137">
        <f>'DOE25'!F492</f>
        <v>89987.5</v>
      </c>
      <c r="C155" s="137">
        <f>'DOE25'!G492</f>
        <v>43375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133362.5</v>
      </c>
    </row>
    <row r="156" spans="1:7" x14ac:dyDescent="0.2">
      <c r="A156" s="22" t="s">
        <v>269</v>
      </c>
      <c r="B156" s="137">
        <f>'DOE25'!F493</f>
        <v>329987.5</v>
      </c>
      <c r="C156" s="137">
        <f>'DOE25'!G493</f>
        <v>138375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468362.5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5D69-5C16-4B1B-8F05-5DEF106CA277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Hampton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13233</v>
      </c>
    </row>
    <row r="5" spans="1:4" x14ac:dyDescent="0.2">
      <c r="B5" t="s">
        <v>735</v>
      </c>
      <c r="C5" s="179">
        <f>IF('DOE25'!G655+'DOE25'!G660=0,0,ROUND('DOE25'!G662,0))</f>
        <v>14212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13561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8743263</v>
      </c>
      <c r="D10" s="182">
        <f>ROUND((C10/$C$28)*100,1)</f>
        <v>47.9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3145636</v>
      </c>
      <c r="D11" s="182">
        <f>ROUND((C11/$C$28)*100,1)</f>
        <v>17.2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112862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946513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882461</v>
      </c>
      <c r="D16" s="182">
        <f t="shared" si="0"/>
        <v>4.8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519936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1097756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1604014</v>
      </c>
      <c r="D20" s="182">
        <f t="shared" si="0"/>
        <v>8.8000000000000007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759492</v>
      </c>
      <c r="D21" s="182">
        <f t="shared" si="0"/>
        <v>4.2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44185</v>
      </c>
      <c r="D23" s="182">
        <f t="shared" si="0"/>
        <v>0.2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151500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244755.56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18252373.559999999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326783</v>
      </c>
    </row>
    <row r="30" spans="1:4" x14ac:dyDescent="0.2">
      <c r="B30" s="187" t="s">
        <v>760</v>
      </c>
      <c r="C30" s="180">
        <f>SUM(C28:C29)</f>
        <v>18579156.559999999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320000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13310669</v>
      </c>
      <c r="D35" s="182">
        <f t="shared" ref="D35:D40" si="1">ROUND((C35/$C$41)*100,1)</f>
        <v>69.900000000000006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368220.06000000052</v>
      </c>
      <c r="D36" s="182">
        <f t="shared" si="1"/>
        <v>1.9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4242760</v>
      </c>
      <c r="D37" s="182">
        <f t="shared" si="1"/>
        <v>22.3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168312</v>
      </c>
      <c r="D38" s="182">
        <f t="shared" si="1"/>
        <v>0.9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951400</v>
      </c>
      <c r="D39" s="182">
        <f t="shared" si="1"/>
        <v>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19041361.060000002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4A41-0CC1-4DFE-82DF-C257B7063AB9}">
  <sheetPr>
    <tabColor indexed="17"/>
  </sheetPr>
  <dimension ref="A1:IV90"/>
  <sheetViews>
    <sheetView workbookViewId="0">
      <pane ySplit="3" topLeftCell="A4" activePane="bottomLeft" state="frozen"/>
      <selection pane="bottomLeft" activeCell="B9" sqref="B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Hampton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3</v>
      </c>
      <c r="B4" s="220">
        <v>24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2011-11-04T17:51:52Z</cp:lastPrinted>
  <dcterms:created xsi:type="dcterms:W3CDTF">1997-12-04T19:04:30Z</dcterms:created>
  <dcterms:modified xsi:type="dcterms:W3CDTF">2025-01-10T19:51:52Z</dcterms:modified>
</cp:coreProperties>
</file>