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81412D0C-76B5-4459-8D11-F3DF210D4288}" xr6:coauthVersionLast="47" xr6:coauthVersionMax="47" xr10:uidLastSave="{00000000-0000-0000-0000-000000000000}"/>
  <workbookProtection workbookPassword="B30A" lockStructure="1"/>
  <bookViews>
    <workbookView xWindow="2760" yWindow="2760" windowWidth="21600" windowHeight="11505" tabRatio="855" xr2:uid="{93242F69-71E6-43FF-904E-7CFF106802F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calcMode="autoNoTable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1" l="1"/>
  <c r="B2" i="10"/>
  <c r="C5" i="10"/>
  <c r="C6" i="10"/>
  <c r="C26" i="10"/>
  <c r="C37" i="10"/>
  <c r="C40" i="10"/>
  <c r="C42" i="10"/>
  <c r="A1" i="2"/>
  <c r="A2" i="2"/>
  <c r="D9" i="2"/>
  <c r="E9" i="2"/>
  <c r="F9" i="2"/>
  <c r="C10" i="2"/>
  <c r="D10" i="2"/>
  <c r="E10" i="2"/>
  <c r="E19" i="2" s="1"/>
  <c r="F10" i="2"/>
  <c r="F19" i="2" s="1"/>
  <c r="C11" i="2"/>
  <c r="C12" i="2"/>
  <c r="D12" i="2"/>
  <c r="D19" i="2" s="1"/>
  <c r="E12" i="2"/>
  <c r="F12" i="2"/>
  <c r="C13" i="2"/>
  <c r="D13" i="2"/>
  <c r="E13" i="2"/>
  <c r="F13" i="2"/>
  <c r="C14" i="2"/>
  <c r="D14" i="2"/>
  <c r="E14" i="2"/>
  <c r="F14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22" i="2"/>
  <c r="C32" i="2" s="1"/>
  <c r="D22" i="2"/>
  <c r="E22" i="2"/>
  <c r="E32" i="2" s="1"/>
  <c r="F22" i="2"/>
  <c r="C23" i="2"/>
  <c r="D23" i="2"/>
  <c r="E23" i="2"/>
  <c r="F23" i="2"/>
  <c r="C24" i="2"/>
  <c r="D24" i="2"/>
  <c r="D32" i="2" s="1"/>
  <c r="E24" i="2"/>
  <c r="F24" i="2"/>
  <c r="C25" i="2"/>
  <c r="D25" i="2"/>
  <c r="E25" i="2"/>
  <c r="F25" i="2"/>
  <c r="C26" i="2"/>
  <c r="F26" i="2"/>
  <c r="C27" i="2"/>
  <c r="F27" i="2"/>
  <c r="F32" i="2" s="1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4" i="2"/>
  <c r="D34" i="2"/>
  <c r="D42" i="2" s="1"/>
  <c r="E34" i="2"/>
  <c r="E42" i="2" s="1"/>
  <c r="F34" i="2"/>
  <c r="F42" i="2" s="1"/>
  <c r="F43" i="2" s="1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40" i="2"/>
  <c r="D40" i="2"/>
  <c r="E40" i="2"/>
  <c r="F40" i="2"/>
  <c r="D41" i="2"/>
  <c r="E41" i="2"/>
  <c r="F41" i="2"/>
  <c r="C50" i="2"/>
  <c r="E50" i="2"/>
  <c r="C51" i="2"/>
  <c r="D51" i="2"/>
  <c r="E51" i="2"/>
  <c r="F51" i="2"/>
  <c r="G51" i="2"/>
  <c r="G54" i="2" s="1"/>
  <c r="C53" i="2"/>
  <c r="D53" i="2"/>
  <c r="E53" i="2"/>
  <c r="F53" i="2"/>
  <c r="F54" i="2" s="1"/>
  <c r="G53" i="2"/>
  <c r="C58" i="2"/>
  <c r="C62" i="2" s="1"/>
  <c r="C59" i="2"/>
  <c r="C60" i="2"/>
  <c r="C61" i="2"/>
  <c r="D61" i="2"/>
  <c r="E61" i="2"/>
  <c r="F61" i="2"/>
  <c r="G61" i="2"/>
  <c r="D62" i="2"/>
  <c r="E62" i="2"/>
  <c r="F62" i="2"/>
  <c r="G62" i="2"/>
  <c r="C64" i="2"/>
  <c r="F64" i="2"/>
  <c r="F70" i="2" s="1"/>
  <c r="F73" i="2" s="1"/>
  <c r="C65" i="2"/>
  <c r="F65" i="2"/>
  <c r="C66" i="2"/>
  <c r="C67" i="2"/>
  <c r="C68" i="2"/>
  <c r="E68" i="2"/>
  <c r="E70" i="2" s="1"/>
  <c r="E73" i="2" s="1"/>
  <c r="F68" i="2"/>
  <c r="C69" i="2"/>
  <c r="D69" i="2"/>
  <c r="D70" i="2" s="1"/>
  <c r="D73" i="2" s="1"/>
  <c r="E69" i="2"/>
  <c r="F69" i="2"/>
  <c r="G69" i="2"/>
  <c r="G70" i="2" s="1"/>
  <c r="G73" i="2" s="1"/>
  <c r="C70" i="2"/>
  <c r="C73" i="2" s="1"/>
  <c r="C71" i="2"/>
  <c r="D71" i="2"/>
  <c r="E71" i="2"/>
  <c r="C72" i="2"/>
  <c r="E72" i="2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E88" i="2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E95" i="2"/>
  <c r="G95" i="2"/>
  <c r="C103" i="2"/>
  <c r="C104" i="2"/>
  <c r="D107" i="2"/>
  <c r="F107" i="2"/>
  <c r="F137" i="2" s="1"/>
  <c r="G107" i="2"/>
  <c r="C110" i="2"/>
  <c r="E110" i="2"/>
  <c r="C115" i="2"/>
  <c r="C116" i="2"/>
  <c r="F120" i="2"/>
  <c r="G120" i="2"/>
  <c r="C122" i="2"/>
  <c r="E122" i="2"/>
  <c r="F122" i="2"/>
  <c r="C123" i="2"/>
  <c r="D126" i="2"/>
  <c r="F126" i="2"/>
  <c r="E127" i="2"/>
  <c r="C129" i="2"/>
  <c r="E129" i="2"/>
  <c r="D136" i="2"/>
  <c r="F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G149" i="2" s="1"/>
  <c r="E149" i="2"/>
  <c r="F149" i="2"/>
  <c r="B150" i="2"/>
  <c r="C150" i="2"/>
  <c r="G150" i="2" s="1"/>
  <c r="D150" i="2"/>
  <c r="E150" i="2"/>
  <c r="F150" i="2"/>
  <c r="B151" i="2"/>
  <c r="C151" i="2"/>
  <c r="D151" i="2"/>
  <c r="G151" i="2" s="1"/>
  <c r="E151" i="2"/>
  <c r="F151" i="2"/>
  <c r="B152" i="2"/>
  <c r="C152" i="2"/>
  <c r="D152" i="2"/>
  <c r="E152" i="2"/>
  <c r="F152" i="2"/>
  <c r="B154" i="2"/>
  <c r="C154" i="2"/>
  <c r="G154" i="2" s="1"/>
  <c r="D154" i="2"/>
  <c r="E154" i="2"/>
  <c r="F154" i="2"/>
  <c r="B155" i="2"/>
  <c r="C155" i="2"/>
  <c r="D155" i="2"/>
  <c r="G155" i="2" s="1"/>
  <c r="E155" i="2"/>
  <c r="F155" i="2"/>
  <c r="D156" i="2"/>
  <c r="E156" i="2"/>
  <c r="F156" i="2"/>
  <c r="B2" i="13"/>
  <c r="F5" i="13"/>
  <c r="G5" i="13"/>
  <c r="F6" i="13"/>
  <c r="G6" i="13"/>
  <c r="F7" i="13"/>
  <c r="G7" i="13"/>
  <c r="F8" i="13"/>
  <c r="G8" i="13"/>
  <c r="C9" i="13"/>
  <c r="C10" i="13"/>
  <c r="C11" i="13"/>
  <c r="F12" i="13"/>
  <c r="G12" i="13"/>
  <c r="D12" i="13"/>
  <c r="C12" i="13" s="1"/>
  <c r="F13" i="13"/>
  <c r="G13" i="13"/>
  <c r="F14" i="13"/>
  <c r="G14" i="13"/>
  <c r="F15" i="13"/>
  <c r="G15" i="13"/>
  <c r="D15" i="13"/>
  <c r="C15" i="13" s="1"/>
  <c r="F16" i="13"/>
  <c r="G16" i="13"/>
  <c r="F17" i="13"/>
  <c r="G17" i="13"/>
  <c r="F18" i="13"/>
  <c r="G18" i="13"/>
  <c r="D18" i="13"/>
  <c r="C18" i="13" s="1"/>
  <c r="F19" i="13"/>
  <c r="G19" i="13"/>
  <c r="F29" i="13"/>
  <c r="G29" i="13"/>
  <c r="D29" i="13"/>
  <c r="C29" i="13" s="1"/>
  <c r="D39" i="13"/>
  <c r="B1" i="12"/>
  <c r="B4" i="12"/>
  <c r="B9" i="12"/>
  <c r="A13" i="12" s="1"/>
  <c r="C9" i="12"/>
  <c r="B13" i="12"/>
  <c r="C13" i="12"/>
  <c r="B18" i="12"/>
  <c r="C18" i="12"/>
  <c r="B22" i="12"/>
  <c r="A22" i="12" s="1"/>
  <c r="C22" i="12"/>
  <c r="B27" i="12"/>
  <c r="C27" i="12"/>
  <c r="B31" i="12"/>
  <c r="A31" i="12" s="1"/>
  <c r="C31" i="12"/>
  <c r="B36" i="12"/>
  <c r="C36" i="12"/>
  <c r="B40" i="12"/>
  <c r="A40" i="12" s="1"/>
  <c r="C40" i="12"/>
  <c r="F9" i="1"/>
  <c r="F14" i="1"/>
  <c r="G19" i="1"/>
  <c r="G608" i="1" s="1"/>
  <c r="H19" i="1"/>
  <c r="G609" i="1" s="1"/>
  <c r="J609" i="1" s="1"/>
  <c r="I19" i="1"/>
  <c r="G610" i="1" s="1"/>
  <c r="F25" i="1"/>
  <c r="F33" i="1" s="1"/>
  <c r="F32" i="1"/>
  <c r="G33" i="1"/>
  <c r="H33" i="1"/>
  <c r="I33" i="1"/>
  <c r="J33" i="1"/>
  <c r="G41" i="1"/>
  <c r="G43" i="1" s="1"/>
  <c r="F42" i="1"/>
  <c r="C41" i="2" s="1"/>
  <c r="H43" i="1"/>
  <c r="H44" i="1" s="1"/>
  <c r="H609" i="1" s="1"/>
  <c r="I43" i="1"/>
  <c r="I44" i="1" s="1"/>
  <c r="H610" i="1" s="1"/>
  <c r="F49" i="1"/>
  <c r="F52" i="1" s="1"/>
  <c r="G52" i="1"/>
  <c r="D48" i="2" s="1"/>
  <c r="D55" i="2" s="1"/>
  <c r="D96" i="2" s="1"/>
  <c r="H52" i="1"/>
  <c r="E48" i="2" s="1"/>
  <c r="I52" i="1"/>
  <c r="F48" i="2" s="1"/>
  <c r="F55" i="2" s="1"/>
  <c r="J52" i="1"/>
  <c r="J104" i="1" s="1"/>
  <c r="J185" i="1" s="1"/>
  <c r="F71" i="1"/>
  <c r="C49" i="2" s="1"/>
  <c r="C54" i="2" s="1"/>
  <c r="H71" i="1"/>
  <c r="F86" i="1"/>
  <c r="H86" i="1"/>
  <c r="G89" i="1"/>
  <c r="D52" i="2" s="1"/>
  <c r="D54" i="2" s="1"/>
  <c r="F103" i="1"/>
  <c r="G103" i="1"/>
  <c r="H103" i="1"/>
  <c r="I103" i="1"/>
  <c r="J103" i="1"/>
  <c r="G104" i="1"/>
  <c r="I104" i="1"/>
  <c r="I185" i="1" s="1"/>
  <c r="G620" i="1" s="1"/>
  <c r="J620" i="1" s="1"/>
  <c r="F113" i="1"/>
  <c r="G113" i="1"/>
  <c r="G132" i="1" s="1"/>
  <c r="G185" i="1" s="1"/>
  <c r="G618" i="1" s="1"/>
  <c r="J618" i="1" s="1"/>
  <c r="H113" i="1"/>
  <c r="H132" i="1" s="1"/>
  <c r="I113" i="1"/>
  <c r="I132" i="1" s="1"/>
  <c r="J113" i="1"/>
  <c r="F128" i="1"/>
  <c r="G128" i="1"/>
  <c r="H128" i="1"/>
  <c r="I128" i="1"/>
  <c r="J128" i="1"/>
  <c r="J132" i="1" s="1"/>
  <c r="F132" i="1"/>
  <c r="F139" i="1"/>
  <c r="C77" i="2" s="1"/>
  <c r="C83" i="2" s="1"/>
  <c r="G139" i="1"/>
  <c r="D77" i="2" s="1"/>
  <c r="D83" i="2" s="1"/>
  <c r="H139" i="1"/>
  <c r="E77" i="2" s="1"/>
  <c r="E83" i="2" s="1"/>
  <c r="I139" i="1"/>
  <c r="F77" i="2" s="1"/>
  <c r="F83" i="2" s="1"/>
  <c r="H147" i="1"/>
  <c r="H154" i="1" s="1"/>
  <c r="H161" i="1" s="1"/>
  <c r="H151" i="1"/>
  <c r="F154" i="1"/>
  <c r="G154" i="1"/>
  <c r="G161" i="1" s="1"/>
  <c r="I154" i="1"/>
  <c r="I161" i="1"/>
  <c r="F169" i="1"/>
  <c r="I169" i="1"/>
  <c r="F175" i="1"/>
  <c r="F184" i="1" s="1"/>
  <c r="G175" i="1"/>
  <c r="G184" i="1" s="1"/>
  <c r="H175" i="1"/>
  <c r="H184" i="1" s="1"/>
  <c r="I175" i="1"/>
  <c r="I184" i="1" s="1"/>
  <c r="J175" i="1"/>
  <c r="F180" i="1"/>
  <c r="G180" i="1"/>
  <c r="H180" i="1"/>
  <c r="I180" i="1"/>
  <c r="J184" i="1"/>
  <c r="L189" i="1"/>
  <c r="L190" i="1"/>
  <c r="C11" i="10" s="1"/>
  <c r="L191" i="1"/>
  <c r="L192" i="1"/>
  <c r="L194" i="1"/>
  <c r="L195" i="1"/>
  <c r="C111" i="2" s="1"/>
  <c r="L196" i="1"/>
  <c r="L197" i="1"/>
  <c r="C18" i="10" s="1"/>
  <c r="L198" i="1"/>
  <c r="L199" i="1"/>
  <c r="C20" i="10" s="1"/>
  <c r="L200" i="1"/>
  <c r="L201" i="1"/>
  <c r="C117" i="2" s="1"/>
  <c r="F203" i="1"/>
  <c r="F249" i="1" s="1"/>
  <c r="G203" i="1"/>
  <c r="G249" i="1" s="1"/>
  <c r="G263" i="1" s="1"/>
  <c r="H203" i="1"/>
  <c r="I203" i="1"/>
  <c r="J203" i="1"/>
  <c r="K203" i="1"/>
  <c r="K249" i="1" s="1"/>
  <c r="K263" i="1" s="1"/>
  <c r="L207" i="1"/>
  <c r="L208" i="1"/>
  <c r="L209" i="1"/>
  <c r="L210" i="1"/>
  <c r="L212" i="1"/>
  <c r="L213" i="1"/>
  <c r="L214" i="1"/>
  <c r="L215" i="1"/>
  <c r="L216" i="1"/>
  <c r="L217" i="1"/>
  <c r="L218" i="1"/>
  <c r="G640" i="1" s="1"/>
  <c r="L219" i="1"/>
  <c r="E16" i="13" s="1"/>
  <c r="C16" i="13" s="1"/>
  <c r="F221" i="1"/>
  <c r="G221" i="1"/>
  <c r="H221" i="1"/>
  <c r="I221" i="1"/>
  <c r="J221" i="1"/>
  <c r="K221" i="1"/>
  <c r="L225" i="1"/>
  <c r="L226" i="1"/>
  <c r="L227" i="1"/>
  <c r="L228" i="1"/>
  <c r="L230" i="1"/>
  <c r="D6" i="13" s="1"/>
  <c r="C6" i="13" s="1"/>
  <c r="L231" i="1"/>
  <c r="L232" i="1"/>
  <c r="L233" i="1"/>
  <c r="L234" i="1"/>
  <c r="L235" i="1"/>
  <c r="L236" i="1"/>
  <c r="L237" i="1"/>
  <c r="F239" i="1"/>
  <c r="G239" i="1"/>
  <c r="H239" i="1"/>
  <c r="I239" i="1"/>
  <c r="I249" i="1" s="1"/>
  <c r="I263" i="1" s="1"/>
  <c r="J239" i="1"/>
  <c r="J249" i="1" s="1"/>
  <c r="K239" i="1"/>
  <c r="L239" i="1"/>
  <c r="L242" i="1"/>
  <c r="C105" i="2" s="1"/>
  <c r="L243" i="1"/>
  <c r="C106" i="2" s="1"/>
  <c r="L244" i="1"/>
  <c r="L245" i="1"/>
  <c r="D19" i="13" s="1"/>
  <c r="C19" i="13" s="1"/>
  <c r="L246" i="1"/>
  <c r="L247" i="1"/>
  <c r="C29" i="10" s="1"/>
  <c r="F248" i="1"/>
  <c r="L248" i="1" s="1"/>
  <c r="G248" i="1"/>
  <c r="H248" i="1"/>
  <c r="H249" i="1" s="1"/>
  <c r="H263" i="1" s="1"/>
  <c r="I248" i="1"/>
  <c r="J248" i="1"/>
  <c r="K248" i="1"/>
  <c r="L252" i="1"/>
  <c r="C32" i="10" s="1"/>
  <c r="L253" i="1"/>
  <c r="C124" i="2" s="1"/>
  <c r="L255" i="1"/>
  <c r="C127" i="2" s="1"/>
  <c r="L256" i="1"/>
  <c r="C128" i="2" s="1"/>
  <c r="L257" i="1"/>
  <c r="L258" i="1"/>
  <c r="L260" i="1"/>
  <c r="C134" i="2" s="1"/>
  <c r="L261" i="1"/>
  <c r="C135" i="2" s="1"/>
  <c r="F262" i="1"/>
  <c r="G262" i="1"/>
  <c r="H262" i="1"/>
  <c r="I262" i="1"/>
  <c r="J262" i="1"/>
  <c r="K262" i="1"/>
  <c r="L262" i="1"/>
  <c r="F263" i="1"/>
  <c r="L268" i="1"/>
  <c r="E101" i="2" s="1"/>
  <c r="L269" i="1"/>
  <c r="L270" i="1"/>
  <c r="L282" i="1" s="1"/>
  <c r="L271" i="1"/>
  <c r="L273" i="1"/>
  <c r="C15" i="10" s="1"/>
  <c r="L274" i="1"/>
  <c r="L275" i="1"/>
  <c r="E112" i="2" s="1"/>
  <c r="L276" i="1"/>
  <c r="E113" i="2" s="1"/>
  <c r="L277" i="1"/>
  <c r="E114" i="2" s="1"/>
  <c r="L278" i="1"/>
  <c r="L279" i="1"/>
  <c r="L280" i="1"/>
  <c r="E117" i="2" s="1"/>
  <c r="F282" i="1"/>
  <c r="G282" i="1"/>
  <c r="H282" i="1"/>
  <c r="H330" i="1" s="1"/>
  <c r="H344" i="1" s="1"/>
  <c r="I282" i="1"/>
  <c r="J282" i="1"/>
  <c r="F31" i="13" s="1"/>
  <c r="K282" i="1"/>
  <c r="L287" i="1"/>
  <c r="L288" i="1"/>
  <c r="L289" i="1"/>
  <c r="L290" i="1"/>
  <c r="L292" i="1"/>
  <c r="L293" i="1"/>
  <c r="L294" i="1"/>
  <c r="L295" i="1"/>
  <c r="L296" i="1"/>
  <c r="L297" i="1"/>
  <c r="E115" i="2" s="1"/>
  <c r="L298" i="1"/>
  <c r="E116" i="2" s="1"/>
  <c r="L299" i="1"/>
  <c r="F301" i="1"/>
  <c r="G301" i="1"/>
  <c r="H301" i="1"/>
  <c r="I301" i="1"/>
  <c r="J301" i="1"/>
  <c r="K301" i="1"/>
  <c r="L306" i="1"/>
  <c r="L320" i="1" s="1"/>
  <c r="L307" i="1"/>
  <c r="E102" i="2" s="1"/>
  <c r="L308" i="1"/>
  <c r="E103" i="2" s="1"/>
  <c r="L309" i="1"/>
  <c r="L311" i="1"/>
  <c r="L312" i="1"/>
  <c r="L313" i="1"/>
  <c r="L314" i="1"/>
  <c r="L315" i="1"/>
  <c r="L316" i="1"/>
  <c r="L317" i="1"/>
  <c r="L318" i="1"/>
  <c r="F320" i="1"/>
  <c r="F330" i="1" s="1"/>
  <c r="F344" i="1" s="1"/>
  <c r="G320" i="1"/>
  <c r="G330" i="1" s="1"/>
  <c r="G344" i="1" s="1"/>
  <c r="H320" i="1"/>
  <c r="I320" i="1"/>
  <c r="J320" i="1"/>
  <c r="K320" i="1"/>
  <c r="L324" i="1"/>
  <c r="E105" i="2" s="1"/>
  <c r="L325" i="1"/>
  <c r="E106" i="2" s="1"/>
  <c r="L326" i="1"/>
  <c r="L327" i="1"/>
  <c r="L328" i="1"/>
  <c r="F329" i="1"/>
  <c r="G329" i="1"/>
  <c r="H329" i="1"/>
  <c r="I329" i="1"/>
  <c r="J329" i="1"/>
  <c r="K329" i="1"/>
  <c r="L333" i="1"/>
  <c r="E123" i="2" s="1"/>
  <c r="L334" i="1"/>
  <c r="E124" i="2" s="1"/>
  <c r="L336" i="1"/>
  <c r="E126" i="2" s="1"/>
  <c r="L337" i="1"/>
  <c r="L338" i="1"/>
  <c r="L339" i="1"/>
  <c r="L341" i="1"/>
  <c r="E134" i="2" s="1"/>
  <c r="L342" i="1"/>
  <c r="E135" i="2" s="1"/>
  <c r="K343" i="1"/>
  <c r="F350" i="1"/>
  <c r="L350" i="1" s="1"/>
  <c r="G350" i="1"/>
  <c r="I350" i="1"/>
  <c r="L351" i="1"/>
  <c r="L352" i="1"/>
  <c r="L353" i="1"/>
  <c r="F354" i="1"/>
  <c r="G354" i="1"/>
  <c r="H354" i="1"/>
  <c r="I354" i="1"/>
  <c r="J354" i="1"/>
  <c r="K354" i="1"/>
  <c r="F359" i="1"/>
  <c r="I359" i="1"/>
  <c r="I360" i="1"/>
  <c r="F361" i="1"/>
  <c r="G361" i="1"/>
  <c r="H361" i="1"/>
  <c r="I361" i="1"/>
  <c r="H624" i="1" s="1"/>
  <c r="J624" i="1" s="1"/>
  <c r="L366" i="1"/>
  <c r="L374" i="1" s="1"/>
  <c r="G626" i="1" s="1"/>
  <c r="J626" i="1" s="1"/>
  <c r="L367" i="1"/>
  <c r="L368" i="1"/>
  <c r="L369" i="1"/>
  <c r="L370" i="1"/>
  <c r="L371" i="1"/>
  <c r="L372" i="1"/>
  <c r="L373" i="1"/>
  <c r="F374" i="1"/>
  <c r="G374" i="1"/>
  <c r="H374" i="1"/>
  <c r="I374" i="1"/>
  <c r="J374" i="1"/>
  <c r="K374" i="1"/>
  <c r="L379" i="1"/>
  <c r="L385" i="1" s="1"/>
  <c r="L380" i="1"/>
  <c r="L381" i="1"/>
  <c r="L382" i="1"/>
  <c r="L383" i="1"/>
  <c r="L384" i="1"/>
  <c r="F385" i="1"/>
  <c r="G385" i="1"/>
  <c r="H385" i="1"/>
  <c r="H400" i="1" s="1"/>
  <c r="H634" i="1" s="1"/>
  <c r="J634" i="1" s="1"/>
  <c r="I385" i="1"/>
  <c r="L387" i="1"/>
  <c r="L388" i="1"/>
  <c r="L393" i="1" s="1"/>
  <c r="C131" i="2" s="1"/>
  <c r="L389" i="1"/>
  <c r="L390" i="1"/>
  <c r="L391" i="1"/>
  <c r="L392" i="1"/>
  <c r="F393" i="1"/>
  <c r="G393" i="1"/>
  <c r="H393" i="1"/>
  <c r="I393" i="1"/>
  <c r="I400" i="1" s="1"/>
  <c r="L395" i="1"/>
  <c r="L396" i="1"/>
  <c r="L397" i="1"/>
  <c r="L398" i="1"/>
  <c r="F399" i="1"/>
  <c r="G399" i="1"/>
  <c r="H399" i="1"/>
  <c r="I399" i="1"/>
  <c r="L399" i="1"/>
  <c r="C132" i="2" s="1"/>
  <c r="F400" i="1"/>
  <c r="H633" i="1" s="1"/>
  <c r="J633" i="1" s="1"/>
  <c r="G400" i="1"/>
  <c r="H635" i="1" s="1"/>
  <c r="L405" i="1"/>
  <c r="L406" i="1"/>
  <c r="L411" i="1" s="1"/>
  <c r="L426" i="1" s="1"/>
  <c r="G628" i="1" s="1"/>
  <c r="J628" i="1" s="1"/>
  <c r="L407" i="1"/>
  <c r="L408" i="1"/>
  <c r="L409" i="1"/>
  <c r="L410" i="1"/>
  <c r="F411" i="1"/>
  <c r="F426" i="1" s="1"/>
  <c r="G411" i="1"/>
  <c r="H411" i="1"/>
  <c r="I411" i="1"/>
  <c r="J411" i="1"/>
  <c r="K411" i="1"/>
  <c r="L413" i="1"/>
  <c r="L414" i="1"/>
  <c r="L415" i="1"/>
  <c r="L416" i="1"/>
  <c r="L417" i="1"/>
  <c r="L419" i="1" s="1"/>
  <c r="L418" i="1"/>
  <c r="F419" i="1"/>
  <c r="G419" i="1"/>
  <c r="H419" i="1"/>
  <c r="I419" i="1"/>
  <c r="J419" i="1"/>
  <c r="K419" i="1"/>
  <c r="L421" i="1"/>
  <c r="L422" i="1"/>
  <c r="L423" i="1"/>
  <c r="L424" i="1"/>
  <c r="L425" i="1" s="1"/>
  <c r="F425" i="1"/>
  <c r="G425" i="1"/>
  <c r="H425" i="1"/>
  <c r="I425" i="1"/>
  <c r="J425" i="1"/>
  <c r="K425" i="1"/>
  <c r="I426" i="1"/>
  <c r="J426" i="1"/>
  <c r="K426" i="1"/>
  <c r="G126" i="2" s="1"/>
  <c r="G136" i="2" s="1"/>
  <c r="I431" i="1"/>
  <c r="I432" i="1"/>
  <c r="J10" i="1" s="1"/>
  <c r="G10" i="2" s="1"/>
  <c r="I433" i="1"/>
  <c r="J12" i="1" s="1"/>
  <c r="G12" i="2" s="1"/>
  <c r="I434" i="1"/>
  <c r="J13" i="1" s="1"/>
  <c r="G13" i="2" s="1"/>
  <c r="I435" i="1"/>
  <c r="J14" i="1" s="1"/>
  <c r="G14" i="2" s="1"/>
  <c r="I436" i="1"/>
  <c r="J17" i="1" s="1"/>
  <c r="G17" i="2" s="1"/>
  <c r="I437" i="1"/>
  <c r="J18" i="1" s="1"/>
  <c r="G18" i="2" s="1"/>
  <c r="F438" i="1"/>
  <c r="G438" i="1"/>
  <c r="H438" i="1"/>
  <c r="I440" i="1"/>
  <c r="J23" i="1" s="1"/>
  <c r="G22" i="2" s="1"/>
  <c r="I441" i="1"/>
  <c r="J24" i="1" s="1"/>
  <c r="G23" i="2" s="1"/>
  <c r="I442" i="1"/>
  <c r="J25" i="1" s="1"/>
  <c r="G24" i="2" s="1"/>
  <c r="I443" i="1"/>
  <c r="J32" i="1" s="1"/>
  <c r="G31" i="2" s="1"/>
  <c r="F444" i="1"/>
  <c r="G444" i="1"/>
  <c r="H444" i="1"/>
  <c r="I446" i="1"/>
  <c r="J37" i="1" s="1"/>
  <c r="I447" i="1"/>
  <c r="J38" i="1" s="1"/>
  <c r="G37" i="2" s="1"/>
  <c r="I448" i="1"/>
  <c r="J40" i="1" s="1"/>
  <c r="G39" i="2" s="1"/>
  <c r="I449" i="1"/>
  <c r="J41" i="1" s="1"/>
  <c r="G40" i="2" s="1"/>
  <c r="F450" i="1"/>
  <c r="F451" i="1" s="1"/>
  <c r="H629" i="1" s="1"/>
  <c r="J629" i="1" s="1"/>
  <c r="G450" i="1"/>
  <c r="G451" i="1" s="1"/>
  <c r="H630" i="1" s="1"/>
  <c r="J630" i="1" s="1"/>
  <c r="H450" i="1"/>
  <c r="H451" i="1"/>
  <c r="F460" i="1"/>
  <c r="G460" i="1"/>
  <c r="G466" i="1" s="1"/>
  <c r="H613" i="1" s="1"/>
  <c r="H460" i="1"/>
  <c r="H466" i="1" s="1"/>
  <c r="H614" i="1" s="1"/>
  <c r="I460" i="1"/>
  <c r="I466" i="1" s="1"/>
  <c r="H615" i="1" s="1"/>
  <c r="J460" i="1"/>
  <c r="J466" i="1" s="1"/>
  <c r="H616" i="1" s="1"/>
  <c r="F464" i="1"/>
  <c r="F466" i="1" s="1"/>
  <c r="H612" i="1" s="1"/>
  <c r="G464" i="1"/>
  <c r="H464" i="1"/>
  <c r="I464" i="1"/>
  <c r="J464" i="1"/>
  <c r="K485" i="1"/>
  <c r="K486" i="1"/>
  <c r="K487" i="1"/>
  <c r="K488" i="1"/>
  <c r="K489" i="1"/>
  <c r="F490" i="1"/>
  <c r="B153" i="2" s="1"/>
  <c r="G490" i="1"/>
  <c r="C153" i="2" s="1"/>
  <c r="H490" i="1"/>
  <c r="D153" i="2" s="1"/>
  <c r="I490" i="1"/>
  <c r="E153" i="2" s="1"/>
  <c r="J490" i="1"/>
  <c r="F153" i="2" s="1"/>
  <c r="K491" i="1"/>
  <c r="K492" i="1"/>
  <c r="F493" i="1"/>
  <c r="G493" i="1"/>
  <c r="C156" i="2" s="1"/>
  <c r="H493" i="1"/>
  <c r="I493" i="1"/>
  <c r="J493" i="1"/>
  <c r="F507" i="1"/>
  <c r="G507" i="1"/>
  <c r="H507" i="1"/>
  <c r="I507" i="1"/>
  <c r="F511" i="1"/>
  <c r="L511" i="1" s="1"/>
  <c r="F539" i="1" s="1"/>
  <c r="G511" i="1"/>
  <c r="G514" i="1" s="1"/>
  <c r="H511" i="1"/>
  <c r="H514" i="1" s="1"/>
  <c r="I511" i="1"/>
  <c r="I514" i="1" s="1"/>
  <c r="I535" i="1" s="1"/>
  <c r="J511" i="1"/>
  <c r="K511" i="1"/>
  <c r="F512" i="1"/>
  <c r="G512" i="1"/>
  <c r="H512" i="1"/>
  <c r="I512" i="1"/>
  <c r="J512" i="1"/>
  <c r="K512" i="1"/>
  <c r="L512" i="1"/>
  <c r="F540" i="1" s="1"/>
  <c r="K540" i="1" s="1"/>
  <c r="F513" i="1"/>
  <c r="L513" i="1" s="1"/>
  <c r="F541" i="1" s="1"/>
  <c r="K541" i="1" s="1"/>
  <c r="G513" i="1"/>
  <c r="H513" i="1"/>
  <c r="I513" i="1"/>
  <c r="J513" i="1"/>
  <c r="K513" i="1"/>
  <c r="J514" i="1"/>
  <c r="J535" i="1" s="1"/>
  <c r="K514" i="1"/>
  <c r="H516" i="1"/>
  <c r="L516" i="1" s="1"/>
  <c r="L517" i="1"/>
  <c r="L518" i="1"/>
  <c r="F519" i="1"/>
  <c r="G519" i="1"/>
  <c r="I519" i="1"/>
  <c r="J519" i="1"/>
  <c r="K519" i="1"/>
  <c r="L521" i="1"/>
  <c r="L522" i="1"/>
  <c r="L523" i="1"/>
  <c r="F524" i="1"/>
  <c r="G524" i="1"/>
  <c r="H524" i="1"/>
  <c r="I524" i="1"/>
  <c r="J524" i="1"/>
  <c r="K524" i="1"/>
  <c r="L526" i="1"/>
  <c r="I539" i="1" s="1"/>
  <c r="L527" i="1"/>
  <c r="I540" i="1" s="1"/>
  <c r="L528" i="1"/>
  <c r="I541" i="1" s="1"/>
  <c r="F529" i="1"/>
  <c r="G529" i="1"/>
  <c r="H529" i="1"/>
  <c r="I529" i="1"/>
  <c r="J529" i="1"/>
  <c r="K529" i="1"/>
  <c r="L531" i="1"/>
  <c r="L532" i="1"/>
  <c r="L534" i="1" s="1"/>
  <c r="L533" i="1"/>
  <c r="J541" i="1" s="1"/>
  <c r="J542" i="1" s="1"/>
  <c r="F534" i="1"/>
  <c r="G534" i="1"/>
  <c r="H534" i="1"/>
  <c r="I534" i="1"/>
  <c r="J534" i="1"/>
  <c r="K534" i="1"/>
  <c r="K535" i="1"/>
  <c r="J539" i="1"/>
  <c r="G540" i="1"/>
  <c r="H540" i="1"/>
  <c r="J540" i="1"/>
  <c r="G541" i="1"/>
  <c r="H541" i="1"/>
  <c r="L547" i="1"/>
  <c r="L548" i="1"/>
  <c r="L549" i="1"/>
  <c r="F550" i="1"/>
  <c r="G550" i="1"/>
  <c r="G561" i="1" s="1"/>
  <c r="H550" i="1"/>
  <c r="I550" i="1"/>
  <c r="J550" i="1"/>
  <c r="K550" i="1"/>
  <c r="L550" i="1"/>
  <c r="L561" i="1" s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F561" i="1" s="1"/>
  <c r="G560" i="1"/>
  <c r="H560" i="1"/>
  <c r="I560" i="1"/>
  <c r="J560" i="1"/>
  <c r="K560" i="1"/>
  <c r="H561" i="1"/>
  <c r="I561" i="1"/>
  <c r="J561" i="1"/>
  <c r="K561" i="1"/>
  <c r="F565" i="1"/>
  <c r="I565" i="1" s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K583" i="1"/>
  <c r="K584" i="1"/>
  <c r="K585" i="1"/>
  <c r="K586" i="1"/>
  <c r="K587" i="1"/>
  <c r="H588" i="1"/>
  <c r="H639" i="1" s="1"/>
  <c r="I588" i="1"/>
  <c r="H640" i="1" s="1"/>
  <c r="J588" i="1"/>
  <c r="K592" i="1"/>
  <c r="K593" i="1"/>
  <c r="K594" i="1"/>
  <c r="H595" i="1"/>
  <c r="I595" i="1"/>
  <c r="J595" i="1"/>
  <c r="K595" i="1"/>
  <c r="G638" i="1" s="1"/>
  <c r="F601" i="1"/>
  <c r="F604" i="1" s="1"/>
  <c r="H601" i="1"/>
  <c r="H604" i="1" s="1"/>
  <c r="L601" i="1"/>
  <c r="L602" i="1"/>
  <c r="L603" i="1"/>
  <c r="G604" i="1"/>
  <c r="I604" i="1"/>
  <c r="J604" i="1"/>
  <c r="K604" i="1"/>
  <c r="G615" i="1"/>
  <c r="J615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29" i="1"/>
  <c r="G630" i="1"/>
  <c r="G631" i="1"/>
  <c r="H631" i="1"/>
  <c r="J631" i="1"/>
  <c r="G633" i="1"/>
  <c r="G634" i="1"/>
  <c r="G635" i="1"/>
  <c r="J635" i="1"/>
  <c r="G639" i="1"/>
  <c r="J639" i="1"/>
  <c r="G641" i="1"/>
  <c r="H641" i="1"/>
  <c r="J641" i="1" s="1"/>
  <c r="G642" i="1"/>
  <c r="H642" i="1"/>
  <c r="J642" i="1"/>
  <c r="G643" i="1"/>
  <c r="H643" i="1"/>
  <c r="J643" i="1"/>
  <c r="G644" i="1"/>
  <c r="H644" i="1"/>
  <c r="J644" i="1"/>
  <c r="G645" i="1"/>
  <c r="H645" i="1"/>
  <c r="J645" i="1" s="1"/>
  <c r="F651" i="1"/>
  <c r="F652" i="1"/>
  <c r="H652" i="1"/>
  <c r="G653" i="1"/>
  <c r="H653" i="1"/>
  <c r="I655" i="1"/>
  <c r="I659" i="1"/>
  <c r="I660" i="1"/>
  <c r="F542" i="1" l="1"/>
  <c r="E49" i="2"/>
  <c r="E54" i="2" s="1"/>
  <c r="E55" i="2" s="1"/>
  <c r="E96" i="2" s="1"/>
  <c r="H104" i="1"/>
  <c r="H185" i="1" s="1"/>
  <c r="G619" i="1" s="1"/>
  <c r="J619" i="1" s="1"/>
  <c r="L604" i="1"/>
  <c r="F653" i="1"/>
  <c r="I653" i="1" s="1"/>
  <c r="H426" i="1"/>
  <c r="G651" i="1"/>
  <c r="D119" i="2"/>
  <c r="D120" i="2" s="1"/>
  <c r="D137" i="2" s="1"/>
  <c r="L354" i="1"/>
  <c r="I330" i="1"/>
  <c r="I344" i="1" s="1"/>
  <c r="E104" i="2"/>
  <c r="G137" i="2"/>
  <c r="G636" i="1"/>
  <c r="G621" i="1"/>
  <c r="J621" i="1" s="1"/>
  <c r="L514" i="1"/>
  <c r="G36" i="2"/>
  <c r="G42" i="2" s="1"/>
  <c r="J43" i="1"/>
  <c r="D5" i="13"/>
  <c r="C38" i="10"/>
  <c r="F96" i="2"/>
  <c r="D43" i="2"/>
  <c r="J638" i="1"/>
  <c r="G153" i="2"/>
  <c r="C130" i="2"/>
  <c r="L400" i="1"/>
  <c r="E107" i="2"/>
  <c r="C42" i="2"/>
  <c r="C43" i="2" s="1"/>
  <c r="L329" i="1"/>
  <c r="C21" i="10"/>
  <c r="G148" i="2"/>
  <c r="L330" i="1"/>
  <c r="L344" i="1" s="1"/>
  <c r="G623" i="1" s="1"/>
  <c r="J623" i="1" s="1"/>
  <c r="H539" i="1"/>
  <c r="H542" i="1" s="1"/>
  <c r="L524" i="1"/>
  <c r="F104" i="1"/>
  <c r="C35" i="10"/>
  <c r="C48" i="2"/>
  <c r="C55" i="2" s="1"/>
  <c r="C96" i="2" s="1"/>
  <c r="J610" i="1"/>
  <c r="G426" i="1"/>
  <c r="C19" i="10"/>
  <c r="E13" i="13"/>
  <c r="C13" i="13" s="1"/>
  <c r="C114" i="2"/>
  <c r="C120" i="2" s="1"/>
  <c r="J9" i="1"/>
  <c r="I438" i="1"/>
  <c r="G632" i="1" s="1"/>
  <c r="L301" i="1"/>
  <c r="J608" i="1"/>
  <c r="I542" i="1"/>
  <c r="K493" i="1"/>
  <c r="H651" i="1"/>
  <c r="H650" i="1"/>
  <c r="H654" i="1" s="1"/>
  <c r="L221" i="1"/>
  <c r="G650" i="1" s="1"/>
  <c r="C17" i="10"/>
  <c r="G152" i="2"/>
  <c r="G539" i="1"/>
  <c r="G542" i="1" s="1"/>
  <c r="L519" i="1"/>
  <c r="E43" i="2"/>
  <c r="G32" i="2"/>
  <c r="C9" i="2"/>
  <c r="C19" i="2" s="1"/>
  <c r="F19" i="1"/>
  <c r="G607" i="1" s="1"/>
  <c r="I651" i="1"/>
  <c r="G535" i="1"/>
  <c r="E136" i="2"/>
  <c r="G31" i="13"/>
  <c r="G33" i="13" s="1"/>
  <c r="K330" i="1"/>
  <c r="K344" i="1" s="1"/>
  <c r="E111" i="2"/>
  <c r="C16" i="10"/>
  <c r="J263" i="1"/>
  <c r="H638" i="1"/>
  <c r="J640" i="1"/>
  <c r="G44" i="1"/>
  <c r="H608" i="1" s="1"/>
  <c r="G613" i="1"/>
  <c r="J613" i="1" s="1"/>
  <c r="F33" i="13"/>
  <c r="E120" i="2"/>
  <c r="C12" i="10"/>
  <c r="K490" i="1"/>
  <c r="L343" i="1"/>
  <c r="J330" i="1"/>
  <c r="J344" i="1" s="1"/>
  <c r="H25" i="13"/>
  <c r="D17" i="13"/>
  <c r="C17" i="13" s="1"/>
  <c r="D14" i="13"/>
  <c r="C14" i="13" s="1"/>
  <c r="B156" i="2"/>
  <c r="G156" i="2" s="1"/>
  <c r="C102" i="2"/>
  <c r="C25" i="10"/>
  <c r="G614" i="1"/>
  <c r="J614" i="1" s="1"/>
  <c r="L529" i="1"/>
  <c r="H519" i="1"/>
  <c r="H535" i="1" s="1"/>
  <c r="F43" i="1"/>
  <c r="G48" i="2"/>
  <c r="G55" i="2" s="1"/>
  <c r="G96" i="2" s="1"/>
  <c r="C24" i="10"/>
  <c r="C10" i="10"/>
  <c r="L203" i="1"/>
  <c r="C13" i="10"/>
  <c r="F514" i="1"/>
  <c r="F535" i="1" s="1"/>
  <c r="I444" i="1"/>
  <c r="F22" i="13"/>
  <c r="C22" i="13" s="1"/>
  <c r="C101" i="2"/>
  <c r="C107" i="2" s="1"/>
  <c r="C23" i="10"/>
  <c r="G652" i="1"/>
  <c r="I652" i="1" s="1"/>
  <c r="H637" i="1"/>
  <c r="J637" i="1" s="1"/>
  <c r="E8" i="13"/>
  <c r="C113" i="2"/>
  <c r="F161" i="1"/>
  <c r="C39" i="10" s="1"/>
  <c r="C112" i="2"/>
  <c r="I450" i="1"/>
  <c r="D7" i="13"/>
  <c r="C7" i="13" s="1"/>
  <c r="G625" i="1" l="1"/>
  <c r="J625" i="1" s="1"/>
  <c r="C27" i="10"/>
  <c r="L249" i="1"/>
  <c r="L263" i="1" s="1"/>
  <c r="G622" i="1" s="1"/>
  <c r="J622" i="1" s="1"/>
  <c r="F650" i="1"/>
  <c r="C5" i="13"/>
  <c r="C25" i="13"/>
  <c r="H33" i="13"/>
  <c r="C133" i="2"/>
  <c r="C136" i="2" s="1"/>
  <c r="C137" i="2" s="1"/>
  <c r="C41" i="10"/>
  <c r="D39" i="10" s="1"/>
  <c r="D35" i="10"/>
  <c r="C36" i="10"/>
  <c r="G616" i="1"/>
  <c r="J616" i="1" s="1"/>
  <c r="J44" i="1"/>
  <c r="H611" i="1" s="1"/>
  <c r="C8" i="13"/>
  <c r="E33" i="13"/>
  <c r="D35" i="13" s="1"/>
  <c r="J632" i="1"/>
  <c r="F185" i="1"/>
  <c r="G617" i="1" s="1"/>
  <c r="J617" i="1" s="1"/>
  <c r="E137" i="2"/>
  <c r="G43" i="2"/>
  <c r="G612" i="1"/>
  <c r="J612" i="1" s="1"/>
  <c r="F44" i="1"/>
  <c r="H607" i="1" s="1"/>
  <c r="J19" i="1"/>
  <c r="G611" i="1" s="1"/>
  <c r="J611" i="1" s="1"/>
  <c r="G9" i="2"/>
  <c r="G19" i="2" s="1"/>
  <c r="H636" i="1"/>
  <c r="J636" i="1" s="1"/>
  <c r="G627" i="1"/>
  <c r="J627" i="1" s="1"/>
  <c r="L535" i="1"/>
  <c r="H662" i="1"/>
  <c r="H657" i="1"/>
  <c r="D31" i="13"/>
  <c r="C31" i="13" s="1"/>
  <c r="I451" i="1"/>
  <c r="H632" i="1" s="1"/>
  <c r="J607" i="1"/>
  <c r="G654" i="1"/>
  <c r="K539" i="1"/>
  <c r="K542" i="1" s="1"/>
  <c r="G657" i="1" l="1"/>
  <c r="G662" i="1"/>
  <c r="C28" i="10"/>
  <c r="D33" i="13"/>
  <c r="D36" i="13" s="1"/>
  <c r="H646" i="1"/>
  <c r="D40" i="10"/>
  <c r="D37" i="10"/>
  <c r="D36" i="10"/>
  <c r="D41" i="10" s="1"/>
  <c r="I650" i="1"/>
  <c r="I654" i="1" s="1"/>
  <c r="F654" i="1"/>
  <c r="D38" i="10"/>
  <c r="I662" i="1" l="1"/>
  <c r="C7" i="10" s="1"/>
  <c r="I657" i="1"/>
  <c r="F657" i="1"/>
  <c r="F662" i="1"/>
  <c r="C4" i="10" s="1"/>
  <c r="D22" i="10"/>
  <c r="C30" i="10"/>
  <c r="D26" i="10"/>
  <c r="D15" i="10"/>
  <c r="D11" i="10"/>
  <c r="D20" i="10"/>
  <c r="D18" i="10"/>
  <c r="D10" i="10"/>
  <c r="D28" i="10" s="1"/>
  <c r="D16" i="10"/>
  <c r="D19" i="10"/>
  <c r="D12" i="10"/>
  <c r="D23" i="10"/>
  <c r="D21" i="10"/>
  <c r="D13" i="10"/>
  <c r="D25" i="10"/>
  <c r="D24" i="10"/>
  <c r="D17" i="10"/>
  <c r="D2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51E893C2-0AB4-4A00-AFCA-89556256B649}">
      <text>
        <r>
          <rPr>
            <sz val="8"/>
            <rFont val="Arial"/>
          </rPr>
          <t>zscË_x0001_+{£_x0001_£C+_x0001__x000B_k{«s£_x0001__x000B_K+_x0001_c{_x001B__x000B_ccË_x0001_£{_x0001_«{£_x0001_+#«_x001B__x000B_£K{sq_x0001__x0001_"{_x0001_s{£_x0001_+{£_x0001_£C+_x0001__x000B_k{«s£_x0001__x000B_K+_x0001_3{k_x0001_£C+_x0001_£_x000B_£+»K#+_x0001_{+£Ë_x0001_¢_x000B_Ãq_x0001__x0001_¢C_x000B_£_x0001__x000B_k{«s£_x0001_C{«c#_x0001__x0013_+_x0001_+{£+#_x0001_{s_x0001__x0001__x000B_;+_x0001_¡qPP</t>
        </r>
      </text>
    </comment>
    <comment ref="A53" authorId="0" shapeId="0" xr:uid="{D987FEB9-477B-4963-81D5-8AF4907DFEC9}">
      <text>
        <r>
          <rPr>
            <sz val="8"/>
            <rFont val="Arial"/>
          </rPr>
          <t>c_x0000_+_x0000__x000B__x0000__x0000_+_x0000__x0001__x0000__x0013__x0000_+_x0000__x0001__x0000__x001B__x0000__x000B__x0000__x0000_+_x0000_3_x0000_«_x0000_c_x0000__x0001__x0000_K_x0000_s_x0000__x0001__x0000__x0000_+_x0000__x0000_{_x0000__x0000_£_x0000_K_x0000_s_x0000_;_x0000__x0001__x0000_£_x0000_C_x0000_+_x0000__x0001__x0000_£_x0000_«_x0000_K_x0000_£_x0000_K_x0000_{_x0000_s_x0000__x0001__x0000__x0000_+_x0000_³_x0000_+_x0000_s_x0000_«_x0000_+_x0000__x0001__x0000_£_x0000_{_x0000__x0001__x0000_£_x0000_C_x0000_+_x0000__x0001__x0000__x000B__x0000__x0000__x0000__x0000_{_x0000__x0000__x0000_K_x0000__x000B__x0000_£_x0000_+_x0000__x0001__x0000__x001B__x0000__x000B__x0000_£_x0000_+_x0000_;</t>
        </r>
      </text>
    </comment>
    <comment ref="A73" authorId="0" shapeId="0" xr:uid="{2FA19B01-2FFF-40A3-93DE-0130F7EADA6D}">
      <text>
        <r>
          <rPr>
            <sz val="8"/>
            <rFont val="Arial"/>
          </rPr>
          <t>c_x0000_+_x0000__x000B__x0000__x0000_+_x0000__x0001__x0000__x0013__x0000_+_x0000__x0001__x0000__x001B__x0000__x000B__x0000__x0000_+_x0000_3_x0000_«_x0000_c_x0000__x0001__x0000_K_x0000_s_x0000__x0001__x0000__x0000_+_x0000__x0000_{_x0000__x0000_£_x0000_K_x0000_s_x0000_;_x0000__x0001__x0000_£_x0000_C_x0000_+_x0000__x0001__x0000_£_x0000__x0000__x000B__x0000_s_x0000__x0000__x0000_{_x0000__x0000_£_x0000__x000B__x0000_£_x0000_K_x0000_{_x0000_s_x0000__x0001__x0000__x0000_+_x0000_³_x0000_+_x0000_s_x0000_«_x0000_+_x0000__x0001__x0000_£_x0000_{_x0000__x0001__x0000_£_x0000_C_x0000_+_x0000__x0001__x0000__x000B__x0000__x0000__x0000__x0000_{_x0000__x0000__x0000_K_x0000__x000B__x0000_£_x0000_+_x0000__x0001__x0000__x001B__x0000__x000B__x0000_£_x0000_+_x0000_;_x0000_{_x0000__x0000_Ë_x0000_q</t>
        </r>
      </text>
    </comment>
    <comment ref="A85" authorId="0" shapeId="0" xr:uid="{4FD61445-A756-411A-9CFB-841EE90036E6}">
      <text>
        <r>
          <rPr>
            <sz val="8"/>
            <rFont val="Arial"/>
          </rPr>
          <t>r{£+Ñ_x0001__x0001_¢_x000B_s{£_x000B_£K{s_x0001_2++_x0001_+_x001B_+K³+#_x0001_3{_x0001_s{si£«#+s£_x0001_+c_x000B_£+#_x0001_£_x000B_s{£_x000B_£K{s_x0001_+³K_x001B_+P</t>
        </r>
      </text>
    </comment>
    <comment ref="A106" authorId="0" shapeId="0" xr:uid="{528087FF-655A-47B7-9129-180F8CFD149B}">
      <text>
        <r>
          <rPr>
            <sz val="8"/>
            <rFont val="Arial"/>
          </rPr>
          <t>c+_x000B_+_x0001_+{£_x0001_£{_x0001_£C+_x0001__x000B_{K_x000B_£+_x0001__x001B__x000B_£+;{Ë_x0001_Ë{«_x0001_£_x000B_£+_x0001_+³+s«+q_x0001__x0001_c+_x000B_+_x0001_+3+_x0001_£{_x0001_#{_x001B_«k+s£_x0001__x0001_£_x000B_£+_x0001_
K#_x0001_A_x000B_£K_x000B_c_x0001_bK£Ks;Ia_x0001_3{_x0001_£C+_x0001__x000B_k{«s£_x0001_£{_x0001_+{£_x0001_Ks_x0001_£CK_x0001_+_x001B_£K{sq_x0001_P</t>
        </r>
      </text>
    </comment>
    <comment ref="F110" authorId="0" shapeId="0" xr:uid="{31E9671E-E09A-4760-A25D-B464490E1CC7}">
      <text>
        <r>
          <rPr>
            <sz val="8"/>
            <rFont val="Arial"/>
          </rPr>
          <t>zscË_x0001_+{£_x0001_£C_x000B_£_x0001__x000B_k{«s£_x0001__x000B_K+_x0001_3{k_x0001_£C+_x0001_£_x000B_£+»K#+_x0001_{+£Ë_x0001__x0001_¢_x000B_ÃqPP</t>
        </r>
      </text>
    </comment>
    <comment ref="G124" authorId="0" shapeId="0" xr:uid="{BCB9B2A1-F08C-47B7-9F51-1A0A11EDE44A}">
      <text>
        <r>
          <rPr>
            <sz val="8"/>
            <rFont val="Arial"/>
          </rPr>
          <t>s_x0000_c_x0000_Ë_x0000__x0001__x0000__x0000_+_x0000__x0000_{_x0000__x0000_£_x0000__x0001__x0000_£_x0000_C_x0000_+_x0000__x0001__x0000__x0000_£_x0000__x000B__x0000_£_x0000_+_x0000_È_x0001__x0000__x0001__x0000__x0000_C_x0000__x000B__x0000__x0000_+_x0000__x0001__x0000_{_x0000_3_x0000__x0001__x0000_£_x0000_C_x0000_+_x0000__x0001__x0000__x0000_+_x0000_³_x0000_+_x0000_s_x0000_«_x0000_+_x0000__x0001__x0000_{_x0000_s_x0000__x0001__x0000_£_x0000_C_x0000_K_x0000__x0000__x0001__x0000__x0000__x000B__x0000_;</t>
        </r>
      </text>
    </comment>
    <comment ref="A481" authorId="0" shapeId="0" xr:uid="{98C0435B-0E4F-4E88-A3D8-18B2595D509C}">
      <text>
        <r>
          <rPr>
            <sz val="8"/>
            <rFont val="Arial"/>
          </rPr>
          <t>c+_x000B_+_x0001_«+_x0001_£C+_x0001_j{s£C_x0001_c_x000B_C_x0001_Ê+_x000B__x0001_2{k_x000B_£q_x0001__x0001_2{_x0001_+Ã_x000B_kc+Ñ_x0001_R«cË_x0001__x0001_é_x0001_¹yPP</t>
        </r>
      </text>
    </comment>
    <comment ref="K588" authorId="0" shapeId="0" xr:uid="{89BAE8D7-3C38-4608-B057-5850F809E04E}">
      <text>
        <r>
          <rPr>
            <sz val="8"/>
            <rFont val="Arial"/>
          </rPr>
          <t>¢C+_x0001_£{£_x000B_c_x0001_+{£+#_x0001_C++_x0001_k«£_x0001__x000B_;++_x0001_»K£C_x0001_£C+_x0001_£{£_x000B_c_x0001_£_x000B_s{£_x000B_£K{s_x0001_+Ã+s#K£«+_x0001_+{£+#_x0001_{s_x0001__x000B_;+_x0001_¹a_x0001_Áa_x0001__x000B_s#_x0001_ÉqP</t>
        </r>
      </text>
    </comment>
    <comment ref="K595" authorId="0" shapeId="0" xr:uid="{460AF22E-95A7-41AF-A467-559AAADF991F}">
      <text>
        <r>
          <rPr>
            <sz val="8"/>
            <rFont val="Arial"/>
          </rPr>
          <t>¢C+_x0001_£{£_x000B_c_x0001_+{£+#_x0001_C++_x0001_k«£_x0001__x000B_;++_x0001_»K£C_x0001_£C+_x0001_£{£_x000B_c_x0001_+{£+#_x0001_{s_x0001__x000B_;+_x0001__x0001__x000B_s#_x0001_¡_x0001__x0001_kKs«_x0001_2«s_x001B_£K{s_x0001_¡_x0001_A2_x000B__x001B_KcK£K+_x0001_
_x001B_«KK£K{sI_x0001_3{_x0001_P_x0001_{+£ËqPP</t>
        </r>
      </text>
    </comment>
    <comment ref="H646" authorId="0" shapeId="0" xr:uid="{FA138BC2-33D7-4583-A0B3-9A9F49844DDB}">
      <text>
        <r>
          <rPr>
            <sz val="8"/>
            <rFont val="Arial"/>
          </rPr>
          <t>¢CK_x0001_³_x000B_c«+_x0001_k«£_x0001_+«_x000B_c_x0001_Ó+{q_x0001__x0001_c+_x000B_+_x0001__x000B_c{_x0001_k_x000B_[+_x0001_«+_x0001_£C_x000B_£_x0001_{»_x0001_±_x0001_£{_x0001_±±Á_x0001__x001B_{c«ks_x0001_B_x0001_+«_x000B_c_x0001_Ó+{qP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<sst xmlns="http://schemas.openxmlformats.org/spreadsheetml/2006/main" count="3860" uniqueCount="897">
  <si>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</si>
  <si>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</si>
  <si>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</si>
  <si>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</si>
  <si>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</si>
  <si>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</si>
  <si>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</si>
  <si>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</si>
  <si>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</si>
  <si>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</si>
  <si>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</si>
  <si>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</si>
  <si>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</si>
  <si>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</si>
  <si>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</si>
  <si>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</si>
  <si>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</si>
  <si>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</si>
  <si>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</si>
  <si>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</si>
  <si>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</si>
  <si>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</si>
  <si>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</si>
  <si>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</si>
  <si>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</si>
  <si>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</si>
  <si>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</si>
  <si>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</si>
  <si>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</si>
  <si>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</si>
  <si>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</si>
  <si>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</si>
  <si>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</si>
  <si>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</si>
  <si>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</si>
  <si>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</si>
  <si>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</si>
  <si>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</si>
  <si>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</si>
  <si>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</si>
  <si>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</si>
  <si>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</si>
  <si>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</si>
  <si>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</si>
  <si>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</si>
  <si>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</si>
  <si>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</si>
  <si>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</si>
  <si>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</si>
  <si>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</si>
  <si>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</si>
  <si>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</si>
  <si>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</si>
  <si>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</si>
  <si>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</si>
  <si>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</si>
  <si>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</si>
  <si>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</si>
  <si>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</si>
  <si>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</si>
  <si>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</si>
  <si>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</si>
  <si>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</si>
  <si>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</si>
  <si>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</si>
  <si>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</si>
  <si>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</si>
  <si>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</si>
  <si>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</si>
  <si>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</si>
  <si>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</si>
  <si>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</si>
  <si>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</si>
  <si>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</si>
  <si>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</si>
  <si>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</si>
  <si>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</si>
  <si>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</si>
  <si>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</si>
  <si>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</si>
  <si>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</si>
  <si>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</si>
  <si>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</si>
  <si>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</si>
  <si>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</si>
  <si>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</si>
  <si>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</si>
  <si>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</si>
  <si>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</si>
  <si>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</si>
  <si>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</si>
  <si>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</si>
  <si>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</si>
  <si>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</si>
  <si>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</si>
  <si>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</si>
  <si>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</si>
  <si>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</si>
  <si>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</si>
  <si>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</si>
  <si>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</si>
  <si>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</si>
  <si>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</si>
  <si>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</si>
  <si>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</si>
  <si>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</si>
  <si>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</si>
  <si>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</si>
  <si>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</si>
  <si>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</si>
  <si>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</si>
  <si>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</si>
  <si>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</si>
  <si>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</si>
  <si>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</si>
  <si>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</si>
  <si>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</si>
  <si>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</si>
  <si>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</si>
  <si>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</si>
  <si>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</si>
  <si>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</si>
  <si>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</si>
  <si>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</si>
  <si>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</si>
  <si>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</si>
  <si>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</si>
  <si>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</si>
  <si>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</si>
  <si>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</si>
  <si>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</si>
  <si>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</si>
  <si>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</si>
  <si>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</si>
  <si>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</si>
  <si>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</si>
  <si>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</si>
  <si>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</si>
  <si>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</si>
  <si>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</si>
  <si>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</si>
  <si>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</si>
  <si>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</si>
  <si>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</si>
  <si>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</si>
  <si>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</si>
  <si>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</si>
  <si>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</si>
  <si>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</si>
  <si>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</si>
  <si>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</si>
  <si>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</si>
  <si>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</si>
  <si>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</si>
  <si>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</si>
  <si>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</si>
  <si>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</si>
  <si>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</si>
  <si>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</si>
  <si>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</si>
  <si>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</si>
  <si>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</si>
  <si>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</si>
  <si>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</si>
  <si>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</si>
  <si>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</si>
  <si>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</si>
  <si>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</si>
  <si>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</si>
  <si>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</si>
  <si>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</si>
  <si>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</si>
  <si>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</si>
  <si>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</si>
  <si>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</si>
  <si>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</si>
  <si>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</si>
  <si>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</si>
  <si>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</si>
  <si>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</si>
  <si>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</si>
  <si>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</si>
  <si>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</si>
  <si>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</si>
  <si>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</si>
  <si>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</si>
  <si>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</si>
  <si>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</si>
  <si>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</si>
  <si>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</si>
  <si>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</si>
  <si>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</si>
  <si>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</si>
  <si>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</si>
  <si>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</si>
  <si>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</si>
  <si>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</si>
  <si>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</si>
  <si>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</si>
  <si>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</si>
  <si>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</si>
  <si>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</si>
  <si>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</si>
  <si>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</si>
  <si>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</si>
  <si>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</si>
  <si>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</si>
  <si>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</si>
  <si>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</si>
  <si>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</si>
  <si>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</si>
  <si>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</si>
  <si>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</si>
  <si>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</si>
  <si>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</si>
  <si>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</si>
  <si>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</si>
  <si>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</si>
  <si>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</si>
  <si>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</si>
  <si>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</si>
  <si>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</si>
  <si>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</si>
  <si>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</si>
  <si>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</si>
  <si>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</si>
  <si>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</si>
  <si>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</si>
  <si>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</si>
  <si>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</si>
  <si>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</si>
  <si>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</si>
  <si>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</si>
  <si>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</si>
  <si>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</si>
  <si>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</si>
  <si>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</si>
  <si>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</si>
  <si>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</si>
  <si>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</si>
  <si>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</si>
  <si>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</si>
  <si>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</si>
  <si>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</si>
  <si>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</si>
  <si>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</si>
  <si>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</si>
  <si>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</si>
  <si>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</si>
  <si>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</si>
  <si>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</si>
  <si>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</si>
  <si>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</si>
  <si>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</si>
  <si>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</si>
  <si>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</si>
  <si>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</si>
  <si>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</si>
  <si>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</si>
  <si>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</si>
  <si>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</si>
  <si>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</si>
  <si>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</si>
  <si>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</si>
  <si>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</si>
  <si>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</si>
  <si>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</si>
  <si>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</si>
  <si>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</si>
  <si>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</si>
  <si>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</si>
  <si>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</si>
  <si>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</si>
  <si>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</si>
  <si>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</si>
  <si>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</si>
  <si>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</si>
  <si>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</si>
  <si>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</si>
  <si>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</si>
  <si>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</si>
  <si>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</si>
  <si>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</si>
  <si>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</si>
  <si>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</si>
  <si>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</si>
  <si>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</si>
  <si>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</si>
  <si>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</si>
  <si>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</si>
  <si>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</si>
  <si>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</si>
  <si>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</si>
  <si>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</si>
  <si>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</si>
  <si>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</si>
  <si>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</si>
  <si>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</si>
  <si>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</si>
  <si>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</si>
  <si>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</si>
  <si>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</si>
  <si>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</si>
  <si>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</si>
  <si>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</si>
  <si>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</si>
  <si>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</si>
  <si>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</si>
  <si>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</si>
  <si>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</si>
  <si>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</si>
  <si>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</si>
  <si>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</si>
  <si>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</si>
  <si>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</si>
  <si>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</si>
  <si>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</si>
  <si>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</si>
  <si>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</si>
  <si>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</si>
  <si>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</si>
  <si>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</si>
  <si>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</si>
  <si>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</si>
  <si>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</si>
  <si>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</si>
  <si>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</si>
  <si>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</si>
  <si>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</si>
  <si>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</si>
  <si>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</si>
  <si>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</si>
  <si>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</si>
  <si>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</si>
  <si>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</si>
  <si>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</si>
  <si>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</si>
  <si>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</si>
  <si>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</si>
  <si>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</si>
  <si>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</si>
  <si>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</si>
  <si>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</si>
  <si>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</si>
  <si>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</si>
  <si>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</si>
  <si>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</si>
  <si>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</si>
  <si>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</si>
  <si>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</si>
  <si>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</si>
  <si>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</si>
  <si>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</si>
  <si>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</si>
  <si>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</si>
  <si>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</si>
  <si>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</si>
  <si>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</si>
  <si>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</si>
  <si>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</si>
  <si>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</si>
  <si>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</si>
  <si>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</si>
  <si>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</si>
  <si>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</si>
  <si>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</si>
  <si>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</si>
  <si>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</si>
  <si>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</si>
  <si>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</si>
  <si>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</si>
  <si>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</si>
  <si>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</si>
  <si>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</si>
  <si>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</si>
  <si>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</si>
  <si>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</si>
  <si>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</si>
  <si>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</si>
  <si>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</si>
  <si>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</si>
  <si>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</si>
  <si>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</si>
  <si>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</si>
  <si>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</si>
  <si>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</si>
  <si>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</si>
  <si>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</si>
  <si>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</si>
  <si>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</si>
  <si>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</si>
  <si>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</si>
  <si>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</si>
  <si>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</si>
  <si>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</si>
  <si>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</si>
  <si>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</si>
  <si>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</si>
  <si>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</si>
  <si>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</si>
  <si>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</si>
  <si>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</si>
  <si>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</si>
  <si>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</si>
  <si>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</si>
  <si>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</si>
  <si>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</si>
  <si>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</si>
  <si>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</si>
  <si>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</si>
  <si>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</si>
  <si>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</si>
  <si>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</si>
  <si>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</si>
  <si>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</si>
  <si>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</si>
  <si>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</si>
  <si>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</si>
  <si>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</si>
  <si>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</si>
  <si>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</si>
  <si>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</si>
  <si>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</si>
  <si>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</si>
  <si>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</si>
  <si>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</si>
  <si>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</si>
  <si>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</si>
  <si>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</si>
  <si>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</si>
  <si>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</si>
  <si>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</si>
  <si>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</si>
  <si>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</si>
  <si>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</si>
  <si>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</si>
  <si>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</si>
  <si>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</si>
  <si>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</si>
  <si>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</si>
  <si>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</si>
  <si>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</si>
  <si>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</si>
  <si>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</si>
  <si>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</si>
  <si>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</si>
  <si>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</si>
  <si>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</si>
  <si>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</si>
  <si>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</si>
  <si>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</si>
  <si>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</si>
  <si>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</si>
  <si>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</si>
  <si>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</si>
  <si>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</si>
  <si>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</si>
  <si>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</si>
  <si>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</si>
  <si>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</si>
  <si>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</si>
  <si>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</si>
  <si>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</si>
  <si>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</si>
  <si>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</si>
  <si>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</si>
  <si>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</si>
  <si>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</si>
  <si>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</si>
  <si>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</si>
  <si>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</si>
  <si>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</si>
  <si>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</si>
  <si>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</si>
  <si>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</si>
  <si>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</si>
  <si>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</si>
  <si>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</si>
  <si>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</si>
  <si>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</si>
  <si>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</si>
  <si>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</si>
  <si>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</si>
  <si>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</si>
  <si>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</si>
  <si>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</si>
  <si>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</si>
  <si>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</si>
  <si>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</si>
  <si>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</si>
  <si>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</si>
  <si>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</si>
  <si>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</si>
  <si>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</si>
  <si>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</si>
  <si>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</si>
  <si>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</si>
  <si>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</si>
  <si>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</si>
  <si>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</si>
  <si>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</si>
  <si>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</si>
  <si>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</si>
  <si>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</si>
  <si>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</si>
  <si>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</si>
  <si>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</si>
  <si>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</si>
  <si>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</si>
  <si>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</si>
  <si>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</si>
  <si>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</si>
  <si>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</si>
  <si>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</si>
  <si>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</si>
  <si>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</si>
  <si>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</si>
  <si>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</si>
  <si>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</si>
  <si>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</si>
  <si>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</si>
  <si>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</si>
  <si>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</si>
  <si>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</si>
  <si>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</si>
  <si>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</si>
  <si>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</si>
  <si>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</si>
  <si>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</si>
  <si>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</si>
  <si>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</si>
  <si>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</si>
  <si>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</si>
  <si>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</si>
  <si>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</si>
  <si>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</si>
  <si>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</si>
  <si>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</si>
  <si>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</si>
  <si>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</si>
  <si>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</si>
  <si>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</si>
  <si>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</si>
  <si>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</si>
  <si>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</si>
  <si>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</si>
  <si>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</si>
  <si>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</si>
  <si>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</si>
  <si>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</si>
  <si>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</si>
  <si>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</si>
  <si>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</si>
  <si>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</si>
  <si>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</si>
  <si>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</si>
  <si>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</si>
  <si>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</si>
  <si>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</si>
  <si>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</si>
  <si>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</si>
  <si>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</si>
  <si>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</si>
  <si>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</si>
  <si>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</si>
  <si>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</si>
  <si>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</si>
  <si>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</si>
  <si>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</si>
  <si>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</si>
  <si>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</si>
  <si>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</si>
  <si>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</si>
  <si>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</si>
  <si>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</si>
  <si>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</si>
  <si>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</si>
  <si>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</si>
  <si>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</si>
  <si>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</si>
  <si>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</si>
  <si>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</si>
  <si>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</si>
  <si>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</si>
  <si>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</si>
  <si>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</si>
  <si>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</si>
  <si>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</si>
  <si>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</si>
  <si>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</si>
  <si>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</si>
  <si>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</si>
  <si>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</si>
  <si>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</si>
  <si>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</si>
  <si>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</si>
  <si>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</si>
  <si>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</si>
  <si>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</si>
  <si>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</si>
  <si>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</si>
  <si>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</si>
  <si>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</si>
  <si>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</si>
  <si>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</si>
  <si>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</si>
  <si>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</si>
  <si>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</si>
  <si>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</si>
  <si>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</si>
  <si>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</si>
  <si>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</si>
  <si>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</si>
  <si>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</si>
  <si>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</si>
  <si>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</si>
  <si>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</si>
  <si>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</si>
  <si>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</si>
  <si>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</si>
  <si>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</si>
  <si>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</si>
  <si>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</si>
  <si>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</si>
  <si>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</si>
  <si>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</si>
  <si>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</si>
  <si>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</si>
  <si>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</si>
  <si>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</si>
  <si>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</si>
  <si>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</si>
  <si>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</si>
  <si>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</si>
  <si>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</si>
  <si>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</si>
  <si>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</si>
  <si>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</si>
  <si>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</si>
  <si>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</si>
  <si>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</si>
  <si>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</si>
  <si>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</si>
  <si>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</si>
  <si>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</si>
  <si>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</si>
  <si>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</si>
  <si>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</si>
  <si>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</si>
  <si>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</si>
  <si>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</si>
  <si>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</si>
  <si>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</si>
  <si>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</si>
  <si>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</si>
  <si>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</si>
  <si>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</si>
  <si>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</si>
  <si>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</si>
  <si>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</si>
  <si>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</si>
  <si>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</si>
  <si>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</si>
  <si>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</si>
  <si>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</si>
  <si>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</si>
  <si>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</si>
  <si>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</si>
  <si>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</si>
  <si>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</si>
  <si>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</si>
  <si>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</si>
  <si>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</si>
  <si>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</si>
  <si>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</si>
  <si>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</si>
  <si>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</si>
  <si>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</si>
  <si>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</si>
  <si>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</si>
  <si>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</si>
  <si>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</si>
  <si>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</si>
  <si>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</si>
  <si>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</si>
  <si>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</si>
  <si>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</si>
  <si>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</si>
  <si>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</si>
  <si>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</si>
  <si>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</si>
  <si>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</si>
  <si>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</si>
  <si>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</si>
  <si>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</si>
  <si>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</si>
  <si>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</si>
  <si>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</si>
  <si>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</si>
  <si>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</si>
  <si>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</si>
  <si>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</si>
  <si>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</si>
  <si>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</si>
  <si>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</si>
  <si>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</si>
  <si>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</si>
  <si>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</si>
  <si>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</si>
  <si>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</si>
  <si>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</si>
  <si>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</si>
  <si>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</si>
  <si>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</si>
  <si>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</si>
  <si>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</si>
  <si>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</si>
  <si>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</si>
  <si>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</si>
  <si>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</si>
  <si>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</si>
  <si>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</si>
  <si>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</si>
  <si>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</si>
  <si>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</si>
  <si>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</si>
  <si>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</si>
  <si>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</si>
  <si>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</si>
  <si>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</si>
  <si>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</si>
  <si>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</si>
  <si>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</si>
  <si>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</si>
  <si>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</si>
  <si>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</si>
  <si>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</si>
  <si>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</si>
  <si>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</si>
  <si>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</si>
  <si>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</si>
  <si>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</si>
  <si>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</si>
  <si>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</si>
  <si>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</si>
  <si>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</si>
  <si>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</si>
  <si>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</si>
  <si>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</si>
  <si>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</si>
  <si>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</si>
  <si>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</si>
  <si>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</si>
  <si>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</si>
  <si>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</si>
  <si>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</si>
  <si>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</si>
  <si>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</si>
  <si>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</si>
  <si>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</si>
  <si>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</si>
  <si>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</si>
  <si>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</si>
  <si>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</si>
  <si>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</si>
  <si>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</si>
  <si>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</si>
  <si>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</si>
  <si>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</si>
  <si>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</si>
  <si>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</si>
  <si>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</si>
  <si>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</si>
  <si>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</si>
  <si>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</si>
  <si>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</si>
  <si>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</si>
  <si>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</si>
  <si>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</si>
  <si>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</si>
  <si>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</si>
  <si>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</si>
  <si>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</si>
  <si>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</si>
  <si>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</si>
  <si>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</si>
  <si>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</si>
  <si>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</si>
  <si>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</si>
  <si>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</si>
  <si>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</si>
  <si>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</si>
  <si>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</si>
  <si>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</si>
  <si>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</si>
  <si>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</si>
  <si>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</si>
  <si>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</si>
  <si>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</si>
  <si>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</si>
  <si>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</si>
  <si>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</si>
  <si>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</si>
  <si>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</si>
  <si>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</si>
  <si>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</si>
  <si>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</si>
  <si>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</si>
  <si>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</si>
  <si>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</si>
  <si>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</si>
  <si>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</si>
  <si>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</si>
  <si>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</si>
  <si>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</si>
  <si>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</si>
  <si>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</si>
  <si>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</si>
  <si>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</si>
  <si>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</si>
  <si>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</si>
  <si>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</si>
  <si>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</si>
  <si>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</si>
  <si>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</si>
  <si>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</si>
  <si>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</si>
  <si>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</si>
  <si>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</si>
  <si>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</si>
  <si>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</si>
  <si>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</si>
  <si>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</si>
  <si>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</si>
  <si>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</si>
  <si>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</si>
  <si>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</si>
  <si>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</si>
  <si>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</si>
  <si>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</si>
  <si>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</si>
  <si>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</si>
  <si>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</si>
  <si>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</si>
  <si>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</si>
  <si>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</si>
  <si>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</si>
  <si>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</si>
  <si>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</si>
  <si>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</si>
  <si>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</si>
  <si>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</si>
  <si>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</si>
  <si>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</si>
  <si>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</si>
  <si>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</si>
  <si>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</si>
  <si>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</si>
  <si>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</si>
  <si>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</si>
  <si>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</si>
  <si>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</si>
  <si>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</si>
  <si>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</si>
  <si>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</si>
  <si>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</si>
  <si>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</si>
  <si>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</si>
  <si>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</si>
  <si>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</si>
  <si>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</si>
  <si>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</si>
  <si>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</si>
  <si>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</si>
  <si>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</si>
  <si>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</si>
  <si>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</si>
  <si>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</si>
  <si>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</si>
  <si>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</si>
  <si>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</si>
  <si>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</si>
  <si>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</si>
  <si>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</si>
  <si>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</si>
  <si>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</si>
  <si>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</si>
  <si>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</si>
  <si>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</si>
  <si>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</si>
  <si>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</si>
  <si>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</si>
  <si>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</si>
  <si>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</si>
  <si>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1/15/95</t>
  </si>
  <si>
    <t>1/15/15</t>
  </si>
  <si>
    <t>Hanover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</si>
</sst>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38">
    <font>
      <sz val="8"/>
      <name val="Arial"/>
    </font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</font>
    <font>
      <sz val="8"/>
      <name val="Arial"/>
    </font>
    <font>
      <b/>
      <sz val="8"/>
      <color indexed="12"/>
      <name val="Arial Rounded MT Bold"/>
      <family val="2"/>
    </font>
    <font>
      <b/>
      <i/>
      <sz val="8"/>
      <name val="Arial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9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9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6" fillId="0" borderId="0" xfId="0" applyFont="1"/>
    <xf numFmtId="0" fontId="25" fillId="0" borderId="0" xfId="0" applyFont="1"/>
    <xf numFmtId="4" fontId="37" fillId="0" borderId="0" xfId="1" applyNumberFormat="1" applyFont="1" applyBorder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center"/>
    </xf>
  </cellXfs>
  <cellStyles count="2">
    <cellStyle name="Comma" xfId="1" builtinId="3"/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4DA0C-3159-4F74-BB85-4DED5B2F40C1}">
  <sheetPr transitionEvaluation="1" codeName="Sheet1">
    <tabColor indexed="56"/>
  </sheetPr>
  <dimension ref="A1:AQ666"/>
  <sheetViews>
    <sheetView showGridLines="0" tabSelected="1" zoomScale="75" zoomScaleNormal="125" workbookViewId="0">
      <pane xSplit="5" ySplit="3" topLeftCell="F129" activePane="bottomRight" state="frozen"/>
      <selection pane="topRight" activeCell="F1" sqref="F1"/>
      <selection pane="bottomLeft" activeCell="A4" sqref="A4"/>
      <selection pane="bottomRight" activeCell="G150" sqref="G150"/>
    </sheetView>
  </sheetViews>
  <sheetFormatPr defaultColWidth="9"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>
      <c r="A2" s="176" t="s">
        <v>896</v>
      </c>
      <c r="B2" s="21">
        <v>233</v>
      </c>
      <c r="C2" s="21">
        <v>233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>
      <c r="A4" s="1" t="s">
        <v>302</v>
      </c>
      <c r="K4" s="13"/>
      <c r="L4" s="13"/>
    </row>
    <row r="5" spans="1:13" s="3" customFormat="1" ht="12" customHeight="1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-20693.28+100</f>
        <v>-20593.28</v>
      </c>
      <c r="G9" s="18"/>
      <c r="H9" s="18"/>
      <c r="I9" s="18"/>
      <c r="J9" s="67">
        <f>SUM(I431)</f>
        <v>125559.91</v>
      </c>
      <c r="K9" s="24" t="s">
        <v>312</v>
      </c>
      <c r="L9" s="24" t="s">
        <v>312</v>
      </c>
      <c r="M9" s="8"/>
    </row>
    <row r="10" spans="1:13" s="3" customFormat="1" ht="12" customHeight="1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22948.3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25387.83</v>
      </c>
      <c r="G13" s="18">
        <v>2636.94</v>
      </c>
      <c r="H13" s="18">
        <v>41223.800000000003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262.88+5242.21</f>
        <v>5505.09</v>
      </c>
      <c r="G14" s="18">
        <v>-25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11680.04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44927.98</v>
      </c>
      <c r="G19" s="41">
        <f>SUM(G9:G18)</f>
        <v>2611.94</v>
      </c>
      <c r="H19" s="41">
        <f>SUM(H9:H18)</f>
        <v>41223.800000000003</v>
      </c>
      <c r="I19" s="41">
        <f>SUM(I9:I18)</f>
        <v>0</v>
      </c>
      <c r="J19" s="41">
        <f>SUM(J9:J18)</f>
        <v>125559.91</v>
      </c>
      <c r="K19" s="45" t="s">
        <v>312</v>
      </c>
      <c r="L19" s="45" t="s">
        <v>312</v>
      </c>
      <c r="M19" s="8"/>
    </row>
    <row r="20" spans="1:13" s="3" customFormat="1" ht="12" customHeight="1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15555.17</v>
      </c>
      <c r="G23" s="18">
        <v>-56734.15</v>
      </c>
      <c r="H23" s="18">
        <v>41223.81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10741.04+23319.61</f>
        <v>34060.65</v>
      </c>
      <c r="G25" s="18">
        <v>400.19</v>
      </c>
      <c r="H25" s="18">
        <v>10002.86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1700</v>
      </c>
      <c r="G31" s="18">
        <v>9430.0499999999993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f>125+908.84+819.54+519.55+102.65+31330.55+359+152.93+424.5+600+9016.25+350+376.29+45.58+313.12+45.23+700</f>
        <v>46189.030000000006</v>
      </c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97504.85</v>
      </c>
      <c r="G33" s="41">
        <f>SUM(G23:G32)</f>
        <v>-46903.91</v>
      </c>
      <c r="H33" s="41">
        <f>SUM(H23:H32)</f>
        <v>51226.67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40661.6+8854.25</f>
        <v>49515.85</v>
      </c>
      <c r="H41" s="18">
        <v>-10002.870000000001</v>
      </c>
      <c r="I41" s="18"/>
      <c r="J41" s="13">
        <f>SUM(I449)</f>
        <v>125559.91</v>
      </c>
      <c r="K41" s="24" t="s">
        <v>312</v>
      </c>
      <c r="L41" s="24" t="s">
        <v>312</v>
      </c>
      <c r="M41" s="8"/>
    </row>
    <row r="42" spans="1:13" s="3" customFormat="1" ht="12" customHeight="1" thickBot="1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-52576.87</f>
        <v>-52576.87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-52576.87</v>
      </c>
      <c r="G43" s="41">
        <f>SUM(G35:G42)</f>
        <v>49515.85</v>
      </c>
      <c r="H43" s="41">
        <f>SUM(H35:H42)</f>
        <v>-10002.870000000001</v>
      </c>
      <c r="I43" s="41">
        <f>SUM(I35:I42)</f>
        <v>0</v>
      </c>
      <c r="J43" s="41">
        <f>SUM(J35:J42)</f>
        <v>125559.91</v>
      </c>
      <c r="K43" s="45" t="s">
        <v>312</v>
      </c>
      <c r="L43" s="45" t="s">
        <v>312</v>
      </c>
      <c r="M43" s="8"/>
    </row>
    <row r="44" spans="1:13" s="3" customFormat="1" ht="12" customHeight="1" thickTop="1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44927.98</v>
      </c>
      <c r="G44" s="41">
        <f>G43+G33</f>
        <v>2611.9399999999951</v>
      </c>
      <c r="H44" s="41">
        <f>H43+H33</f>
        <v>41223.799999999996</v>
      </c>
      <c r="I44" s="41">
        <f>I43+I33</f>
        <v>0</v>
      </c>
      <c r="J44" s="41">
        <f>J43+J33</f>
        <v>125559.91</v>
      </c>
      <c r="K44" s="45" t="s">
        <v>312</v>
      </c>
      <c r="L44" s="45" t="s">
        <v>312</v>
      </c>
      <c r="M44" s="8"/>
    </row>
    <row r="45" spans="1:13" ht="12" customHeight="1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10581193-F110</f>
        <v>8499524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8499524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7000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7000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1634.4</v>
      </c>
      <c r="G88" s="18"/>
      <c r="H88" s="18"/>
      <c r="I88" s="18"/>
      <c r="J88" s="18">
        <v>427.48</v>
      </c>
      <c r="K88" s="24" t="s">
        <v>312</v>
      </c>
      <c r="L88" s="24" t="s">
        <v>312</v>
      </c>
      <c r="M88" s="8"/>
    </row>
    <row r="89" spans="1:13" s="3" customFormat="1" ht="12" customHeight="1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120667.9-1738.5</f>
        <v>118929.4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11507.77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1731.84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8837.58</v>
      </c>
      <c r="G102" s="18">
        <v>86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23711.59</v>
      </c>
      <c r="G103" s="41">
        <f>SUM(G88:G102)</f>
        <v>119015.4</v>
      </c>
      <c r="H103" s="41">
        <f>SUM(H88:H102)</f>
        <v>0</v>
      </c>
      <c r="I103" s="41">
        <f>SUM(I88:I102)</f>
        <v>0</v>
      </c>
      <c r="J103" s="41">
        <f>SUM(J88:J102)</f>
        <v>427.48</v>
      </c>
      <c r="K103" s="45" t="s">
        <v>312</v>
      </c>
      <c r="L103" s="45" t="s">
        <v>312</v>
      </c>
      <c r="M103" s="8"/>
    </row>
    <row r="104" spans="1:13" s="3" customFormat="1" ht="12" customHeight="1" thickTop="1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8530235.5899999999</v>
      </c>
      <c r="G104" s="41">
        <f>G52+G103</f>
        <v>119015.4</v>
      </c>
      <c r="H104" s="41">
        <f>H52+H71+H86+H103</f>
        <v>0</v>
      </c>
      <c r="I104" s="41">
        <f>I52+I103</f>
        <v>0</v>
      </c>
      <c r="J104" s="41">
        <f>J52+J103</f>
        <v>427.48</v>
      </c>
      <c r="K104" s="45" t="s">
        <v>312</v>
      </c>
      <c r="L104" s="45" t="s">
        <v>312</v>
      </c>
      <c r="M104" s="8"/>
    </row>
    <row r="105" spans="1:13" ht="12" customHeight="1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2081669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2081669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170412.33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136928.06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1802.8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307340.39</v>
      </c>
      <c r="G128" s="41">
        <f>SUM(G115:G127)</f>
        <v>1802.8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2389009.39</v>
      </c>
      <c r="G132" s="41">
        <f>G113+SUM(G128:G129)</f>
        <v>1802.8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15893.93+18427.78</f>
        <v>34321.71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12219.96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88051.87+5386.7+45054.51+2712.19</f>
        <v>141205.26999999999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25266.38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25266.38</v>
      </c>
      <c r="G154" s="41">
        <f>SUM(G142:G153)</f>
        <v>12219.96</v>
      </c>
      <c r="H154" s="41">
        <f>SUM(H142:H153)</f>
        <v>175526.97999999998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1424.04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26690.420000000002</v>
      </c>
      <c r="G161" s="41">
        <f>G139+G154+SUM(G155:G160)</f>
        <v>12219.96</v>
      </c>
      <c r="H161" s="41">
        <f>H139+H154+SUM(H155:H160)</f>
        <v>175526.97999999998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150000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150000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150000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11095935.4</v>
      </c>
      <c r="G185" s="47">
        <f>G104+G132+G161+G184</f>
        <v>133038.16</v>
      </c>
      <c r="H185" s="47">
        <f>H104+H132+H161+H184</f>
        <v>175526.97999999998</v>
      </c>
      <c r="I185" s="47">
        <f>I104+I132+I161+I184</f>
        <v>0</v>
      </c>
      <c r="J185" s="47">
        <f>J104+J132+J184</f>
        <v>427.48</v>
      </c>
      <c r="K185" s="45" t="s">
        <v>312</v>
      </c>
      <c r="L185" s="45" t="s">
        <v>312</v>
      </c>
      <c r="M185" s="8"/>
    </row>
    <row r="186" spans="1:13" s="3" customFormat="1" ht="12" customHeight="1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2724288.94</v>
      </c>
      <c r="G189" s="18">
        <v>1076354.8</v>
      </c>
      <c r="H189" s="18">
        <v>2149464.0299999998</v>
      </c>
      <c r="I189" s="18">
        <v>63347.06</v>
      </c>
      <c r="J189" s="18">
        <v>47722.39</v>
      </c>
      <c r="K189" s="18">
        <v>19358.349999999999</v>
      </c>
      <c r="L189" s="19">
        <f>SUM(F189:K189)</f>
        <v>6080535.5699999984</v>
      </c>
      <c r="M189" s="8"/>
    </row>
    <row r="190" spans="1:13" s="3" customFormat="1" ht="12" customHeight="1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1135996.3500000001</v>
      </c>
      <c r="G190" s="18">
        <v>448827.25</v>
      </c>
      <c r="H190" s="18">
        <v>216091.68</v>
      </c>
      <c r="I190" s="18">
        <v>7092.15</v>
      </c>
      <c r="J190" s="18">
        <v>3952.12</v>
      </c>
      <c r="K190" s="18">
        <v>272</v>
      </c>
      <c r="L190" s="19">
        <f>SUM(F190:K190)</f>
        <v>1812231.55</v>
      </c>
      <c r="M190" s="8"/>
    </row>
    <row r="191" spans="1:13" s="3" customFormat="1" ht="12" customHeight="1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0</v>
      </c>
      <c r="G192" s="18">
        <v>0</v>
      </c>
      <c r="H192" s="18">
        <v>0</v>
      </c>
      <c r="I192" s="18">
        <v>0</v>
      </c>
      <c r="J192" s="18">
        <v>0</v>
      </c>
      <c r="K192" s="18">
        <v>0</v>
      </c>
      <c r="L192" s="19">
        <f>SUM(F192:K192)</f>
        <v>0</v>
      </c>
      <c r="M192" s="8"/>
    </row>
    <row r="193" spans="1:13" s="3" customFormat="1" ht="12" customHeight="1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186096.63</v>
      </c>
      <c r="G194" s="18">
        <v>73525.98</v>
      </c>
      <c r="H194" s="18">
        <v>1889.3</v>
      </c>
      <c r="I194" s="18">
        <v>1993.49</v>
      </c>
      <c r="J194" s="18">
        <v>0</v>
      </c>
      <c r="K194" s="18">
        <v>205</v>
      </c>
      <c r="L194" s="19">
        <f t="shared" ref="L194:L200" si="0">SUM(F194:K194)</f>
        <v>263710.39999999997</v>
      </c>
      <c r="M194" s="8"/>
    </row>
    <row r="195" spans="1:13" s="3" customFormat="1" ht="12" customHeight="1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183311.81</v>
      </c>
      <c r="G195" s="18">
        <v>107421.85</v>
      </c>
      <c r="H195" s="18">
        <v>8985.2800000000007</v>
      </c>
      <c r="I195" s="18">
        <v>12687.97</v>
      </c>
      <c r="J195" s="18">
        <v>1153.9000000000001</v>
      </c>
      <c r="K195" s="18">
        <v>0</v>
      </c>
      <c r="L195" s="19">
        <f t="shared" si="0"/>
        <v>313560.81000000006</v>
      </c>
      <c r="M195" s="8"/>
    </row>
    <row r="196" spans="1:13" s="3" customFormat="1" ht="12" customHeight="1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6323.5</v>
      </c>
      <c r="G196" s="18">
        <v>2498.39</v>
      </c>
      <c r="H196" s="18">
        <v>296146.92</v>
      </c>
      <c r="I196" s="18">
        <v>0</v>
      </c>
      <c r="J196" s="18">
        <v>0</v>
      </c>
      <c r="K196" s="18">
        <v>7472.15</v>
      </c>
      <c r="L196" s="19">
        <f t="shared" si="0"/>
        <v>312440.96000000002</v>
      </c>
      <c r="M196" s="8"/>
    </row>
    <row r="197" spans="1:13" s="3" customFormat="1" ht="12" customHeight="1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267397.25</v>
      </c>
      <c r="G197" s="18">
        <v>111507.5</v>
      </c>
      <c r="H197" s="18">
        <v>17795.41</v>
      </c>
      <c r="I197" s="18">
        <v>2620.14</v>
      </c>
      <c r="J197" s="18">
        <v>994.92</v>
      </c>
      <c r="K197" s="18">
        <v>739</v>
      </c>
      <c r="L197" s="19">
        <f t="shared" si="0"/>
        <v>401054.22</v>
      </c>
      <c r="M197" s="8"/>
    </row>
    <row r="198" spans="1:13" s="3" customFormat="1" ht="12" customHeight="1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170810.86</v>
      </c>
      <c r="G199" s="18">
        <v>69059.670000000115</v>
      </c>
      <c r="H199" s="18">
        <v>119255.44</v>
      </c>
      <c r="I199" s="18">
        <v>114345.75</v>
      </c>
      <c r="J199" s="18">
        <v>1193.8499999999999</v>
      </c>
      <c r="K199" s="18">
        <v>0</v>
      </c>
      <c r="L199" s="19">
        <f t="shared" si="0"/>
        <v>474665.57000000007</v>
      </c>
      <c r="M199" s="8"/>
    </row>
    <row r="200" spans="1:13" s="3" customFormat="1" ht="12" customHeight="1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v>545797.76</v>
      </c>
      <c r="I200" s="18">
        <v>98791.27</v>
      </c>
      <c r="J200" s="18">
        <v>0</v>
      </c>
      <c r="K200" s="18">
        <v>0</v>
      </c>
      <c r="L200" s="19">
        <f t="shared" si="0"/>
        <v>644589.03</v>
      </c>
      <c r="M200" s="8"/>
    </row>
    <row r="201" spans="1:13" s="3" customFormat="1" ht="12" customHeight="1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9">
        <f>SUM(F201:K201)</f>
        <v>0</v>
      </c>
      <c r="M201" s="8"/>
    </row>
    <row r="202" spans="1:13" s="3" customFormat="1" ht="12" customHeight="1" thickBot="1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4674225.34</v>
      </c>
      <c r="G203" s="41">
        <f t="shared" si="1"/>
        <v>1889195.4400000002</v>
      </c>
      <c r="H203" s="41">
        <f t="shared" si="1"/>
        <v>3355425.8199999994</v>
      </c>
      <c r="I203" s="41">
        <f t="shared" si="1"/>
        <v>300877.83</v>
      </c>
      <c r="J203" s="41">
        <f t="shared" si="1"/>
        <v>55017.18</v>
      </c>
      <c r="K203" s="41">
        <f t="shared" si="1"/>
        <v>28046.5</v>
      </c>
      <c r="L203" s="41">
        <f t="shared" si="1"/>
        <v>10302788.109999999</v>
      </c>
      <c r="M203" s="8"/>
    </row>
    <row r="204" spans="1:13" s="3" customFormat="1" ht="12" customHeight="1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271">
        <v>0</v>
      </c>
      <c r="G207" s="271">
        <v>0</v>
      </c>
      <c r="H207" s="271">
        <v>0</v>
      </c>
      <c r="I207" s="271">
        <v>0</v>
      </c>
      <c r="J207" s="271">
        <v>0</v>
      </c>
      <c r="K207" s="271">
        <v>0</v>
      </c>
      <c r="L207" s="19">
        <f>SUM(F207:K207)</f>
        <v>0</v>
      </c>
      <c r="M207" s="8"/>
    </row>
    <row r="208" spans="1:13" s="3" customFormat="1" ht="12" customHeight="1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271">
        <v>0</v>
      </c>
      <c r="G208" s="271">
        <v>0</v>
      </c>
      <c r="H208" s="271">
        <v>137803.73000000001</v>
      </c>
      <c r="I208" s="271">
        <v>0</v>
      </c>
      <c r="J208" s="271">
        <v>0</v>
      </c>
      <c r="K208" s="271">
        <v>0</v>
      </c>
      <c r="L208" s="19">
        <f>SUM(F208:K208)</f>
        <v>137803.73000000001</v>
      </c>
      <c r="M208" s="8"/>
    </row>
    <row r="209" spans="1:13" s="3" customFormat="1" ht="12" customHeight="1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271">
        <v>0</v>
      </c>
      <c r="G209" s="271">
        <v>0</v>
      </c>
      <c r="H209" s="271">
        <v>0</v>
      </c>
      <c r="I209" s="271">
        <v>0</v>
      </c>
      <c r="J209" s="271">
        <v>0</v>
      </c>
      <c r="K209" s="271">
        <v>0</v>
      </c>
      <c r="L209" s="19">
        <f>SUM(F209:K209)</f>
        <v>0</v>
      </c>
      <c r="M209" s="8"/>
    </row>
    <row r="210" spans="1:13" s="3" customFormat="1" ht="12" customHeight="1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271">
        <v>0</v>
      </c>
      <c r="G210" s="271">
        <v>0</v>
      </c>
      <c r="H210" s="271">
        <v>0</v>
      </c>
      <c r="I210" s="271">
        <v>0</v>
      </c>
      <c r="J210" s="271">
        <v>0</v>
      </c>
      <c r="K210" s="271">
        <v>0</v>
      </c>
      <c r="L210" s="19">
        <f>SUM(F210:K210)</f>
        <v>0</v>
      </c>
      <c r="M210" s="8"/>
    </row>
    <row r="211" spans="1:13" s="3" customFormat="1" ht="12" customHeight="1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271">
        <v>0</v>
      </c>
      <c r="G212" s="271">
        <v>0</v>
      </c>
      <c r="H212" s="271">
        <v>0</v>
      </c>
      <c r="I212" s="271">
        <v>0</v>
      </c>
      <c r="J212" s="271">
        <v>0</v>
      </c>
      <c r="K212" s="271">
        <v>0</v>
      </c>
      <c r="L212" s="19">
        <f t="shared" ref="L212:L218" si="2">SUM(F212:K212)</f>
        <v>0</v>
      </c>
      <c r="M212" s="8"/>
    </row>
    <row r="213" spans="1:13" s="3" customFormat="1" ht="12" customHeight="1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271">
        <v>0</v>
      </c>
      <c r="G213" s="271">
        <v>0</v>
      </c>
      <c r="H213" s="271">
        <v>0</v>
      </c>
      <c r="I213" s="271">
        <v>0</v>
      </c>
      <c r="J213" s="271">
        <v>0</v>
      </c>
      <c r="K213" s="271">
        <v>0</v>
      </c>
      <c r="L213" s="19">
        <f t="shared" si="2"/>
        <v>0</v>
      </c>
      <c r="M213" s="8"/>
    </row>
    <row r="214" spans="1:13" s="3" customFormat="1" ht="12" customHeight="1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271">
        <v>0</v>
      </c>
      <c r="G214" s="271">
        <v>0</v>
      </c>
      <c r="H214" s="271">
        <v>0</v>
      </c>
      <c r="I214" s="271">
        <v>0</v>
      </c>
      <c r="J214" s="271">
        <v>0</v>
      </c>
      <c r="K214" s="271">
        <v>0</v>
      </c>
      <c r="L214" s="19">
        <f t="shared" si="2"/>
        <v>0</v>
      </c>
      <c r="M214" s="8"/>
    </row>
    <row r="215" spans="1:13" s="3" customFormat="1" ht="12" customHeight="1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271">
        <v>0</v>
      </c>
      <c r="G215" s="271">
        <v>0</v>
      </c>
      <c r="H215" s="271">
        <v>0</v>
      </c>
      <c r="I215" s="271">
        <v>0</v>
      </c>
      <c r="J215" s="271">
        <v>0</v>
      </c>
      <c r="K215" s="271">
        <v>0</v>
      </c>
      <c r="L215" s="19">
        <f t="shared" si="2"/>
        <v>0</v>
      </c>
      <c r="M215" s="8"/>
    </row>
    <row r="216" spans="1:13" s="3" customFormat="1" ht="12" customHeight="1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271">
        <v>0</v>
      </c>
      <c r="G216" s="271">
        <v>0</v>
      </c>
      <c r="H216" s="271">
        <v>0</v>
      </c>
      <c r="I216" s="271">
        <v>0</v>
      </c>
      <c r="J216" s="271">
        <v>0</v>
      </c>
      <c r="K216" s="271">
        <v>0</v>
      </c>
      <c r="L216" s="19">
        <f t="shared" si="2"/>
        <v>0</v>
      </c>
      <c r="M216" s="8"/>
    </row>
    <row r="217" spans="1:13" s="3" customFormat="1" ht="12" customHeight="1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271">
        <v>0</v>
      </c>
      <c r="G217" s="271">
        <v>0</v>
      </c>
      <c r="H217" s="271">
        <v>0</v>
      </c>
      <c r="I217" s="271">
        <v>0</v>
      </c>
      <c r="J217" s="271">
        <v>0</v>
      </c>
      <c r="K217" s="271">
        <v>0</v>
      </c>
      <c r="L217" s="19">
        <f t="shared" si="2"/>
        <v>0</v>
      </c>
      <c r="M217" s="8"/>
    </row>
    <row r="218" spans="1:13" s="3" customFormat="1" ht="12" customHeight="1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271">
        <v>0</v>
      </c>
      <c r="G218" s="271">
        <v>0</v>
      </c>
      <c r="H218" s="271">
        <v>0</v>
      </c>
      <c r="I218" s="271">
        <v>0</v>
      </c>
      <c r="J218" s="271">
        <v>0</v>
      </c>
      <c r="K218" s="271">
        <v>0</v>
      </c>
      <c r="L218" s="19">
        <f t="shared" si="2"/>
        <v>0</v>
      </c>
      <c r="M218" s="8"/>
    </row>
    <row r="219" spans="1:13" s="3" customFormat="1" ht="12" customHeight="1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137803.73000000001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137803.73000000001</v>
      </c>
      <c r="M221" s="8"/>
    </row>
    <row r="222" spans="1:13" s="3" customFormat="1" ht="12" customHeight="1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>SUM(F225:K225)</f>
        <v>0</v>
      </c>
      <c r="M225" s="8"/>
    </row>
    <row r="226" spans="1:13" s="3" customFormat="1" ht="12" customHeight="1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0</v>
      </c>
      <c r="G226" s="18">
        <v>0</v>
      </c>
      <c r="H226" s="18">
        <v>437564.44</v>
      </c>
      <c r="I226" s="18">
        <v>0</v>
      </c>
      <c r="J226" s="18">
        <v>0</v>
      </c>
      <c r="K226" s="18">
        <v>0</v>
      </c>
      <c r="L226" s="19">
        <f>SUM(F226:K226)</f>
        <v>437564.44</v>
      </c>
      <c r="M226" s="8"/>
    </row>
    <row r="227" spans="1:13" s="3" customFormat="1" ht="12" customHeight="1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</row>
    <row r="228" spans="1:13" s="3" customFormat="1" ht="12" customHeight="1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0</v>
      </c>
      <c r="G228" s="18">
        <v>0</v>
      </c>
      <c r="H228" s="18">
        <v>0</v>
      </c>
      <c r="I228" s="18">
        <v>0</v>
      </c>
      <c r="J228" s="18">
        <v>0</v>
      </c>
      <c r="K228" s="18">
        <v>0</v>
      </c>
      <c r="L228" s="19">
        <f>SUM(F228:K228)</f>
        <v>0</v>
      </c>
      <c r="M228" s="8"/>
    </row>
    <row r="229" spans="1:13" s="3" customFormat="1" ht="12" customHeight="1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9">
        <f t="shared" ref="L230:L236" si="4">SUM(F230:K230)</f>
        <v>0</v>
      </c>
      <c r="M230" s="8"/>
    </row>
    <row r="231" spans="1:13" s="3" customFormat="1" ht="12" customHeight="1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0</v>
      </c>
      <c r="G231" s="18">
        <v>0</v>
      </c>
      <c r="H231" s="18">
        <v>0</v>
      </c>
      <c r="I231" s="18">
        <v>0</v>
      </c>
      <c r="J231" s="18">
        <v>0</v>
      </c>
      <c r="K231" s="18">
        <v>0</v>
      </c>
      <c r="L231" s="19">
        <f t="shared" si="4"/>
        <v>0</v>
      </c>
      <c r="M231" s="8"/>
    </row>
    <row r="232" spans="1:13" s="3" customFormat="1" ht="12" customHeight="1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9">
        <f t="shared" si="4"/>
        <v>0</v>
      </c>
      <c r="M232" s="8"/>
    </row>
    <row r="233" spans="1:13" s="3" customFormat="1" ht="12" customHeight="1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9">
        <f t="shared" si="4"/>
        <v>0</v>
      </c>
      <c r="M233" s="8"/>
    </row>
    <row r="234" spans="1:13" s="3" customFormat="1" ht="12" customHeight="1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 t="shared" si="4"/>
        <v>0</v>
      </c>
      <c r="M235" s="8"/>
    </row>
    <row r="236" spans="1:13" s="3" customFormat="1" ht="12" customHeight="1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 t="shared" si="4"/>
        <v>0</v>
      </c>
      <c r="M236" s="8"/>
    </row>
    <row r="237" spans="1:13" s="3" customFormat="1" ht="12" customHeight="1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437564.44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437564.44</v>
      </c>
      <c r="M239" s="8"/>
    </row>
    <row r="240" spans="1:13" s="3" customFormat="1" ht="12" customHeight="1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36610.120000000003</v>
      </c>
      <c r="I247" s="18"/>
      <c r="J247" s="18"/>
      <c r="K247" s="18"/>
      <c r="L247" s="19">
        <f t="shared" si="6"/>
        <v>36610.120000000003</v>
      </c>
      <c r="M247" s="8"/>
    </row>
    <row r="248" spans="1:13" s="3" customFormat="1" ht="12" customHeight="1" thickTop="1" thickBot="1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36610.120000000003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36610.120000000003</v>
      </c>
      <c r="M248" s="8"/>
    </row>
    <row r="249" spans="1:13" s="3" customFormat="1" ht="12" customHeight="1" thickTop="1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4674225.34</v>
      </c>
      <c r="G249" s="41">
        <f t="shared" si="8"/>
        <v>1889195.4400000002</v>
      </c>
      <c r="H249" s="41">
        <f t="shared" si="8"/>
        <v>3967404.1099999994</v>
      </c>
      <c r="I249" s="41">
        <f t="shared" si="8"/>
        <v>300877.83</v>
      </c>
      <c r="J249" s="41">
        <f t="shared" si="8"/>
        <v>55017.18</v>
      </c>
      <c r="K249" s="41">
        <f t="shared" si="8"/>
        <v>28046.5</v>
      </c>
      <c r="L249" s="41">
        <f t="shared" si="8"/>
        <v>10914766.399999999</v>
      </c>
      <c r="M249" s="8"/>
    </row>
    <row r="250" spans="1:13" s="3" customFormat="1" ht="12" customHeight="1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200000</v>
      </c>
      <c r="L252" s="19">
        <f>SUM(F252:K252)</f>
        <v>200000</v>
      </c>
      <c r="M252" s="8"/>
    </row>
    <row r="253" spans="1:13" s="3" customFormat="1" ht="12" customHeight="1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63625</v>
      </c>
      <c r="L253" s="19">
        <f>SUM(F253:K253)</f>
        <v>63625</v>
      </c>
      <c r="M253" s="8"/>
    </row>
    <row r="254" spans="1:13" s="3" customFormat="1" ht="12" customHeight="1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263625</v>
      </c>
      <c r="L262" s="41">
        <f t="shared" si="9"/>
        <v>263625</v>
      </c>
    </row>
    <row r="263" spans="1:13" ht="12" customHeight="1" thickTop="1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4674225.34</v>
      </c>
      <c r="G263" s="42">
        <f t="shared" si="11"/>
        <v>1889195.4400000002</v>
      </c>
      <c r="H263" s="42">
        <f t="shared" si="11"/>
        <v>3967404.1099999994</v>
      </c>
      <c r="I263" s="42">
        <f t="shared" si="11"/>
        <v>300877.83</v>
      </c>
      <c r="J263" s="42">
        <f t="shared" si="11"/>
        <v>55017.18</v>
      </c>
      <c r="K263" s="42">
        <f t="shared" si="11"/>
        <v>291671.5</v>
      </c>
      <c r="L263" s="42">
        <f t="shared" si="11"/>
        <v>11178391.399999999</v>
      </c>
    </row>
    <row r="264" spans="1:13" ht="12" customHeight="1">
      <c r="A264" s="33"/>
      <c r="B264" s="6"/>
      <c r="C264" s="6"/>
      <c r="D264" s="6"/>
      <c r="E264" s="6"/>
    </row>
    <row r="265" spans="1:13" s="3" customFormat="1" ht="12" customHeight="1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32704.41</v>
      </c>
      <c r="G268" s="18">
        <v>0</v>
      </c>
      <c r="H268" s="18">
        <v>0</v>
      </c>
      <c r="I268" s="18">
        <v>1617.3</v>
      </c>
      <c r="J268" s="18">
        <v>0</v>
      </c>
      <c r="K268" s="18">
        <v>0</v>
      </c>
      <c r="L268" s="19">
        <f>SUM(F268:K268)</f>
        <v>34321.71</v>
      </c>
      <c r="M268" s="8"/>
    </row>
    <row r="269" spans="1:13" s="3" customFormat="1" ht="12" customHeight="1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99797.65</v>
      </c>
      <c r="G269" s="18">
        <v>8473.5300000000007</v>
      </c>
      <c r="H269" s="18">
        <v>22633.39</v>
      </c>
      <c r="I269" s="18">
        <v>5216.47</v>
      </c>
      <c r="J269" s="18">
        <v>15087.1</v>
      </c>
      <c r="K269" s="18">
        <v>0</v>
      </c>
      <c r="L269" s="19">
        <f>SUM(F269:K269)</f>
        <v>151208.13999999998</v>
      </c>
      <c r="M269" s="8"/>
    </row>
    <row r="270" spans="1:13" s="3" customFormat="1" ht="12" customHeight="1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0</v>
      </c>
      <c r="L271" s="19">
        <f>SUM(F271:K271)</f>
        <v>0</v>
      </c>
      <c r="M271" s="8"/>
    </row>
    <row r="272" spans="1:13" s="3" customFormat="1" ht="12" customHeight="1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>
        <v>0</v>
      </c>
      <c r="H273" s="18">
        <v>0</v>
      </c>
      <c r="I273" s="18">
        <v>0</v>
      </c>
      <c r="J273" s="18">
        <v>0</v>
      </c>
      <c r="K273" s="18">
        <v>0</v>
      </c>
      <c r="L273" s="19">
        <f t="shared" ref="L273:L279" si="12">SUM(F273:K273)</f>
        <v>0</v>
      </c>
      <c r="M273" s="8"/>
    </row>
    <row r="274" spans="1:13" s="3" customFormat="1" ht="12" customHeight="1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0</v>
      </c>
      <c r="G274" s="18">
        <v>0</v>
      </c>
      <c r="H274" s="18">
        <v>0</v>
      </c>
      <c r="I274" s="18">
        <v>0</v>
      </c>
      <c r="J274" s="18">
        <v>0</v>
      </c>
      <c r="K274" s="18">
        <v>0</v>
      </c>
      <c r="L274" s="19">
        <f t="shared" si="12"/>
        <v>0</v>
      </c>
      <c r="M274" s="8"/>
    </row>
    <row r="275" spans="1:13" s="3" customFormat="1" ht="12" customHeight="1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0</v>
      </c>
      <c r="L275" s="19">
        <f t="shared" si="12"/>
        <v>0</v>
      </c>
      <c r="M275" s="8"/>
    </row>
    <row r="276" spans="1:13" s="3" customFormat="1" ht="12" customHeight="1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 t="shared" si="12"/>
        <v>0</v>
      </c>
      <c r="M277" s="8"/>
    </row>
    <row r="278" spans="1:13" s="3" customFormat="1" ht="12" customHeight="1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132502.06</v>
      </c>
      <c r="G282" s="42">
        <f t="shared" si="13"/>
        <v>8473.5300000000007</v>
      </c>
      <c r="H282" s="42">
        <f t="shared" si="13"/>
        <v>22633.39</v>
      </c>
      <c r="I282" s="42">
        <f t="shared" si="13"/>
        <v>6833.77</v>
      </c>
      <c r="J282" s="42">
        <f t="shared" si="13"/>
        <v>15087.1</v>
      </c>
      <c r="K282" s="42">
        <f t="shared" si="13"/>
        <v>0</v>
      </c>
      <c r="L282" s="41">
        <f t="shared" si="13"/>
        <v>185529.84999999998</v>
      </c>
      <c r="M282" s="8"/>
    </row>
    <row r="283" spans="1:13" s="3" customFormat="1" ht="12" customHeight="1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</row>
    <row r="288" spans="1:13" s="3" customFormat="1" ht="12" customHeight="1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</row>
    <row r="289" spans="1:13" s="3" customFormat="1" ht="12" customHeight="1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0</v>
      </c>
      <c r="G289" s="18">
        <v>0</v>
      </c>
      <c r="H289" s="18">
        <v>0</v>
      </c>
      <c r="I289" s="18">
        <v>0</v>
      </c>
      <c r="J289" s="18">
        <v>0</v>
      </c>
      <c r="K289" s="18">
        <v>0</v>
      </c>
      <c r="L289" s="19">
        <f>SUM(F289:K289)</f>
        <v>0</v>
      </c>
      <c r="M289" s="8"/>
    </row>
    <row r="290" spans="1:13" s="3" customFormat="1" ht="12" customHeight="1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18">
        <v>0</v>
      </c>
      <c r="L290" s="19">
        <f>SUM(F290:K290)</f>
        <v>0</v>
      </c>
      <c r="M290" s="8"/>
    </row>
    <row r="291" spans="1:13" s="3" customFormat="1" ht="12" customHeight="1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9">
        <f t="shared" ref="L292:L298" si="14">SUM(F292:K292)</f>
        <v>0</v>
      </c>
      <c r="M292" s="8"/>
    </row>
    <row r="293" spans="1:13" s="3" customFormat="1" ht="12" customHeight="1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0</v>
      </c>
      <c r="G293" s="18">
        <v>0</v>
      </c>
      <c r="H293" s="18">
        <v>0</v>
      </c>
      <c r="I293" s="18">
        <v>0</v>
      </c>
      <c r="J293" s="18">
        <v>0</v>
      </c>
      <c r="K293" s="18">
        <v>0</v>
      </c>
      <c r="L293" s="19">
        <f t="shared" si="14"/>
        <v>0</v>
      </c>
      <c r="M293" s="8"/>
    </row>
    <row r="294" spans="1:13" s="3" customFormat="1" ht="12" customHeight="1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 t="shared" si="14"/>
        <v>0</v>
      </c>
      <c r="M294" s="8"/>
    </row>
    <row r="295" spans="1:13" s="3" customFormat="1" ht="12" customHeight="1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 t="shared" si="14"/>
        <v>0</v>
      </c>
      <c r="M295" s="8"/>
    </row>
    <row r="296" spans="1:13" s="3" customFormat="1" ht="12" customHeight="1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 t="shared" si="14"/>
        <v>0</v>
      </c>
      <c r="M296" s="8"/>
    </row>
    <row r="297" spans="1:13" s="3" customFormat="1" ht="12" customHeight="1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 t="shared" si="14"/>
        <v>0</v>
      </c>
      <c r="M297" s="8"/>
    </row>
    <row r="298" spans="1:13" s="3" customFormat="1" ht="12" customHeight="1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 t="shared" si="14"/>
        <v>0</v>
      </c>
      <c r="M298" s="8"/>
    </row>
    <row r="299" spans="1:13" s="3" customFormat="1" ht="12" customHeight="1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>SUM(F299:K299)</f>
        <v>0</v>
      </c>
      <c r="M299" s="8"/>
    </row>
    <row r="300" spans="1:13" s="3" customFormat="1" ht="12" customHeight="1" thickBot="1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</row>
    <row r="307" spans="1:13" s="3" customFormat="1" ht="12" customHeight="1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</row>
    <row r="308" spans="1:13" s="3" customFormat="1" ht="12" customHeight="1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0</v>
      </c>
      <c r="G308" s="18">
        <v>0</v>
      </c>
      <c r="H308" s="18">
        <v>0</v>
      </c>
      <c r="I308" s="18">
        <v>0</v>
      </c>
      <c r="J308" s="18">
        <v>0</v>
      </c>
      <c r="K308" s="18">
        <v>0</v>
      </c>
      <c r="L308" s="19">
        <f>SUM(F308:K308)</f>
        <v>0</v>
      </c>
      <c r="M308" s="8"/>
    </row>
    <row r="309" spans="1:13" s="3" customFormat="1" ht="12" customHeight="1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0</v>
      </c>
      <c r="G309" s="18">
        <v>0</v>
      </c>
      <c r="H309" s="18">
        <v>0</v>
      </c>
      <c r="I309" s="18">
        <v>0</v>
      </c>
      <c r="J309" s="18">
        <v>0</v>
      </c>
      <c r="K309" s="18">
        <v>0</v>
      </c>
      <c r="L309" s="19">
        <f>SUM(F309:K309)</f>
        <v>0</v>
      </c>
      <c r="M309" s="8"/>
    </row>
    <row r="310" spans="1:13" s="3" customFormat="1" ht="12" customHeight="1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9">
        <f t="shared" ref="L311:L317" si="16">SUM(F311:K311)</f>
        <v>0</v>
      </c>
      <c r="M311" s="8"/>
    </row>
    <row r="312" spans="1:13" s="3" customFormat="1" ht="12" customHeight="1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9">
        <f t="shared" si="16"/>
        <v>0</v>
      </c>
      <c r="M312" s="8"/>
    </row>
    <row r="313" spans="1:13" s="3" customFormat="1" ht="12" customHeight="1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 t="shared" si="16"/>
        <v>0</v>
      </c>
      <c r="M313" s="8"/>
    </row>
    <row r="314" spans="1:13" s="3" customFormat="1" ht="12" customHeight="1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 t="shared" si="16"/>
        <v>0</v>
      </c>
      <c r="M314" s="8"/>
    </row>
    <row r="315" spans="1:13" s="3" customFormat="1" ht="12" customHeight="1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 t="shared" si="16"/>
        <v>0</v>
      </c>
      <c r="M315" s="8"/>
    </row>
    <row r="316" spans="1:13" s="3" customFormat="1" ht="12" customHeight="1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 t="shared" si="16"/>
        <v>0</v>
      </c>
      <c r="M316" s="8"/>
    </row>
    <row r="317" spans="1:13" s="3" customFormat="1" ht="12" customHeight="1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 t="shared" si="16"/>
        <v>0</v>
      </c>
      <c r="M317" s="8"/>
    </row>
    <row r="318" spans="1:13" s="3" customFormat="1" ht="12" customHeight="1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>SUM(F318:K318)</f>
        <v>0</v>
      </c>
      <c r="M318" s="8"/>
    </row>
    <row r="319" spans="1:13" s="3" customFormat="1" ht="12" customHeight="1" thickBot="1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132502.06</v>
      </c>
      <c r="G330" s="41">
        <f t="shared" si="20"/>
        <v>8473.5300000000007</v>
      </c>
      <c r="H330" s="41">
        <f t="shared" si="20"/>
        <v>22633.39</v>
      </c>
      <c r="I330" s="41">
        <f t="shared" si="20"/>
        <v>6833.77</v>
      </c>
      <c r="J330" s="41">
        <f t="shared" si="20"/>
        <v>15087.1</v>
      </c>
      <c r="K330" s="41">
        <f t="shared" si="20"/>
        <v>0</v>
      </c>
      <c r="L330" s="41">
        <f t="shared" si="20"/>
        <v>185529.84999999998</v>
      </c>
      <c r="M330" s="8"/>
    </row>
    <row r="331" spans="1:13" s="3" customFormat="1" ht="12" customHeight="1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132502.06</v>
      </c>
      <c r="G344" s="41">
        <f>G330</f>
        <v>8473.5300000000007</v>
      </c>
      <c r="H344" s="41">
        <f>H330</f>
        <v>22633.39</v>
      </c>
      <c r="I344" s="41">
        <f>I330</f>
        <v>6833.77</v>
      </c>
      <c r="J344" s="41">
        <f>J330</f>
        <v>15087.1</v>
      </c>
      <c r="K344" s="47">
        <f>K330+K343</f>
        <v>0</v>
      </c>
      <c r="L344" s="41">
        <f>L330+L343</f>
        <v>185529.84999999998</v>
      </c>
      <c r="M344" s="8"/>
    </row>
    <row r="345" spans="1:43" s="3" customFormat="1" ht="12" customHeight="1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18731.17+32804.22</f>
        <v>51535.39</v>
      </c>
      <c r="G350" s="18">
        <f>68.76+99.12+2931.18+4012.6</f>
        <v>7111.66</v>
      </c>
      <c r="H350" s="18"/>
      <c r="I350" s="18">
        <f>52741.52+12338.86+113.48</f>
        <v>65193.86</v>
      </c>
      <c r="J350" s="18">
        <v>343</v>
      </c>
      <c r="K350" s="18"/>
      <c r="L350" s="13">
        <f>SUM(F350:K350)</f>
        <v>124183.91</v>
      </c>
      <c r="M350" s="8"/>
    </row>
    <row r="351" spans="1:43" s="3" customFormat="1" ht="12" customHeight="1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51535.39</v>
      </c>
      <c r="G354" s="47">
        <f t="shared" si="22"/>
        <v>7111.66</v>
      </c>
      <c r="H354" s="47">
        <f t="shared" si="22"/>
        <v>0</v>
      </c>
      <c r="I354" s="47">
        <f t="shared" si="22"/>
        <v>65193.86</v>
      </c>
      <c r="J354" s="47">
        <f t="shared" si="22"/>
        <v>343</v>
      </c>
      <c r="K354" s="47">
        <f t="shared" si="22"/>
        <v>0</v>
      </c>
      <c r="L354" s="47">
        <f t="shared" si="22"/>
        <v>124183.91</v>
      </c>
      <c r="M354" s="8"/>
    </row>
    <row r="355" spans="1:13" s="3" customFormat="1" ht="12" customHeight="1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52741.52+12338.86</f>
        <v>65080.38</v>
      </c>
      <c r="G359" s="18"/>
      <c r="H359" s="18"/>
      <c r="I359" s="56">
        <f>SUM(F359:H359)</f>
        <v>65080.38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113.48</v>
      </c>
      <c r="G360" s="63"/>
      <c r="H360" s="63"/>
      <c r="I360" s="56">
        <f>SUM(F360:H360)</f>
        <v>113.48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65193.86</v>
      </c>
      <c r="G361" s="47">
        <f>SUM(G359:G360)</f>
        <v>0</v>
      </c>
      <c r="H361" s="47">
        <f>SUM(H359:H360)</f>
        <v>0</v>
      </c>
      <c r="I361" s="47">
        <f>SUM(I359:I360)</f>
        <v>65193.86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427.48</v>
      </c>
      <c r="I384" s="18"/>
      <c r="J384" s="24" t="s">
        <v>312</v>
      </c>
      <c r="K384" s="24" t="s">
        <v>312</v>
      </c>
      <c r="L384" s="56">
        <f t="shared" si="25"/>
        <v>427.48</v>
      </c>
      <c r="M384" s="8"/>
    </row>
    <row r="385" spans="1:13" s="3" customFormat="1" ht="12" customHeight="1" thickTop="1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427.48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427.48</v>
      </c>
      <c r="M385" s="8"/>
    </row>
    <row r="386" spans="1:13" s="3" customFormat="1" ht="12" customHeight="1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427.48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427.48</v>
      </c>
      <c r="M400" s="8"/>
    </row>
    <row r="401" spans="1:21" s="3" customFormat="1" ht="12" customHeight="1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>
        <v>45000</v>
      </c>
      <c r="L414" s="56">
        <f t="shared" si="29"/>
        <v>45000</v>
      </c>
      <c r="M414" s="8"/>
    </row>
    <row r="415" spans="1:21" s="3" customFormat="1" ht="12" customHeight="1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>
        <v>150000</v>
      </c>
      <c r="L418" s="56">
        <f t="shared" si="29"/>
        <v>150000</v>
      </c>
      <c r="M418" s="8"/>
    </row>
    <row r="419" spans="1:21" s="3" customFormat="1" ht="12" customHeight="1" thickTop="1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195000</v>
      </c>
      <c r="L419" s="47">
        <f t="shared" si="30"/>
        <v>195000</v>
      </c>
      <c r="M419" s="8"/>
    </row>
    <row r="420" spans="1:21" s="3" customFormat="1" ht="12" customHeight="1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195000</v>
      </c>
      <c r="L426" s="47">
        <f t="shared" si="32"/>
        <v>195000</v>
      </c>
      <c r="M426" s="8"/>
    </row>
    <row r="427" spans="1:21" s="3" customFormat="1" ht="12" customHeight="1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>
      <c r="A428" s="34" t="s">
        <v>0</v>
      </c>
      <c r="K428" s="56"/>
      <c r="L428" s="13"/>
      <c r="M428" s="8"/>
    </row>
    <row r="429" spans="1:21" s="3" customFormat="1" ht="12" customHeight="1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125559.91</v>
      </c>
      <c r="H431" s="18"/>
      <c r="I431" s="56">
        <f t="shared" ref="I431:I437" si="33">SUM(F431:H431)</f>
        <v>125559.91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125559.91</v>
      </c>
      <c r="H438" s="13">
        <f>SUM(H431:H437)</f>
        <v>0</v>
      </c>
      <c r="I438" s="13">
        <f>SUM(I431:I437)</f>
        <v>125559.91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125559.91</v>
      </c>
      <c r="H449" s="18"/>
      <c r="I449" s="56">
        <f>SUM(F449:H449)</f>
        <v>125559.91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125559.91</v>
      </c>
      <c r="H450" s="83">
        <f>SUM(H446:H449)</f>
        <v>0</v>
      </c>
      <c r="I450" s="83">
        <f>SUM(I446:I449)</f>
        <v>125559.91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125559.91</v>
      </c>
      <c r="H451" s="42">
        <f>H444+H450</f>
        <v>0</v>
      </c>
      <c r="I451" s="42">
        <f>I444+I450</f>
        <v>125559.91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29879.13</v>
      </c>
      <c r="G455" s="18">
        <v>40661.599999999999</v>
      </c>
      <c r="H455" s="18">
        <v>0</v>
      </c>
      <c r="I455" s="18"/>
      <c r="J455" s="18">
        <v>320132.43</v>
      </c>
      <c r="K455" s="24" t="s">
        <v>312</v>
      </c>
      <c r="L455" s="24" t="s">
        <v>312</v>
      </c>
    </row>
    <row r="456" spans="1:23" s="52" customFormat="1" ht="12" customHeight="1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11095935.4</v>
      </c>
      <c r="G458" s="18">
        <v>133038.16</v>
      </c>
      <c r="H458" s="18">
        <v>175526.98</v>
      </c>
      <c r="I458" s="18"/>
      <c r="J458" s="18">
        <v>427.48</v>
      </c>
      <c r="K458" s="24" t="s">
        <v>312</v>
      </c>
      <c r="L458" s="24" t="s">
        <v>312</v>
      </c>
    </row>
    <row r="459" spans="1:23" s="52" customFormat="1" ht="12" customHeight="1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11095935.4</v>
      </c>
      <c r="G460" s="53">
        <f>SUM(G458:G459)</f>
        <v>133038.16</v>
      </c>
      <c r="H460" s="53">
        <f>SUM(H458:H459)</f>
        <v>175526.98</v>
      </c>
      <c r="I460" s="53">
        <f>SUM(I458:I459)</f>
        <v>0</v>
      </c>
      <c r="J460" s="53">
        <f>SUM(J458:J459)</f>
        <v>427.48</v>
      </c>
      <c r="K460" s="24" t="s">
        <v>312</v>
      </c>
      <c r="L460" s="24" t="s">
        <v>312</v>
      </c>
    </row>
    <row r="461" spans="1:23" s="52" customFormat="1" ht="12" customHeight="1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11178391.4</v>
      </c>
      <c r="G462" s="18">
        <v>124183.91</v>
      </c>
      <c r="H462" s="18">
        <v>185529.85</v>
      </c>
      <c r="I462" s="18"/>
      <c r="J462" s="18">
        <v>195000</v>
      </c>
      <c r="K462" s="24" t="s">
        <v>312</v>
      </c>
      <c r="L462" s="24" t="s">
        <v>312</v>
      </c>
    </row>
    <row r="463" spans="1:23" s="52" customFormat="1" ht="12" customHeight="1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11178391.4</v>
      </c>
      <c r="G464" s="53">
        <f>SUM(G462:G463)</f>
        <v>124183.91</v>
      </c>
      <c r="H464" s="53">
        <f>SUM(H462:H463)</f>
        <v>185529.85</v>
      </c>
      <c r="I464" s="53">
        <f>SUM(I462:I463)</f>
        <v>0</v>
      </c>
      <c r="J464" s="53">
        <f>SUM(J462:J463)</f>
        <v>195000</v>
      </c>
      <c r="K464" s="24" t="s">
        <v>312</v>
      </c>
      <c r="L464" s="24" t="s">
        <v>312</v>
      </c>
    </row>
    <row r="465" spans="1:12" s="52" customFormat="1" ht="12" customHeight="1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-52576.86999999918</v>
      </c>
      <c r="G466" s="53">
        <f>(G455+G460)- G464</f>
        <v>49515.850000000006</v>
      </c>
      <c r="H466" s="53">
        <f>(H455+H460)- H464</f>
        <v>-10002.869999999995</v>
      </c>
      <c r="I466" s="53">
        <f>(I455+I460)- I464</f>
        <v>0</v>
      </c>
      <c r="J466" s="53">
        <f>(J455+J460)- J464</f>
        <v>125559.90999999997</v>
      </c>
      <c r="K466" s="24" t="s">
        <v>312</v>
      </c>
      <c r="L466" s="24" t="s">
        <v>312</v>
      </c>
    </row>
    <row r="467" spans="1:12" s="52" customFormat="1" ht="12" customHeight="1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3985000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5.23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985000</v>
      </c>
      <c r="G485" s="18"/>
      <c r="H485" s="18"/>
      <c r="I485" s="18"/>
      <c r="J485" s="18"/>
      <c r="K485" s="53">
        <f>SUM(F485:J485)</f>
        <v>985000</v>
      </c>
      <c r="L485" s="24" t="s">
        <v>312</v>
      </c>
    </row>
    <row r="486" spans="1:12" s="52" customFormat="1" ht="12" customHeight="1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200000</v>
      </c>
      <c r="G487" s="18"/>
      <c r="H487" s="18"/>
      <c r="I487" s="18"/>
      <c r="J487" s="18"/>
      <c r="K487" s="53">
        <f t="shared" si="34"/>
        <v>200000</v>
      </c>
      <c r="L487" s="24" t="s">
        <v>312</v>
      </c>
    </row>
    <row r="488" spans="1:12" s="52" customFormat="1" ht="12" customHeight="1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785000</v>
      </c>
      <c r="G488" s="205"/>
      <c r="H488" s="205"/>
      <c r="I488" s="205"/>
      <c r="J488" s="205"/>
      <c r="K488" s="206">
        <f t="shared" si="34"/>
        <v>785000</v>
      </c>
      <c r="L488" s="207" t="s">
        <v>312</v>
      </c>
    </row>
    <row r="489" spans="1:12" s="52" customFormat="1" ht="12" customHeight="1" thickBot="1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126875</v>
      </c>
      <c r="G489" s="18"/>
      <c r="H489" s="18"/>
      <c r="I489" s="18"/>
      <c r="J489" s="18"/>
      <c r="K489" s="53">
        <f t="shared" si="34"/>
        <v>126875</v>
      </c>
      <c r="L489" s="24" t="s">
        <v>312</v>
      </c>
    </row>
    <row r="490" spans="1:12" s="52" customFormat="1" ht="12" customHeight="1" thickTop="1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911875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911875</v>
      </c>
      <c r="L490" s="45" t="s">
        <v>312</v>
      </c>
    </row>
    <row r="491" spans="1:12" s="52" customFormat="1" ht="12" customHeight="1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200000</v>
      </c>
      <c r="G491" s="205"/>
      <c r="H491" s="205"/>
      <c r="I491" s="205"/>
      <c r="J491" s="205"/>
      <c r="K491" s="206">
        <f t="shared" si="34"/>
        <v>200000</v>
      </c>
      <c r="L491" s="207" t="s">
        <v>312</v>
      </c>
    </row>
    <row r="492" spans="1:12" s="52" customFormat="1" ht="12" customHeight="1" thickBot="1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50825</v>
      </c>
      <c r="G492" s="18"/>
      <c r="H492" s="18"/>
      <c r="I492" s="18"/>
      <c r="J492" s="18"/>
      <c r="K492" s="53">
        <f t="shared" si="34"/>
        <v>50825</v>
      </c>
      <c r="L492" s="24" t="s">
        <v>312</v>
      </c>
    </row>
    <row r="493" spans="1:12" s="52" customFormat="1" ht="12" customHeight="1" thickTop="1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250825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250825</v>
      </c>
      <c r="L493" s="45" t="s">
        <v>312</v>
      </c>
    </row>
    <row r="494" spans="1:12" s="52" customFormat="1" ht="12" customHeight="1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F190+F269</f>
        <v>1235794</v>
      </c>
      <c r="G511" s="18">
        <f>G190+G269</f>
        <v>457300.78</v>
      </c>
      <c r="H511" s="18">
        <f>H190+H269-H516</f>
        <v>57306.119999999995</v>
      </c>
      <c r="I511" s="18">
        <f>I190+I269</f>
        <v>12308.619999999999</v>
      </c>
      <c r="J511" s="18">
        <f>J190+J269-J516</f>
        <v>18116.490000000002</v>
      </c>
      <c r="K511" s="18">
        <f>K190+K269</f>
        <v>272</v>
      </c>
      <c r="L511" s="88">
        <f>SUM(F511:K511)</f>
        <v>1781098.01</v>
      </c>
    </row>
    <row r="512" spans="1:12" s="52" customFormat="1" ht="12" customHeight="1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 t="shared" ref="F512:K512" si="35">F208+F288</f>
        <v>0</v>
      </c>
      <c r="G512" s="18">
        <f t="shared" si="35"/>
        <v>0</v>
      </c>
      <c r="H512" s="18">
        <f t="shared" si="35"/>
        <v>137803.73000000001</v>
      </c>
      <c r="I512" s="18">
        <f t="shared" si="35"/>
        <v>0</v>
      </c>
      <c r="J512" s="18">
        <f t="shared" si="35"/>
        <v>0</v>
      </c>
      <c r="K512" s="18">
        <f t="shared" si="35"/>
        <v>0</v>
      </c>
      <c r="L512" s="88">
        <f>SUM(F512:K512)</f>
        <v>137803.73000000001</v>
      </c>
    </row>
    <row r="513" spans="1:13" s="52" customFormat="1" ht="12" customHeight="1" thickBot="1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 t="shared" ref="F513:K513" si="36">F226+F307</f>
        <v>0</v>
      </c>
      <c r="G513" s="18">
        <f t="shared" si="36"/>
        <v>0</v>
      </c>
      <c r="H513" s="18">
        <f t="shared" si="36"/>
        <v>437564.44</v>
      </c>
      <c r="I513" s="18">
        <f t="shared" si="36"/>
        <v>0</v>
      </c>
      <c r="J513" s="18">
        <f t="shared" si="36"/>
        <v>0</v>
      </c>
      <c r="K513" s="18">
        <f t="shared" si="36"/>
        <v>0</v>
      </c>
      <c r="L513" s="88">
        <f>SUM(F513:K513)</f>
        <v>437564.44</v>
      </c>
    </row>
    <row r="514" spans="1:13" s="52" customFormat="1" ht="12" customHeight="1" thickTop="1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1235794</v>
      </c>
      <c r="G514" s="108">
        <f t="shared" ref="G514:L514" si="37">SUM(G511:G513)</f>
        <v>457300.78</v>
      </c>
      <c r="H514" s="108">
        <f t="shared" si="37"/>
        <v>632674.29</v>
      </c>
      <c r="I514" s="108">
        <f t="shared" si="37"/>
        <v>12308.619999999999</v>
      </c>
      <c r="J514" s="108">
        <f t="shared" si="37"/>
        <v>18116.490000000002</v>
      </c>
      <c r="K514" s="108">
        <f t="shared" si="37"/>
        <v>272</v>
      </c>
      <c r="L514" s="89">
        <f t="shared" si="37"/>
        <v>2356466.1800000002</v>
      </c>
    </row>
    <row r="515" spans="1:13" s="52" customFormat="1" ht="12" customHeight="1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168329.17+3030+8474.97+1584.81</f>
        <v>181418.95</v>
      </c>
      <c r="I516" s="18"/>
      <c r="J516" s="18">
        <v>922.73</v>
      </c>
      <c r="K516" s="18"/>
      <c r="L516" s="88">
        <f>SUM(F516:K516)</f>
        <v>182341.68000000002</v>
      </c>
    </row>
    <row r="517" spans="1:13" s="52" customFormat="1" ht="12" customHeight="1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8">SUM(G516:G518)</f>
        <v>0</v>
      </c>
      <c r="H519" s="89">
        <f t="shared" si="38"/>
        <v>181418.95</v>
      </c>
      <c r="I519" s="89">
        <f t="shared" si="38"/>
        <v>0</v>
      </c>
      <c r="J519" s="89">
        <f t="shared" si="38"/>
        <v>922.73</v>
      </c>
      <c r="K519" s="89">
        <f t="shared" si="38"/>
        <v>0</v>
      </c>
      <c r="L519" s="89">
        <f t="shared" si="38"/>
        <v>182341.68000000002</v>
      </c>
      <c r="M519" s="8"/>
    </row>
    <row r="520" spans="1:13" s="3" customFormat="1" ht="12" customHeight="1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31540.838280977307</v>
      </c>
      <c r="G522" s="18">
        <v>10603.609663938889</v>
      </c>
      <c r="H522" s="18">
        <v>404.16799884816743</v>
      </c>
      <c r="I522" s="18">
        <v>0</v>
      </c>
      <c r="J522" s="18">
        <v>0</v>
      </c>
      <c r="K522" s="18">
        <v>0</v>
      </c>
      <c r="L522" s="88">
        <f>SUM(F522:K522)</f>
        <v>42548.615943764366</v>
      </c>
      <c r="M522" s="8"/>
    </row>
    <row r="523" spans="1:13" s="3" customFormat="1" ht="12" customHeight="1" thickBot="1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51744.41671902268</v>
      </c>
      <c r="G523" s="18">
        <v>17395.783596139376</v>
      </c>
      <c r="H523" s="18">
        <v>663.05902115183233</v>
      </c>
      <c r="I523" s="18">
        <v>0</v>
      </c>
      <c r="J523" s="18">
        <v>0</v>
      </c>
      <c r="K523" s="18">
        <v>0</v>
      </c>
      <c r="L523" s="88">
        <f>SUM(F523:K523)</f>
        <v>69803.259336313888</v>
      </c>
      <c r="M523" s="8"/>
    </row>
    <row r="524" spans="1:13" s="3" customFormat="1" ht="12" customHeight="1" thickTop="1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83285.25499999999</v>
      </c>
      <c r="G524" s="89">
        <f t="shared" ref="G524:L524" si="39">SUM(G521:G523)</f>
        <v>27999.393260078265</v>
      </c>
      <c r="H524" s="89">
        <f t="shared" si="39"/>
        <v>1067.2270199999998</v>
      </c>
      <c r="I524" s="89">
        <f t="shared" si="39"/>
        <v>0</v>
      </c>
      <c r="J524" s="89">
        <f t="shared" si="39"/>
        <v>0</v>
      </c>
      <c r="K524" s="89">
        <f t="shared" si="39"/>
        <v>0</v>
      </c>
      <c r="L524" s="89">
        <f t="shared" si="39"/>
        <v>112351.87528007825</v>
      </c>
      <c r="M524" s="8"/>
    </row>
    <row r="525" spans="1:13" s="3" customFormat="1" ht="12" customHeight="1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7433.83</v>
      </c>
      <c r="I526" s="18"/>
      <c r="J526" s="18"/>
      <c r="K526" s="18"/>
      <c r="L526" s="88">
        <f>SUM(F526:K526)</f>
        <v>7433.83</v>
      </c>
      <c r="M526" s="8"/>
    </row>
    <row r="527" spans="1:13" s="3" customFormat="1" ht="12" customHeight="1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40">SUM(G526:G528)</f>
        <v>0</v>
      </c>
      <c r="H529" s="89">
        <f t="shared" si="40"/>
        <v>7433.83</v>
      </c>
      <c r="I529" s="89">
        <f t="shared" si="40"/>
        <v>0</v>
      </c>
      <c r="J529" s="89">
        <f t="shared" si="40"/>
        <v>0</v>
      </c>
      <c r="K529" s="89">
        <f t="shared" si="40"/>
        <v>0</v>
      </c>
      <c r="L529" s="89">
        <f t="shared" si="40"/>
        <v>7433.83</v>
      </c>
      <c r="M529" s="8"/>
    </row>
    <row r="530" spans="1:13" s="3" customFormat="1" ht="12" customHeight="1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92304.59</v>
      </c>
      <c r="I531" s="18"/>
      <c r="J531" s="18"/>
      <c r="K531" s="18"/>
      <c r="L531" s="88">
        <f>SUM(F531:K531)</f>
        <v>92304.59</v>
      </c>
      <c r="M531" s="8"/>
    </row>
    <row r="532" spans="1:13" s="3" customFormat="1" ht="12" customHeight="1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41">SUM(G531:G533)</f>
        <v>0</v>
      </c>
      <c r="H534" s="194">
        <f t="shared" si="41"/>
        <v>92304.59</v>
      </c>
      <c r="I534" s="194">
        <f t="shared" si="41"/>
        <v>0</v>
      </c>
      <c r="J534" s="194">
        <f t="shared" si="41"/>
        <v>0</v>
      </c>
      <c r="K534" s="194">
        <f t="shared" si="41"/>
        <v>0</v>
      </c>
      <c r="L534" s="194">
        <f t="shared" si="41"/>
        <v>92304.59</v>
      </c>
      <c r="M534" s="8"/>
    </row>
    <row r="535" spans="1:13" s="3" customFormat="1" ht="12" customHeight="1" thickTop="1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1319079.2549999999</v>
      </c>
      <c r="G535" s="89">
        <f t="shared" ref="G535:L535" si="42">G514+G519+G524+G529+G534</f>
        <v>485300.1732600783</v>
      </c>
      <c r="H535" s="89">
        <f t="shared" si="42"/>
        <v>914898.88701999991</v>
      </c>
      <c r="I535" s="89">
        <f t="shared" si="42"/>
        <v>12308.619999999999</v>
      </c>
      <c r="J535" s="89">
        <f t="shared" si="42"/>
        <v>19039.22</v>
      </c>
      <c r="K535" s="89">
        <f t="shared" si="42"/>
        <v>272</v>
      </c>
      <c r="L535" s="89">
        <f t="shared" si="42"/>
        <v>2750898.1552800783</v>
      </c>
      <c r="M535" s="8"/>
    </row>
    <row r="536" spans="1:13" s="3" customFormat="1" ht="12" customHeight="1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1781098.01</v>
      </c>
      <c r="G539" s="87">
        <f>L516</f>
        <v>182341.68000000002</v>
      </c>
      <c r="H539" s="87">
        <f>L521</f>
        <v>0</v>
      </c>
      <c r="I539" s="87">
        <f>L526</f>
        <v>7433.83</v>
      </c>
      <c r="J539" s="87">
        <f>L531</f>
        <v>92304.59</v>
      </c>
      <c r="K539" s="87">
        <f>SUM(F539:J539)</f>
        <v>2063178.11</v>
      </c>
      <c r="L539" s="24" t="s">
        <v>312</v>
      </c>
      <c r="M539" s="8"/>
    </row>
    <row r="540" spans="1:13" s="3" customFormat="1" ht="12" customHeight="1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137803.73000000001</v>
      </c>
      <c r="G540" s="87">
        <f>L517</f>
        <v>0</v>
      </c>
      <c r="H540" s="87">
        <f>L522</f>
        <v>42548.615943764366</v>
      </c>
      <c r="I540" s="87">
        <f>L527</f>
        <v>0</v>
      </c>
      <c r="J540" s="87">
        <f>L532</f>
        <v>0</v>
      </c>
      <c r="K540" s="87">
        <f>SUM(F540:J540)</f>
        <v>180352.34594376438</v>
      </c>
      <c r="L540" s="24" t="s">
        <v>312</v>
      </c>
      <c r="M540" s="8"/>
    </row>
    <row r="541" spans="1:13" s="3" customFormat="1" ht="12" customHeight="1" thickBot="1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437564.44</v>
      </c>
      <c r="G541" s="87">
        <f>L518</f>
        <v>0</v>
      </c>
      <c r="H541" s="87">
        <f>L523</f>
        <v>69803.259336313888</v>
      </c>
      <c r="I541" s="87">
        <f>L528</f>
        <v>0</v>
      </c>
      <c r="J541" s="87">
        <f>L533</f>
        <v>0</v>
      </c>
      <c r="K541" s="87">
        <f>SUM(F541:J541)</f>
        <v>507367.69933631388</v>
      </c>
      <c r="L541" s="24" t="s">
        <v>312</v>
      </c>
      <c r="M541" s="8"/>
    </row>
    <row r="542" spans="1:13" s="3" customFormat="1" ht="12" customHeight="1" thickTop="1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3">SUM(F539:F541)</f>
        <v>2356466.1800000002</v>
      </c>
      <c r="G542" s="89">
        <f t="shared" si="43"/>
        <v>182341.68000000002</v>
      </c>
      <c r="H542" s="89">
        <f t="shared" si="43"/>
        <v>112351.87528007825</v>
      </c>
      <c r="I542" s="89">
        <f t="shared" si="43"/>
        <v>7433.83</v>
      </c>
      <c r="J542" s="89">
        <f t="shared" si="43"/>
        <v>92304.59</v>
      </c>
      <c r="K542" s="89">
        <f t="shared" si="43"/>
        <v>2750898.1552800788</v>
      </c>
      <c r="L542" s="24"/>
      <c r="M542" s="8"/>
    </row>
    <row r="543" spans="1:13" s="3" customFormat="1" ht="12" customHeight="1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4">SUM(F547:F549)</f>
        <v>0</v>
      </c>
      <c r="G550" s="108">
        <f t="shared" si="44"/>
        <v>0</v>
      </c>
      <c r="H550" s="108">
        <f t="shared" si="44"/>
        <v>0</v>
      </c>
      <c r="I550" s="108">
        <f t="shared" si="44"/>
        <v>0</v>
      </c>
      <c r="J550" s="108">
        <f t="shared" si="44"/>
        <v>0</v>
      </c>
      <c r="K550" s="108">
        <f t="shared" si="44"/>
        <v>0</v>
      </c>
      <c r="L550" s="89">
        <f t="shared" si="44"/>
        <v>0</v>
      </c>
      <c r="M550" s="8"/>
    </row>
    <row r="551" spans="1:13" s="3" customFormat="1" ht="12" customHeight="1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5">SUM(F552:F554)</f>
        <v>0</v>
      </c>
      <c r="G555" s="89">
        <f t="shared" si="45"/>
        <v>0</v>
      </c>
      <c r="H555" s="89">
        <f t="shared" si="45"/>
        <v>0</v>
      </c>
      <c r="I555" s="89">
        <f t="shared" si="45"/>
        <v>0</v>
      </c>
      <c r="J555" s="89">
        <f t="shared" si="45"/>
        <v>0</v>
      </c>
      <c r="K555" s="89">
        <f t="shared" si="45"/>
        <v>0</v>
      </c>
      <c r="L555" s="89">
        <f t="shared" si="45"/>
        <v>0</v>
      </c>
      <c r="M555" s="8"/>
    </row>
    <row r="556" spans="1:13" s="3" customFormat="1" ht="12" customHeight="1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6">SUM(G557:G559)</f>
        <v>0</v>
      </c>
      <c r="H560" s="194">
        <f t="shared" si="46"/>
        <v>0</v>
      </c>
      <c r="I560" s="194">
        <f t="shared" si="46"/>
        <v>0</v>
      </c>
      <c r="J560" s="194">
        <f t="shared" si="46"/>
        <v>0</v>
      </c>
      <c r="K560" s="194">
        <f t="shared" si="46"/>
        <v>0</v>
      </c>
      <c r="L560" s="194">
        <f t="shared" si="46"/>
        <v>0</v>
      </c>
      <c r="M560" s="8"/>
    </row>
    <row r="561" spans="1:13" s="3" customFormat="1" ht="12" customHeight="1" thickTop="1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7">G550+G555+G560</f>
        <v>0</v>
      </c>
      <c r="H561" s="89">
        <f t="shared" si="47"/>
        <v>0</v>
      </c>
      <c r="I561" s="89">
        <f t="shared" si="47"/>
        <v>0</v>
      </c>
      <c r="J561" s="89">
        <f t="shared" si="47"/>
        <v>0</v>
      </c>
      <c r="K561" s="89">
        <f t="shared" si="47"/>
        <v>0</v>
      </c>
      <c r="L561" s="89">
        <f t="shared" si="47"/>
        <v>0</v>
      </c>
      <c r="M561" s="8"/>
    </row>
    <row r="562" spans="1:13" s="3" customFormat="1" ht="12" customHeight="1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f>2030339+57936</f>
        <v>2088275</v>
      </c>
      <c r="G565" s="18"/>
      <c r="H565" s="18"/>
      <c r="I565" s="87">
        <f>SUM(F565:H565)</f>
        <v>2088275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8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8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8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62462.54</v>
      </c>
      <c r="G569" s="18"/>
      <c r="H569" s="18">
        <v>5725</v>
      </c>
      <c r="I569" s="87">
        <f t="shared" si="48"/>
        <v>68187.540000000008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8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8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34466.199999999997</v>
      </c>
      <c r="G572" s="18">
        <v>137803.73000000001</v>
      </c>
      <c r="H572" s="18">
        <v>431839.44</v>
      </c>
      <c r="I572" s="87">
        <f t="shared" si="48"/>
        <v>604109.37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8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8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8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8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8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552284.43999999994</v>
      </c>
      <c r="I581" s="18"/>
      <c r="J581" s="18"/>
      <c r="K581" s="104">
        <f t="shared" ref="K581:K587" si="49">SUM(H581:J581)</f>
        <v>552284.43999999994</v>
      </c>
      <c r="L581" s="24" t="s">
        <v>312</v>
      </c>
      <c r="M581" s="8"/>
    </row>
    <row r="582" spans="1:13" s="3" customFormat="1" ht="12" customHeight="1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92304.59</v>
      </c>
      <c r="I582" s="18"/>
      <c r="J582" s="18"/>
      <c r="K582" s="104">
        <f t="shared" si="49"/>
        <v>92304.59</v>
      </c>
      <c r="L582" s="24" t="s">
        <v>312</v>
      </c>
      <c r="M582" s="8"/>
    </row>
    <row r="583" spans="1:13" s="3" customFormat="1" ht="12" customHeight="1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9"/>
        <v>0</v>
      </c>
      <c r="L583" s="24" t="s">
        <v>312</v>
      </c>
      <c r="M583" s="8"/>
    </row>
    <row r="584" spans="1:13" s="3" customFormat="1" ht="12" customHeight="1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9"/>
        <v>0</v>
      </c>
      <c r="L584" s="24" t="s">
        <v>312</v>
      </c>
      <c r="M584" s="8"/>
    </row>
    <row r="585" spans="1:13" s="3" customFormat="1" ht="12" customHeight="1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9"/>
        <v>0</v>
      </c>
      <c r="L585" s="24" t="s">
        <v>312</v>
      </c>
      <c r="M585" s="8"/>
    </row>
    <row r="586" spans="1:13" s="3" customFormat="1" ht="12" customHeight="1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9"/>
        <v>0</v>
      </c>
      <c r="L586" s="24" t="s">
        <v>312</v>
      </c>
      <c r="M586" s="8"/>
    </row>
    <row r="587" spans="1:13" s="3" customFormat="1" ht="12" customHeight="1" thickBot="1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9"/>
        <v>0</v>
      </c>
      <c r="L587" s="24" t="s">
        <v>312</v>
      </c>
      <c r="M587" s="8"/>
    </row>
    <row r="588" spans="1:13" s="3" customFormat="1" ht="12" customHeight="1" thickTop="1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644589.02999999991</v>
      </c>
      <c r="I588" s="108">
        <f>SUM(I581:I587)</f>
        <v>0</v>
      </c>
      <c r="J588" s="108">
        <f>SUM(J581:J587)</f>
        <v>0</v>
      </c>
      <c r="K588" s="108">
        <f>SUM(K581:K587)</f>
        <v>644589.02999999991</v>
      </c>
      <c r="L588" s="24" t="s">
        <v>312</v>
      </c>
      <c r="M588" s="8"/>
    </row>
    <row r="589" spans="1:13" s="3" customFormat="1" ht="12" customHeight="1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70104.28</v>
      </c>
      <c r="I594" s="18"/>
      <c r="J594" s="18"/>
      <c r="K594" s="104">
        <f>SUM(H594:J594)</f>
        <v>70104.28</v>
      </c>
      <c r="L594" s="24" t="s">
        <v>312</v>
      </c>
      <c r="M594" s="8"/>
    </row>
    <row r="595" spans="1:13" s="3" customFormat="1" ht="12" customHeight="1" thickTop="1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70104.28</v>
      </c>
      <c r="I595" s="108">
        <f>SUM(I592:I594)</f>
        <v>0</v>
      </c>
      <c r="J595" s="108">
        <f>SUM(J592:J594)</f>
        <v>0</v>
      </c>
      <c r="K595" s="108">
        <f>SUM(K592:K594)</f>
        <v>70104.28</v>
      </c>
      <c r="L595" s="24" t="s">
        <v>312</v>
      </c>
      <c r="M595" s="8"/>
    </row>
    <row r="596" spans="1:13" s="3" customFormat="1" ht="12" customHeight="1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24343.51-530.11</f>
        <v>23813.399999999998</v>
      </c>
      <c r="G601" s="18"/>
      <c r="H601" s="18">
        <f>3030+8474.97+1584.81+3408.7</f>
        <v>16498.48</v>
      </c>
      <c r="I601" s="18"/>
      <c r="J601" s="18"/>
      <c r="K601" s="18"/>
      <c r="L601" s="88">
        <f>SUM(F601:K601)</f>
        <v>40311.879999999997</v>
      </c>
      <c r="M601" s="8"/>
    </row>
    <row r="602" spans="1:13" s="3" customFormat="1" ht="12" customHeight="1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50">SUM(F601:F603)</f>
        <v>23813.399999999998</v>
      </c>
      <c r="G604" s="108">
        <f t="shared" si="50"/>
        <v>0</v>
      </c>
      <c r="H604" s="108">
        <f t="shared" si="50"/>
        <v>16498.48</v>
      </c>
      <c r="I604" s="108">
        <f t="shared" si="50"/>
        <v>0</v>
      </c>
      <c r="J604" s="108">
        <f t="shared" si="50"/>
        <v>0</v>
      </c>
      <c r="K604" s="108">
        <f t="shared" si="50"/>
        <v>0</v>
      </c>
      <c r="L604" s="89">
        <f t="shared" si="50"/>
        <v>40311.879999999997</v>
      </c>
      <c r="M604" s="8"/>
    </row>
    <row r="605" spans="1:13" s="3" customFormat="1" ht="12" customHeight="1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44927.98</v>
      </c>
      <c r="H607" s="109">
        <f>SUM(F44)</f>
        <v>44927.98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2611.94</v>
      </c>
      <c r="H608" s="109">
        <f>SUM(G44)</f>
        <v>2611.9399999999951</v>
      </c>
      <c r="I608" s="121" t="s">
        <v>102</v>
      </c>
      <c r="J608" s="109">
        <f>G608-H608</f>
        <v>5.0022208597511053E-12</v>
      </c>
      <c r="K608" s="109"/>
      <c r="L608" s="109"/>
      <c r="M608" s="8"/>
    </row>
    <row r="609" spans="1:13" s="3" customFormat="1" ht="12" customHeight="1">
      <c r="A609" s="97"/>
      <c r="B609" s="105"/>
      <c r="C609" s="105"/>
      <c r="D609" s="105"/>
      <c r="E609" s="105"/>
      <c r="F609" s="121" t="s">
        <v>719</v>
      </c>
      <c r="G609" s="109">
        <f>SUM(H19)</f>
        <v>41223.800000000003</v>
      </c>
      <c r="H609" s="109">
        <f>SUM(H44)</f>
        <v>41223.799999999996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>
      <c r="A611" s="97"/>
      <c r="B611" s="105"/>
      <c r="C611" s="105"/>
      <c r="D611" s="105"/>
      <c r="E611" s="105"/>
      <c r="F611" s="121" t="s">
        <v>721</v>
      </c>
      <c r="G611" s="109">
        <f>SUM(J19)</f>
        <v>125559.91</v>
      </c>
      <c r="H611" s="109">
        <f>SUM(J44)</f>
        <v>125559.91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>
      <c r="A612" s="97"/>
      <c r="B612" s="105"/>
      <c r="C612" s="105"/>
      <c r="D612" s="105"/>
      <c r="E612" s="105"/>
      <c r="F612" s="121" t="s">
        <v>722</v>
      </c>
      <c r="G612" s="109">
        <f>F43</f>
        <v>-52576.87</v>
      </c>
      <c r="H612" s="109">
        <f>F466</f>
        <v>-52576.86999999918</v>
      </c>
      <c r="I612" s="121" t="s">
        <v>106</v>
      </c>
      <c r="J612" s="109">
        <f t="shared" ref="J612:J645" si="51">G612-H612</f>
        <v>-8.2218321040272713E-10</v>
      </c>
      <c r="K612" s="109"/>
      <c r="L612" s="109"/>
      <c r="M612" s="8"/>
    </row>
    <row r="613" spans="1:13" s="3" customFormat="1" ht="12" customHeight="1">
      <c r="A613" s="97"/>
      <c r="B613" s="105"/>
      <c r="C613" s="119"/>
      <c r="D613" s="119"/>
      <c r="E613" s="119"/>
      <c r="F613" s="119" t="s">
        <v>107</v>
      </c>
      <c r="G613" s="109">
        <f>G43</f>
        <v>49515.85</v>
      </c>
      <c r="H613" s="109">
        <f>G466</f>
        <v>49515.850000000006</v>
      </c>
      <c r="I613" s="121" t="s">
        <v>108</v>
      </c>
      <c r="J613" s="109">
        <f t="shared" si="51"/>
        <v>0</v>
      </c>
      <c r="K613" s="109"/>
      <c r="L613" s="109"/>
      <c r="M613" s="8"/>
    </row>
    <row r="614" spans="1:13" s="3" customFormat="1" ht="12" customHeight="1">
      <c r="A614" s="97"/>
      <c r="B614" s="105"/>
      <c r="C614" s="105"/>
      <c r="D614" s="105"/>
      <c r="E614" s="105"/>
      <c r="F614" s="120" t="s">
        <v>109</v>
      </c>
      <c r="G614" s="109">
        <f>H43</f>
        <v>-10002.870000000001</v>
      </c>
      <c r="H614" s="109">
        <f>H466</f>
        <v>-10002.869999999995</v>
      </c>
      <c r="I614" s="121" t="s">
        <v>110</v>
      </c>
      <c r="J614" s="109">
        <f t="shared" si="51"/>
        <v>0</v>
      </c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51"/>
        <v>0</v>
      </c>
      <c r="K615" s="109"/>
      <c r="L615" s="109"/>
      <c r="M615" s="8"/>
    </row>
    <row r="616" spans="1:13" s="3" customFormat="1" ht="12" customHeight="1">
      <c r="A616" s="22"/>
      <c r="B616" s="105"/>
      <c r="C616" s="105"/>
      <c r="D616" s="105"/>
      <c r="E616" s="105"/>
      <c r="F616" s="120" t="s">
        <v>113</v>
      </c>
      <c r="G616" s="109">
        <f>J43</f>
        <v>125559.91</v>
      </c>
      <c r="H616" s="109">
        <f>J466</f>
        <v>125559.90999999997</v>
      </c>
      <c r="I616" s="140" t="s">
        <v>114</v>
      </c>
      <c r="J616" s="109">
        <f t="shared" si="51"/>
        <v>0</v>
      </c>
      <c r="K616" s="85"/>
      <c r="L616" s="88"/>
      <c r="M616" s="8"/>
    </row>
    <row r="617" spans="1:13" s="3" customFormat="1" ht="12" customHeight="1">
      <c r="A617" s="22"/>
      <c r="B617" s="105"/>
      <c r="C617" s="105"/>
      <c r="D617" s="105"/>
      <c r="E617" s="105"/>
      <c r="F617" s="120" t="s">
        <v>692</v>
      </c>
      <c r="G617" s="109">
        <f>F185</f>
        <v>11095935.4</v>
      </c>
      <c r="H617" s="104">
        <f>SUM(F458)</f>
        <v>11095935.4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>
      <c r="A618" s="22"/>
      <c r="B618" s="105"/>
      <c r="C618" s="105"/>
      <c r="D618" s="105"/>
      <c r="E618" s="105"/>
      <c r="F618" s="120" t="s">
        <v>693</v>
      </c>
      <c r="G618" s="109">
        <f>G185</f>
        <v>133038.16</v>
      </c>
      <c r="H618" s="104">
        <f>SUM(G458)</f>
        <v>133038.16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>
      <c r="A619" s="22"/>
      <c r="B619" s="105"/>
      <c r="C619" s="105"/>
      <c r="D619" s="105"/>
      <c r="E619" s="105"/>
      <c r="F619" s="120" t="s">
        <v>694</v>
      </c>
      <c r="G619" s="109">
        <f>H185</f>
        <v>175526.97999999998</v>
      </c>
      <c r="H619" s="104">
        <f>SUM(H458)</f>
        <v>175526.98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>
      <c r="A621" s="22"/>
      <c r="B621" s="105"/>
      <c r="C621" s="105"/>
      <c r="D621" s="105"/>
      <c r="E621" s="105"/>
      <c r="F621" s="120" t="s">
        <v>696</v>
      </c>
      <c r="G621" s="109">
        <f>J185</f>
        <v>427.48</v>
      </c>
      <c r="H621" s="104">
        <f>SUM(J458)</f>
        <v>427.48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>
      <c r="A622" s="22"/>
      <c r="B622" s="105"/>
      <c r="C622" s="105"/>
      <c r="D622" s="105"/>
      <c r="E622" s="105"/>
      <c r="F622" s="120" t="s">
        <v>418</v>
      </c>
      <c r="G622" s="109">
        <f>SUM(L263)</f>
        <v>11178391.399999999</v>
      </c>
      <c r="H622" s="104">
        <f>SUM(F462)</f>
        <v>11178391.4</v>
      </c>
      <c r="I622" s="140" t="s">
        <v>120</v>
      </c>
      <c r="J622" s="109">
        <f t="shared" si="51"/>
        <v>0</v>
      </c>
      <c r="K622" s="85"/>
      <c r="L622" s="88"/>
      <c r="M622" s="8"/>
    </row>
    <row r="623" spans="1:13" s="3" customFormat="1" ht="12" customHeight="1">
      <c r="A623" s="22"/>
      <c r="B623" s="105"/>
      <c r="C623" s="105"/>
      <c r="D623" s="105"/>
      <c r="E623" s="105"/>
      <c r="F623" s="120" t="s">
        <v>419</v>
      </c>
      <c r="G623" s="109">
        <f>SUM(L344)</f>
        <v>185529.84999999998</v>
      </c>
      <c r="H623" s="104">
        <f>SUM(H462)</f>
        <v>185529.85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>
      <c r="A624" s="22"/>
      <c r="B624" s="105"/>
      <c r="C624" s="105"/>
      <c r="D624" s="105"/>
      <c r="E624" s="105"/>
      <c r="F624" s="142" t="s">
        <v>270</v>
      </c>
      <c r="G624" s="109">
        <f>I354</f>
        <v>65193.86</v>
      </c>
      <c r="H624" s="104">
        <f>I361</f>
        <v>65193.86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122</v>
      </c>
      <c r="G625" s="109">
        <f>SUM(L354)</f>
        <v>124183.91</v>
      </c>
      <c r="H625" s="104">
        <f>SUM(G462)</f>
        <v>124183.91</v>
      </c>
      <c r="I625" s="140" t="s">
        <v>123</v>
      </c>
      <c r="J625" s="109">
        <f t="shared" si="51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51"/>
        <v>0</v>
      </c>
      <c r="K626" s="85"/>
      <c r="L626" s="88"/>
      <c r="M626" s="8"/>
    </row>
    <row r="627" spans="1:13" s="169" customFormat="1" ht="12" customHeight="1">
      <c r="A627" s="161"/>
      <c r="B627" s="162"/>
      <c r="C627" s="162"/>
      <c r="D627" s="162"/>
      <c r="E627" s="162"/>
      <c r="F627" s="163" t="s">
        <v>501</v>
      </c>
      <c r="G627" s="151">
        <f>SUM(L400)</f>
        <v>427.48</v>
      </c>
      <c r="H627" s="164">
        <f>SUM(J458)</f>
        <v>427.48</v>
      </c>
      <c r="I627" s="165" t="s">
        <v>119</v>
      </c>
      <c r="J627" s="151">
        <f t="shared" si="51"/>
        <v>0</v>
      </c>
      <c r="K627" s="166"/>
      <c r="L627" s="167"/>
      <c r="M627" s="168"/>
    </row>
    <row r="628" spans="1:13" s="169" customFormat="1" ht="12" customHeight="1">
      <c r="A628" s="161"/>
      <c r="B628" s="162"/>
      <c r="C628" s="162"/>
      <c r="D628" s="162"/>
      <c r="E628" s="162"/>
      <c r="F628" s="163" t="s">
        <v>502</v>
      </c>
      <c r="G628" s="151">
        <f>SUM(L426)</f>
        <v>195000</v>
      </c>
      <c r="H628" s="164">
        <f>SUM(J462)</f>
        <v>195000</v>
      </c>
      <c r="I628" s="165" t="s">
        <v>126</v>
      </c>
      <c r="J628" s="151">
        <f t="shared" si="51"/>
        <v>0</v>
      </c>
      <c r="K628" s="166"/>
      <c r="L628" s="167"/>
      <c r="M628" s="168"/>
    </row>
    <row r="629" spans="1:13" s="3" customFormat="1" ht="12" customHeight="1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51"/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129</v>
      </c>
      <c r="G630" s="109">
        <f>SUM(G438)</f>
        <v>125559.91</v>
      </c>
      <c r="H630" s="104">
        <f>SUM(G451)</f>
        <v>125559.91</v>
      </c>
      <c r="I630" s="140" t="s">
        <v>130</v>
      </c>
      <c r="J630" s="109">
        <f t="shared" si="51"/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51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133</v>
      </c>
      <c r="G632" s="109">
        <f>SUM(I438)</f>
        <v>125559.91</v>
      </c>
      <c r="H632" s="104">
        <f>SUM(I451)</f>
        <v>125559.91</v>
      </c>
      <c r="I632" s="140" t="s">
        <v>134</v>
      </c>
      <c r="J632" s="109">
        <f t="shared" si="51"/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51"/>
        <v>0</v>
      </c>
      <c r="K633" s="85"/>
      <c r="L633" s="88"/>
      <c r="M633" s="8"/>
    </row>
    <row r="634" spans="1:13" s="3" customFormat="1" ht="12" customHeight="1">
      <c r="A634" s="22"/>
      <c r="B634" s="105"/>
      <c r="C634" s="105"/>
      <c r="D634" s="105"/>
      <c r="E634" s="105"/>
      <c r="F634" s="120" t="s">
        <v>697</v>
      </c>
      <c r="G634" s="109">
        <f>J88</f>
        <v>427.48</v>
      </c>
      <c r="H634" s="104">
        <f>H400</f>
        <v>427.48</v>
      </c>
      <c r="I634" s="140" t="s">
        <v>504</v>
      </c>
      <c r="J634" s="109">
        <f t="shared" si="51"/>
        <v>0</v>
      </c>
      <c r="K634" s="85"/>
      <c r="L634" s="88"/>
      <c r="M634" s="8"/>
    </row>
    <row r="635" spans="1:13" s="3" customFormat="1" ht="12" customHeight="1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51"/>
        <v>0</v>
      </c>
      <c r="K635" s="85"/>
      <c r="L635" s="88"/>
      <c r="M635" s="8"/>
    </row>
    <row r="636" spans="1:13" s="3" customFormat="1" ht="12" customHeight="1">
      <c r="A636" s="22"/>
      <c r="B636" s="105"/>
      <c r="C636" s="105"/>
      <c r="D636" s="105"/>
      <c r="E636" s="105"/>
      <c r="F636" s="120" t="s">
        <v>696</v>
      </c>
      <c r="G636" s="109">
        <f>J185</f>
        <v>427.48</v>
      </c>
      <c r="H636" s="104">
        <f>L400</f>
        <v>427.48</v>
      </c>
      <c r="I636" s="140" t="s">
        <v>501</v>
      </c>
      <c r="J636" s="109">
        <f t="shared" si="51"/>
        <v>0</v>
      </c>
      <c r="K636" s="85"/>
      <c r="L636" s="88"/>
      <c r="M636" s="8"/>
    </row>
    <row r="637" spans="1:13" s="3" customFormat="1" ht="12" customHeight="1">
      <c r="A637" s="22"/>
      <c r="B637" s="105"/>
      <c r="C637" s="105"/>
      <c r="D637" s="105"/>
      <c r="E637" s="105"/>
      <c r="F637" s="120" t="s">
        <v>51</v>
      </c>
      <c r="G637" s="109">
        <f>K588</f>
        <v>644589.02999999991</v>
      </c>
      <c r="H637" s="104">
        <f>L200+L218+L236</f>
        <v>644589.03</v>
      </c>
      <c r="I637" s="140" t="s">
        <v>420</v>
      </c>
      <c r="J637" s="109">
        <f t="shared" si="51"/>
        <v>0</v>
      </c>
      <c r="K637" s="85"/>
      <c r="L637" s="88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52</v>
      </c>
      <c r="G638" s="109">
        <f>K595</f>
        <v>70104.28</v>
      </c>
      <c r="H638" s="104">
        <f>(J249+J330)-(J247+J328)</f>
        <v>70104.28</v>
      </c>
      <c r="I638" s="140" t="s">
        <v>734</v>
      </c>
      <c r="J638" s="109">
        <f t="shared" si="51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411</v>
      </c>
      <c r="G639" s="109">
        <f>L200</f>
        <v>644589.03</v>
      </c>
      <c r="H639" s="104">
        <f>H588</f>
        <v>644589.02999999991</v>
      </c>
      <c r="I639" s="140" t="s">
        <v>412</v>
      </c>
      <c r="J639" s="109">
        <f t="shared" si="51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51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51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51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51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51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51"/>
        <v>0</v>
      </c>
      <c r="K645" s="85"/>
      <c r="L645" s="88"/>
      <c r="M645" s="8"/>
    </row>
    <row r="646" spans="1:13" s="3" customFormat="1" ht="12" customHeight="1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>
      <c r="A650" s="1" t="s">
        <v>139</v>
      </c>
      <c r="F650" s="19">
        <f>(L203+L282+L350)</f>
        <v>10612501.869999999</v>
      </c>
      <c r="G650" s="19">
        <f>(L221+L301+L351)</f>
        <v>137803.73000000001</v>
      </c>
      <c r="H650" s="19">
        <f>(L239+L320+L352)</f>
        <v>437564.44</v>
      </c>
      <c r="I650" s="19">
        <f>SUM(F650:H650)</f>
        <v>11187870.039999999</v>
      </c>
      <c r="J650" s="13"/>
      <c r="K650" s="13"/>
      <c r="L650" s="13"/>
      <c r="M650" s="9"/>
    </row>
    <row r="651" spans="1:13" s="3" customFormat="1" ht="12" customHeight="1">
      <c r="A651" s="1" t="s">
        <v>140</v>
      </c>
      <c r="F651" s="19">
        <f>(L350/IF(SUM(L350:L352)=0,1,SUM(L350:L352))*(SUM(G89:G102)))</f>
        <v>119015.4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119015.4</v>
      </c>
      <c r="J651"/>
      <c r="K651" s="13"/>
      <c r="L651" s="13"/>
      <c r="M651" s="9"/>
    </row>
    <row r="652" spans="1:13" s="3" customFormat="1" ht="12" customHeight="1">
      <c r="A652" s="1" t="s">
        <v>141</v>
      </c>
      <c r="F652" s="19">
        <f>(L200+L279)-(J200+J279)</f>
        <v>644589.03</v>
      </c>
      <c r="G652" s="19">
        <f>(L218+L298)-(J218+J298)</f>
        <v>0</v>
      </c>
      <c r="H652" s="19">
        <f>(L236+L317)-(J236+J317)</f>
        <v>0</v>
      </c>
      <c r="I652" s="19">
        <f>SUM(F652:H652)</f>
        <v>644589.03</v>
      </c>
      <c r="J652"/>
      <c r="K652" s="13"/>
      <c r="L652" s="13"/>
      <c r="M652" s="9"/>
    </row>
    <row r="653" spans="1:13" s="3" customFormat="1" ht="12" customHeight="1">
      <c r="A653" s="199" t="s">
        <v>142</v>
      </c>
      <c r="B653" s="169"/>
      <c r="C653" s="169"/>
      <c r="D653" s="169"/>
      <c r="E653" s="169"/>
      <c r="F653" s="200">
        <f>SUM(F565:F577)+SUM(H592:H594)+SUM(L601)</f>
        <v>2295619.9</v>
      </c>
      <c r="G653" s="200">
        <f>SUM(G565:G577)+SUM(I592:I594)+L602</f>
        <v>137803.73000000001</v>
      </c>
      <c r="H653" s="200">
        <f>SUM(H565:H577)+SUM(J592:J594)+L603</f>
        <v>437564.44</v>
      </c>
      <c r="I653" s="19">
        <f>SUM(F653:H653)</f>
        <v>2870988.07</v>
      </c>
      <c r="J653" s="13"/>
      <c r="K653" s="13"/>
      <c r="L653" s="13"/>
      <c r="M653" s="9"/>
    </row>
    <row r="654" spans="1:13" s="3" customFormat="1" ht="12" customHeight="1">
      <c r="A654" s="1" t="s">
        <v>143</v>
      </c>
      <c r="F654" s="19">
        <f>F650-SUM(F651:F653)</f>
        <v>7553277.5399999991</v>
      </c>
      <c r="G654" s="19">
        <f>G650-SUM(G651:G653)</f>
        <v>0</v>
      </c>
      <c r="H654" s="19">
        <f>H650-SUM(H651:H653)</f>
        <v>0</v>
      </c>
      <c r="I654" s="19">
        <f>I650-SUM(I651:I653)</f>
        <v>7553277.5399999991</v>
      </c>
      <c r="J654" s="13"/>
      <c r="K654" s="13"/>
      <c r="L654" s="13"/>
      <c r="M654" s="8"/>
    </row>
    <row r="655" spans="1:13" s="3" customFormat="1" ht="12" customHeight="1">
      <c r="A655" s="1" t="s">
        <v>144</v>
      </c>
      <c r="F655" s="248">
        <v>465.16</v>
      </c>
      <c r="G655" s="249"/>
      <c r="H655" s="249"/>
      <c r="I655" s="19">
        <f>SUM(F655:H655)</f>
        <v>465.16</v>
      </c>
      <c r="J655" s="13"/>
      <c r="K655" s="13"/>
      <c r="L655" s="13"/>
      <c r="M655" s="9"/>
    </row>
    <row r="656" spans="1:13" s="3" customFormat="1" ht="12" customHeight="1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146</v>
      </c>
      <c r="F657" s="19">
        <f>ROUND(F654/F655,2)</f>
        <v>16238.02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16238.02</v>
      </c>
      <c r="J657" s="13"/>
      <c r="K657" s="13"/>
      <c r="L657" s="13"/>
      <c r="M657" s="8"/>
    </row>
    <row r="658" spans="1:13" s="3" customFormat="1" ht="12" customHeight="1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16238.02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16238.02</v>
      </c>
      <c r="J662" s="13"/>
      <c r="K662" s="13"/>
      <c r="L662" s="13"/>
      <c r="M662" s="9"/>
    </row>
    <row r="663" spans="1:13" s="3" customFormat="1" ht="12" customHeight="1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Set="0"/>
  <pageMargins left="0.3" right="0.3" top="0.75" bottom="0.75" header="0.5" footer="0.5"/>
  <pageSetup scale="75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75FD-A553-4BB4-A3BF-DA7DF02B213F}">
  <sheetPr>
    <tabColor indexed="20"/>
  </sheetPr>
  <dimension ref="A1:C52"/>
  <sheetViews>
    <sheetView showGridLines="0" zoomScale="125" zoomScaleNormal="125" workbookViewId="0">
      <selection activeCell="C36" sqref="C36"/>
    </sheetView>
  </sheetViews>
  <sheetFormatPr defaultColWidth="9" defaultRowHeight="11.25"/>
  <cols>
    <col min="1" max="1" width="26.6640625" customWidth="1"/>
    <col min="2" max="2" width="33.83203125" customWidth="1"/>
    <col min="3" max="3" width="29.33203125" customWidth="1"/>
  </cols>
  <sheetData>
    <row r="1" spans="1:3">
      <c r="A1" s="234" t="s">
        <v>816</v>
      </c>
      <c r="B1" s="233" t="str">
        <f>'DOE25'!A2</f>
        <v>Hanover SD</v>
      </c>
      <c r="C1" s="239" t="s">
        <v>870</v>
      </c>
    </row>
    <row r="2" spans="1:3">
      <c r="A2" s="234"/>
      <c r="B2" s="233"/>
    </row>
    <row r="3" spans="1:3">
      <c r="A3" s="275" t="s">
        <v>815</v>
      </c>
      <c r="B3" s="275"/>
      <c r="C3" s="275"/>
    </row>
    <row r="4" spans="1:3">
      <c r="A4" s="237"/>
      <c r="B4" s="238" t="str">
        <f>'DOE25'!H1</f>
        <v>DOE 25  2010-2011</v>
      </c>
      <c r="C4" s="237"/>
    </row>
    <row r="5" spans="1:3">
      <c r="A5" s="234"/>
      <c r="B5" s="233"/>
    </row>
    <row r="6" spans="1:3">
      <c r="A6" s="228"/>
      <c r="B6" s="274" t="s">
        <v>814</v>
      </c>
      <c r="C6" s="274"/>
    </row>
    <row r="7" spans="1:3">
      <c r="A7" s="240" t="s">
        <v>817</v>
      </c>
      <c r="B7" s="272" t="s">
        <v>813</v>
      </c>
      <c r="C7" s="273"/>
    </row>
    <row r="8" spans="1:3">
      <c r="B8" s="229" t="s">
        <v>54</v>
      </c>
      <c r="C8" s="229" t="s">
        <v>807</v>
      </c>
    </row>
    <row r="9" spans="1:3">
      <c r="A9" s="33" t="s">
        <v>808</v>
      </c>
      <c r="B9" s="230">
        <f>'DOE25'!F189+'DOE25'!F207+'DOE25'!F225+'DOE25'!F268+'DOE25'!F287+'DOE25'!F306</f>
        <v>2756993.35</v>
      </c>
      <c r="C9" s="230">
        <f>'DOE25'!G189+'DOE25'!G207+'DOE25'!G225+'DOE25'!G268+'DOE25'!G287+'DOE25'!G306</f>
        <v>1076354.8</v>
      </c>
    </row>
    <row r="10" spans="1:3">
      <c r="A10" t="s">
        <v>810</v>
      </c>
      <c r="B10" s="241">
        <v>2447181.91</v>
      </c>
      <c r="C10" s="241">
        <v>955401.6498812621</v>
      </c>
    </row>
    <row r="11" spans="1:3">
      <c r="A11" t="s">
        <v>811</v>
      </c>
      <c r="B11" s="241">
        <v>221719.64</v>
      </c>
      <c r="C11" s="241">
        <v>86561.325499124621</v>
      </c>
    </row>
    <row r="12" spans="1:3">
      <c r="A12" t="s">
        <v>812</v>
      </c>
      <c r="B12" s="241">
        <v>88091.799999999814</v>
      </c>
      <c r="C12" s="241">
        <v>34391.82461961318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2756993.35</v>
      </c>
      <c r="C13" s="232">
        <f>SUM(C10:C12)</f>
        <v>1076354.7999999998</v>
      </c>
    </row>
    <row r="14" spans="1:3">
      <c r="B14" s="231"/>
      <c r="C14" s="231"/>
    </row>
    <row r="15" spans="1:3">
      <c r="B15" s="274" t="s">
        <v>814</v>
      </c>
      <c r="C15" s="274"/>
    </row>
    <row r="16" spans="1:3">
      <c r="A16" s="240" t="s">
        <v>818</v>
      </c>
      <c r="B16" s="272" t="s">
        <v>738</v>
      </c>
      <c r="C16" s="273"/>
    </row>
    <row r="17" spans="1:3">
      <c r="B17" s="229" t="s">
        <v>54</v>
      </c>
      <c r="C17" s="229" t="s">
        <v>807</v>
      </c>
    </row>
    <row r="18" spans="1:3">
      <c r="A18" s="33" t="s">
        <v>808</v>
      </c>
      <c r="B18" s="230">
        <f>'DOE25'!F190+'DOE25'!F208+'DOE25'!F226+'DOE25'!F269+'DOE25'!F288+'DOE25'!F307</f>
        <v>1235794</v>
      </c>
      <c r="C18" s="230">
        <f>'DOE25'!G190+'DOE25'!G208+'DOE25'!G226+'DOE25'!G269+'DOE25'!G288+'DOE25'!G307</f>
        <v>457300.78</v>
      </c>
    </row>
    <row r="19" spans="1:3">
      <c r="A19" t="s">
        <v>810</v>
      </c>
      <c r="B19" s="241">
        <v>727860.89</v>
      </c>
      <c r="C19" s="241">
        <v>269342.1012955996</v>
      </c>
    </row>
    <row r="20" spans="1:3">
      <c r="A20" t="s">
        <v>811</v>
      </c>
      <c r="B20" s="241">
        <v>507933.11</v>
      </c>
      <c r="C20" s="241">
        <v>187958.67870440043</v>
      </c>
    </row>
    <row r="21" spans="1:3">
      <c r="A21" t="s">
        <v>812</v>
      </c>
      <c r="B21" s="241">
        <v>0</v>
      </c>
      <c r="C21" s="241">
        <v>0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1235794</v>
      </c>
      <c r="C22" s="232">
        <f>SUM(C19:C21)</f>
        <v>457300.78</v>
      </c>
    </row>
    <row r="23" spans="1:3">
      <c r="B23" s="231"/>
      <c r="C23" s="231"/>
    </row>
    <row r="24" spans="1:3">
      <c r="B24" s="274" t="s">
        <v>814</v>
      </c>
      <c r="C24" s="274"/>
    </row>
    <row r="25" spans="1:3">
      <c r="A25" s="240" t="s">
        <v>819</v>
      </c>
      <c r="B25" s="272" t="s">
        <v>739</v>
      </c>
      <c r="C25" s="273"/>
    </row>
    <row r="26" spans="1:3">
      <c r="B26" s="229" t="s">
        <v>54</v>
      </c>
      <c r="C26" s="229" t="s">
        <v>807</v>
      </c>
    </row>
    <row r="27" spans="1:3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>
      <c r="A28" t="s">
        <v>810</v>
      </c>
      <c r="B28" s="241">
        <v>0</v>
      </c>
      <c r="C28" s="241">
        <v>0</v>
      </c>
    </row>
    <row r="29" spans="1:3">
      <c r="A29" t="s">
        <v>811</v>
      </c>
      <c r="B29" s="241">
        <v>0</v>
      </c>
      <c r="C29" s="241">
        <v>0</v>
      </c>
    </row>
    <row r="30" spans="1:3">
      <c r="A30" t="s">
        <v>812</v>
      </c>
      <c r="B30" s="241">
        <v>0</v>
      </c>
      <c r="C30" s="241">
        <v>0</v>
      </c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4" t="s">
        <v>814</v>
      </c>
      <c r="C33" s="274"/>
    </row>
    <row r="34" spans="1:3">
      <c r="A34" s="240" t="s">
        <v>820</v>
      </c>
      <c r="B34" s="272" t="s">
        <v>740</v>
      </c>
      <c r="C34" s="273"/>
    </row>
    <row r="35" spans="1:3">
      <c r="B35" s="229" t="s">
        <v>54</v>
      </c>
      <c r="C35" s="229" t="s">
        <v>807</v>
      </c>
    </row>
    <row r="36" spans="1:3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>
      <c r="A37" t="s">
        <v>810</v>
      </c>
      <c r="B37" s="241">
        <v>0</v>
      </c>
      <c r="C37" s="241">
        <v>0</v>
      </c>
    </row>
    <row r="38" spans="1:3">
      <c r="A38" t="s">
        <v>811</v>
      </c>
      <c r="B38" s="241">
        <v>0</v>
      </c>
      <c r="C38" s="241">
        <v>0</v>
      </c>
    </row>
    <row r="39" spans="1:3">
      <c r="A39" t="s">
        <v>812</v>
      </c>
      <c r="B39" s="241">
        <v>0</v>
      </c>
      <c r="C39" s="241">
        <v>0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>
      <c r="B41" s="231"/>
      <c r="C41" s="231"/>
    </row>
    <row r="42" spans="1:3">
      <c r="A42" s="33" t="s">
        <v>868</v>
      </c>
      <c r="B42" s="231"/>
      <c r="C42" s="231"/>
    </row>
    <row r="43" spans="1:3">
      <c r="A43" t="s">
        <v>872</v>
      </c>
      <c r="B43" s="231"/>
      <c r="C43" s="231"/>
    </row>
    <row r="44" spans="1:3">
      <c r="A44" t="s">
        <v>873</v>
      </c>
    </row>
    <row r="45" spans="1:3">
      <c r="A45" t="s">
        <v>874</v>
      </c>
    </row>
    <row r="48" spans="1:3">
      <c r="A48" s="265" t="s">
        <v>809</v>
      </c>
    </row>
    <row r="49" spans="1:1">
      <c r="A49" s="269" t="s">
        <v>875</v>
      </c>
    </row>
    <row r="50" spans="1:1">
      <c r="A50" s="269" t="s">
        <v>869</v>
      </c>
    </row>
    <row r="51" spans="1:1">
      <c r="A51" s="269" t="s">
        <v>876</v>
      </c>
    </row>
    <row r="52" spans="1:1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B4A0-57BB-446E-9712-33D4AEE04D6A}">
  <sheetPr>
    <tabColor indexed="11"/>
    <pageSetUpPr fitToPage="1"/>
  </sheetPr>
  <dimension ref="A1:I51"/>
  <sheetViews>
    <sheetView showGridLines="0" zoomScale="75" zoomScaleNormal="150" workbookViewId="0">
      <pane ySplit="4" topLeftCell="A5" activePane="bottomLeft" state="frozen"/>
      <selection pane="bottomLeft" activeCell="D12" sqref="D12"/>
    </sheetView>
  </sheetViews>
  <sheetFormatPr defaultColWidth="9" defaultRowHeight="11.25"/>
  <cols>
    <col min="1" max="1" width="10.83203125" customWidth="1"/>
    <col min="2" max="2" width="41.1640625" customWidth="1"/>
    <col min="3" max="3" width="16.164062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4" t="s">
        <v>821</v>
      </c>
      <c r="B1" s="279"/>
      <c r="C1" s="279"/>
      <c r="D1" s="279"/>
      <c r="E1" s="279"/>
      <c r="F1" s="279"/>
      <c r="G1" s="279"/>
      <c r="H1" s="279"/>
      <c r="I1" s="181"/>
    </row>
    <row r="2" spans="1:9">
      <c r="A2" s="33" t="s">
        <v>748</v>
      </c>
      <c r="B2" s="266" t="str">
        <f>'DOE25'!A2</f>
        <v>Hanover SD</v>
      </c>
      <c r="C2" s="181"/>
      <c r="D2" s="181" t="s">
        <v>823</v>
      </c>
      <c r="E2" s="181" t="s">
        <v>825</v>
      </c>
      <c r="F2" s="276" t="s">
        <v>852</v>
      </c>
      <c r="G2" s="277"/>
      <c r="H2" s="278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>
      <c r="A5" s="32">
        <v>1000</v>
      </c>
      <c r="B5" t="s">
        <v>218</v>
      </c>
      <c r="C5" s="246">
        <f t="shared" ref="C5:C19" si="0">SUM(D5:H5)</f>
        <v>8468135.2899999991</v>
      </c>
      <c r="D5" s="20">
        <f>SUM('DOE25'!L189:L192)+SUM('DOE25'!L207:L210)+SUM('DOE25'!L225:L228)-F5-G5</f>
        <v>8396830.4299999997</v>
      </c>
      <c r="E5" s="244"/>
      <c r="F5" s="256">
        <f>SUM('DOE25'!J189:J192)+SUM('DOE25'!J207:J210)+SUM('DOE25'!J225:J228)</f>
        <v>51674.51</v>
      </c>
      <c r="G5" s="53">
        <f>SUM('DOE25'!K189:K192)+SUM('DOE25'!K207:K210)+SUM('DOE25'!K225:K228)</f>
        <v>19630.349999999999</v>
      </c>
      <c r="H5" s="260"/>
    </row>
    <row r="6" spans="1:9">
      <c r="A6" s="32">
        <v>2100</v>
      </c>
      <c r="B6" t="s">
        <v>832</v>
      </c>
      <c r="C6" s="246">
        <f t="shared" si="0"/>
        <v>263710.39999999997</v>
      </c>
      <c r="D6" s="20">
        <f>'DOE25'!L194+'DOE25'!L212+'DOE25'!L230-F6-G6</f>
        <v>263505.39999999997</v>
      </c>
      <c r="E6" s="244"/>
      <c r="F6" s="256">
        <f>'DOE25'!J194+'DOE25'!J212+'DOE25'!J230</f>
        <v>0</v>
      </c>
      <c r="G6" s="53">
        <f>'DOE25'!K194+'DOE25'!K212+'DOE25'!K230</f>
        <v>205</v>
      </c>
      <c r="H6" s="260"/>
    </row>
    <row r="7" spans="1:9">
      <c r="A7" s="32">
        <v>2200</v>
      </c>
      <c r="B7" t="s">
        <v>865</v>
      </c>
      <c r="C7" s="246">
        <f t="shared" si="0"/>
        <v>313560.81000000006</v>
      </c>
      <c r="D7" s="20">
        <f>'DOE25'!L195+'DOE25'!L213+'DOE25'!L231-F7-G7</f>
        <v>312406.91000000003</v>
      </c>
      <c r="E7" s="244"/>
      <c r="F7" s="256">
        <f>'DOE25'!J195+'DOE25'!J213+'DOE25'!J231</f>
        <v>1153.9000000000001</v>
      </c>
      <c r="G7" s="53">
        <f>'DOE25'!K195+'DOE25'!K213+'DOE25'!K231</f>
        <v>0</v>
      </c>
      <c r="H7" s="260"/>
    </row>
    <row r="8" spans="1:9">
      <c r="A8" s="32">
        <v>2300</v>
      </c>
      <c r="B8" t="s">
        <v>833</v>
      </c>
      <c r="C8" s="246">
        <f t="shared" si="0"/>
        <v>203149.66999999998</v>
      </c>
      <c r="D8" s="244"/>
      <c r="E8" s="20">
        <f>'DOE25'!L196+'DOE25'!L214+'DOE25'!L232-F8-G8-D9-D11</f>
        <v>195677.52</v>
      </c>
      <c r="F8" s="256">
        <f>'DOE25'!J196+'DOE25'!J214+'DOE25'!J232</f>
        <v>0</v>
      </c>
      <c r="G8" s="53">
        <f>'DOE25'!K196+'DOE25'!K214+'DOE25'!K232</f>
        <v>7472.15</v>
      </c>
      <c r="H8" s="260"/>
    </row>
    <row r="9" spans="1:9">
      <c r="A9" s="32">
        <v>2310</v>
      </c>
      <c r="B9" t="s">
        <v>849</v>
      </c>
      <c r="C9" s="246">
        <f t="shared" si="0"/>
        <v>48112.57</v>
      </c>
      <c r="D9" s="245">
        <v>48112.57</v>
      </c>
      <c r="E9" s="244"/>
      <c r="F9" s="259"/>
      <c r="G9" s="257"/>
      <c r="H9" s="260"/>
    </row>
    <row r="10" spans="1:9">
      <c r="A10" s="32">
        <v>2317</v>
      </c>
      <c r="B10" t="s">
        <v>850</v>
      </c>
      <c r="C10" s="246">
        <f t="shared" si="0"/>
        <v>10905.5</v>
      </c>
      <c r="D10" s="244"/>
      <c r="E10" s="245">
        <v>10905.5</v>
      </c>
      <c r="F10" s="259"/>
      <c r="G10" s="257"/>
      <c r="H10" s="260"/>
    </row>
    <row r="11" spans="1:9">
      <c r="A11" s="32">
        <v>2321</v>
      </c>
      <c r="B11" t="s">
        <v>862</v>
      </c>
      <c r="C11" s="246">
        <f t="shared" si="0"/>
        <v>61178.720000000001</v>
      </c>
      <c r="D11" s="245">
        <v>61178.720000000001</v>
      </c>
      <c r="E11" s="244"/>
      <c r="F11" s="259"/>
      <c r="G11" s="257"/>
      <c r="H11" s="260"/>
    </row>
    <row r="12" spans="1:9">
      <c r="A12" s="32">
        <v>2400</v>
      </c>
      <c r="B12" t="s">
        <v>746</v>
      </c>
      <c r="C12" s="246">
        <f t="shared" si="0"/>
        <v>401054.22</v>
      </c>
      <c r="D12" s="20">
        <f>'DOE25'!L197+'DOE25'!L215+'DOE25'!L233-F12-G12</f>
        <v>399320.3</v>
      </c>
      <c r="E12" s="244"/>
      <c r="F12" s="256">
        <f>'DOE25'!J197+'DOE25'!J215+'DOE25'!J233</f>
        <v>994.92</v>
      </c>
      <c r="G12" s="53">
        <f>'DOE25'!K197+'DOE25'!K215+'DOE25'!K233</f>
        <v>739</v>
      </c>
      <c r="H12" s="260"/>
    </row>
    <row r="13" spans="1:9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>
      <c r="A14" s="32">
        <v>2600</v>
      </c>
      <c r="B14" t="s">
        <v>863</v>
      </c>
      <c r="C14" s="246">
        <f t="shared" si="0"/>
        <v>474665.57000000007</v>
      </c>
      <c r="D14" s="20">
        <f>'DOE25'!L199+'DOE25'!L217+'DOE25'!L235-F14-G14</f>
        <v>473471.72000000009</v>
      </c>
      <c r="E14" s="244"/>
      <c r="F14" s="256">
        <f>'DOE25'!J199+'DOE25'!J217+'DOE25'!J235</f>
        <v>1193.8499999999999</v>
      </c>
      <c r="G14" s="53">
        <f>'DOE25'!K199+'DOE25'!K217+'DOE25'!K235</f>
        <v>0</v>
      </c>
      <c r="H14" s="260"/>
    </row>
    <row r="15" spans="1:9">
      <c r="A15" s="32">
        <v>2700</v>
      </c>
      <c r="B15" t="s">
        <v>835</v>
      </c>
      <c r="C15" s="246">
        <f t="shared" si="0"/>
        <v>644589.03</v>
      </c>
      <c r="D15" s="20">
        <f>'DOE25'!L200+'DOE25'!L218+'DOE25'!L236-F15-G15</f>
        <v>644589.03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>
      <c r="F20" s="261"/>
      <c r="G20" s="52"/>
      <c r="H20" s="262"/>
    </row>
    <row r="21" spans="1:8">
      <c r="B21" s="33" t="s">
        <v>827</v>
      </c>
      <c r="F21" s="261"/>
      <c r="G21" s="52"/>
      <c r="H21" s="262"/>
    </row>
    <row r="22" spans="1:8">
      <c r="A22" s="32">
        <v>4000</v>
      </c>
      <c r="B22" t="s">
        <v>864</v>
      </c>
      <c r="C22" s="246">
        <f>SUM(D22:H22)</f>
        <v>36610.120000000003</v>
      </c>
      <c r="D22" s="244"/>
      <c r="E22" s="244"/>
      <c r="F22" s="256">
        <f>'DOE25'!L247+'DOE25'!L328</f>
        <v>36610.120000000003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487</v>
      </c>
      <c r="F24" s="261"/>
      <c r="G24" s="52"/>
      <c r="H24" s="262"/>
    </row>
    <row r="25" spans="1:8">
      <c r="A25" s="32" t="s">
        <v>840</v>
      </c>
      <c r="B25" t="s">
        <v>841</v>
      </c>
      <c r="C25" s="246">
        <f>SUM(D25:H25)</f>
        <v>263625</v>
      </c>
      <c r="D25" s="244"/>
      <c r="E25" s="244"/>
      <c r="F25" s="259"/>
      <c r="G25" s="257"/>
      <c r="H25" s="258">
        <f>'DOE25'!L252+'DOE25'!L253+'DOE25'!L333+'DOE25'!L334</f>
        <v>263625</v>
      </c>
    </row>
    <row r="26" spans="1:8">
      <c r="A26" s="32"/>
      <c r="F26" s="261"/>
      <c r="G26" s="52"/>
      <c r="H26" s="262"/>
    </row>
    <row r="27" spans="1:8">
      <c r="A27" s="32"/>
      <c r="B27" s="33" t="s">
        <v>843</v>
      </c>
      <c r="F27" s="261"/>
      <c r="G27" s="52"/>
      <c r="H27" s="262"/>
    </row>
    <row r="28" spans="1:8">
      <c r="A28" s="32">
        <v>3100</v>
      </c>
      <c r="B28" t="s">
        <v>856</v>
      </c>
      <c r="F28" s="261"/>
      <c r="G28" s="52"/>
      <c r="H28" s="262"/>
    </row>
    <row r="29" spans="1:8">
      <c r="A29" s="32"/>
      <c r="B29" t="s">
        <v>844</v>
      </c>
      <c r="C29" s="246">
        <f>SUM(D29:H29)</f>
        <v>59103.530000000006</v>
      </c>
      <c r="D29" s="20">
        <f>'DOE25'!L350+'DOE25'!L351+'DOE25'!L352-'DOE25'!I359-F29-G29</f>
        <v>58760.530000000006</v>
      </c>
      <c r="E29" s="244"/>
      <c r="F29" s="256">
        <f>'DOE25'!J350+'DOE25'!J351+'DOE25'!J352</f>
        <v>343</v>
      </c>
      <c r="G29" s="53">
        <f>'DOE25'!K350+'DOE25'!K351+'DOE25'!K352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858</v>
      </c>
      <c r="B31" t="s">
        <v>857</v>
      </c>
      <c r="C31" s="246">
        <f>SUM(D31:H31)</f>
        <v>185529.84999999998</v>
      </c>
      <c r="D31" s="20">
        <f>'DOE25'!L282+'DOE25'!L301+'DOE25'!L320+'DOE25'!L325+'DOE25'!L326+'DOE25'!L327-F31-G31</f>
        <v>170442.74999999997</v>
      </c>
      <c r="E31" s="244"/>
      <c r="F31" s="256">
        <f>'DOE25'!J282+'DOE25'!J301+'DOE25'!J320+'DOE25'!J325+'DOE25'!J326+'DOE25'!J327</f>
        <v>15087.1</v>
      </c>
      <c r="G31" s="53">
        <f>'DOE25'!K282+'DOE25'!K301+'DOE25'!K320+'DOE25'!K325+'DOE25'!K326+'DOE25'!K327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845</v>
      </c>
      <c r="D33" s="247">
        <f>SUM(D5:D31)</f>
        <v>10828618.360000001</v>
      </c>
      <c r="E33" s="247">
        <f>SUM(E5:E31)</f>
        <v>206583.02</v>
      </c>
      <c r="F33" s="247">
        <f>SUM(F5:F31)</f>
        <v>107057.40000000001</v>
      </c>
      <c r="G33" s="247">
        <f>SUM(G5:G31)</f>
        <v>28046.5</v>
      </c>
      <c r="H33" s="247">
        <f>SUM(H5:H31)</f>
        <v>263625</v>
      </c>
    </row>
    <row r="35" spans="2:8" ht="12" thickBot="1">
      <c r="B35" s="254" t="s">
        <v>878</v>
      </c>
      <c r="D35" s="255">
        <f>E33</f>
        <v>206583.02</v>
      </c>
      <c r="E35" s="250"/>
    </row>
    <row r="36" spans="2:8" ht="12" thickTop="1">
      <c r="B36" t="s">
        <v>846</v>
      </c>
      <c r="D36" s="20">
        <f>D33</f>
        <v>10828618.360000001</v>
      </c>
    </row>
    <row r="38" spans="2:8">
      <c r="B38" s="187" t="s">
        <v>887</v>
      </c>
      <c r="C38" s="267"/>
      <c r="D38" s="268"/>
    </row>
    <row r="39" spans="2:8">
      <c r="B39" t="s">
        <v>855</v>
      </c>
      <c r="D39" s="181" t="str">
        <f>IF(E10&gt;0,"Y","N")</f>
        <v>Y</v>
      </c>
    </row>
    <row r="41" spans="2:8">
      <c r="B41" s="265" t="s">
        <v>802</v>
      </c>
    </row>
    <row r="42" spans="2:8">
      <c r="B42" t="s">
        <v>859</v>
      </c>
    </row>
    <row r="43" spans="2:8">
      <c r="B43" t="s">
        <v>853</v>
      </c>
    </row>
    <row r="45" spans="2:8">
      <c r="B45" t="s">
        <v>851</v>
      </c>
    </row>
    <row r="47" spans="2:8">
      <c r="B47" t="s">
        <v>861</v>
      </c>
    </row>
    <row r="48" spans="2:8">
      <c r="B48" t="s">
        <v>877</v>
      </c>
    </row>
    <row r="49" spans="2:2">
      <c r="B49" t="s">
        <v>867</v>
      </c>
    </row>
    <row r="50" spans="2:2">
      <c r="B50" t="s">
        <v>860</v>
      </c>
    </row>
    <row r="51" spans="2: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rintOptions gridLines="1"/>
  <pageMargins left="0.5" right="0.5" top="0.5" bottom="0.5" header="0.5" footer="0.5"/>
  <pageSetup scale="9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366B-0ED7-4979-A152-EBBF533283A8}">
  <sheetPr transitionEvaluation="1" codeName="Sheet2">
    <tabColor indexed="10"/>
  </sheetPr>
  <dimension ref="A1:I156"/>
  <sheetViews>
    <sheetView showGridLines="0" zoomScale="150" zoomScaleNormal="150" workbookViewId="0">
      <pane ySplit="2" topLeftCell="A20" activePane="bottomLeft" state="frozen"/>
      <selection pane="bottomLeft" activeCell="A60" sqref="A60"/>
    </sheetView>
  </sheetViews>
  <sheetFormatPr defaultColWidth="9" defaultRowHeight="11.25"/>
  <cols>
    <col min="1" max="1" width="47.16406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Hanover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>
      <c r="A9" s="1" t="s">
        <v>152</v>
      </c>
      <c r="B9" s="6">
        <v>100</v>
      </c>
      <c r="C9" s="95">
        <f>'DOE25'!F9</f>
        <v>-20593.28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125559.91</v>
      </c>
      <c r="H9" s="124"/>
      <c r="I9" s="124"/>
    </row>
    <row r="10" spans="1:9">
      <c r="A10" s="1" t="s">
        <v>153</v>
      </c>
      <c r="B10" s="6">
        <v>110</v>
      </c>
      <c r="C10" s="95">
        <f>'DOE25'!F10</f>
        <v>22948.3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>
      <c r="A13" s="1" t="s">
        <v>156</v>
      </c>
      <c r="B13" s="6">
        <v>140</v>
      </c>
      <c r="C13" s="95">
        <f>'DOE25'!F13</f>
        <v>25387.83</v>
      </c>
      <c r="D13" s="95">
        <f>'DOE25'!G13</f>
        <v>2636.94</v>
      </c>
      <c r="E13" s="95">
        <f>'DOE25'!H13</f>
        <v>41223.800000000003</v>
      </c>
      <c r="F13" s="95">
        <f>'DOE25'!I13</f>
        <v>0</v>
      </c>
      <c r="G13" s="95">
        <f>'DOE25'!J13</f>
        <v>0</v>
      </c>
      <c r="H13" s="124"/>
      <c r="I13" s="124"/>
    </row>
    <row r="14" spans="1:9">
      <c r="A14" s="1" t="s">
        <v>157</v>
      </c>
      <c r="B14" s="6">
        <v>150</v>
      </c>
      <c r="C14" s="95">
        <f>'DOE25'!F14</f>
        <v>5505.09</v>
      </c>
      <c r="D14" s="95">
        <f>'DOE25'!G14</f>
        <v>-25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>
      <c r="A17" s="1" t="s">
        <v>160</v>
      </c>
      <c r="B17" s="6">
        <v>180</v>
      </c>
      <c r="C17" s="95">
        <f>'DOE25'!F17</f>
        <v>11680.04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>
      <c r="A19" s="38" t="s">
        <v>162</v>
      </c>
      <c r="B19" s="39"/>
      <c r="C19" s="41">
        <f>SUM(C9:C18)</f>
        <v>44927.98</v>
      </c>
      <c r="D19" s="41">
        <f>SUM(D9:D18)</f>
        <v>2611.94</v>
      </c>
      <c r="E19" s="41">
        <f>SUM(E9:E18)</f>
        <v>41223.800000000003</v>
      </c>
      <c r="F19" s="41">
        <f>SUM(F9:F18)</f>
        <v>0</v>
      </c>
      <c r="G19" s="41">
        <f>SUM(G9:G18)</f>
        <v>125559.91</v>
      </c>
      <c r="H19" s="124"/>
      <c r="I19" s="124"/>
    </row>
    <row r="20" spans="1:9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>
      <c r="A22" s="1" t="s">
        <v>163</v>
      </c>
      <c r="B22" s="6">
        <v>400</v>
      </c>
      <c r="C22" s="95">
        <f>'DOE25'!F23</f>
        <v>15555.17</v>
      </c>
      <c r="D22" s="95">
        <f>'DOE25'!G23</f>
        <v>-56734.15</v>
      </c>
      <c r="E22" s="95">
        <f>'DOE25'!H23</f>
        <v>41223.81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165</v>
      </c>
      <c r="B24" s="6">
        <v>420</v>
      </c>
      <c r="C24" s="95">
        <f>'DOE25'!F25</f>
        <v>34060.65</v>
      </c>
      <c r="D24" s="95">
        <f>'DOE25'!G25</f>
        <v>400.19</v>
      </c>
      <c r="E24" s="95">
        <f>'DOE25'!H25</f>
        <v>10002.86</v>
      </c>
      <c r="F24" s="95">
        <f>'DOE25'!I25</f>
        <v>0</v>
      </c>
      <c r="G24" s="95">
        <f>'DOE25'!J25</f>
        <v>0</v>
      </c>
      <c r="H24" s="124"/>
      <c r="I24" s="124"/>
    </row>
    <row r="25" spans="1:9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>
      <c r="A30" s="1" t="s">
        <v>171</v>
      </c>
      <c r="B30" s="6">
        <v>480</v>
      </c>
      <c r="C30" s="95">
        <f>'DOE25'!F31</f>
        <v>1700</v>
      </c>
      <c r="D30" s="95">
        <f>'DOE25'!G31</f>
        <v>9430.0499999999993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>
      <c r="A31" s="1" t="s">
        <v>172</v>
      </c>
      <c r="B31" s="71">
        <v>490</v>
      </c>
      <c r="C31" s="95">
        <f>'DOE25'!F32</f>
        <v>46189.030000000006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>
      <c r="A32" s="38" t="s">
        <v>173</v>
      </c>
      <c r="B32" s="2"/>
      <c r="C32" s="41">
        <f>SUM(C22:C31)</f>
        <v>97504.85</v>
      </c>
      <c r="D32" s="41">
        <f>SUM(D22:D31)</f>
        <v>-46903.91</v>
      </c>
      <c r="E32" s="41">
        <f>SUM(E22:E31)</f>
        <v>51226.67</v>
      </c>
      <c r="F32" s="41">
        <f>SUM(F22:F31)</f>
        <v>0</v>
      </c>
      <c r="G32" s="41">
        <f>SUM(G22:G31)</f>
        <v>0</v>
      </c>
      <c r="H32" s="124"/>
      <c r="I32" s="124"/>
    </row>
    <row r="33" spans="1:9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>
      <c r="A40" s="1" t="s">
        <v>180</v>
      </c>
      <c r="B40" s="6">
        <v>760</v>
      </c>
      <c r="C40" s="95">
        <f>'DOE25'!F41</f>
        <v>0</v>
      </c>
      <c r="D40" s="95">
        <f>'DOE25'!G41</f>
        <v>49515.85</v>
      </c>
      <c r="E40" s="95">
        <f>'DOE25'!H41</f>
        <v>-10002.870000000001</v>
      </c>
      <c r="F40" s="95">
        <f>'DOE25'!I41</f>
        <v>0</v>
      </c>
      <c r="G40" s="95">
        <f>'DOE25'!J41</f>
        <v>125559.91</v>
      </c>
      <c r="H40" s="124"/>
      <c r="I40" s="124"/>
    </row>
    <row r="41" spans="1:9" ht="12" thickBot="1">
      <c r="A41" s="1" t="s">
        <v>181</v>
      </c>
      <c r="B41" s="71">
        <v>770</v>
      </c>
      <c r="C41" s="95">
        <f>'DOE25'!F42</f>
        <v>-52576.87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>
      <c r="A42" s="38" t="s">
        <v>182</v>
      </c>
      <c r="B42" s="48"/>
      <c r="C42" s="41">
        <f>SUM(C34:C41)</f>
        <v>-52576.87</v>
      </c>
      <c r="D42" s="41">
        <f>SUM(D34:D41)</f>
        <v>49515.85</v>
      </c>
      <c r="E42" s="41">
        <f>SUM(E34:E41)</f>
        <v>-10002.870000000001</v>
      </c>
      <c r="F42" s="41">
        <f>SUM(F34:F41)</f>
        <v>0</v>
      </c>
      <c r="G42" s="41">
        <f>SUM(G34:G41)</f>
        <v>125559.91</v>
      </c>
      <c r="H42" s="124"/>
      <c r="I42" s="124"/>
    </row>
    <row r="43" spans="1:9" ht="12" thickTop="1">
      <c r="A43" s="38" t="s">
        <v>183</v>
      </c>
      <c r="B43" s="2"/>
      <c r="C43" s="41">
        <f>C42+C32</f>
        <v>44927.98</v>
      </c>
      <c r="D43" s="41">
        <f>D42+D32</f>
        <v>2611.9399999999951</v>
      </c>
      <c r="E43" s="41">
        <f>E42+E32</f>
        <v>41223.799999999996</v>
      </c>
      <c r="F43" s="41">
        <f>F42+F32</f>
        <v>0</v>
      </c>
      <c r="G43" s="41">
        <f>G42+G32</f>
        <v>125559.91</v>
      </c>
      <c r="H43" s="124"/>
      <c r="I43" s="124"/>
    </row>
    <row r="45" spans="1:9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>
      <c r="A48" s="1" t="s">
        <v>185</v>
      </c>
      <c r="B48" s="6" t="s">
        <v>186</v>
      </c>
      <c r="C48" s="95">
        <f>'DOE25'!F52</f>
        <v>8499524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>
      <c r="A49" s="1" t="s">
        <v>187</v>
      </c>
      <c r="B49" s="6" t="s">
        <v>188</v>
      </c>
      <c r="C49" s="95">
        <f>'DOE25'!F71</f>
        <v>7000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>
      <c r="A51" s="69" t="s">
        <v>191</v>
      </c>
      <c r="B51" s="37" t="s">
        <v>192</v>
      </c>
      <c r="C51" s="95">
        <f>'DOE25'!F88</f>
        <v>1634.4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427.48</v>
      </c>
      <c r="H51"/>
      <c r="I51"/>
    </row>
    <row r="52" spans="1:9">
      <c r="A52" s="1" t="s">
        <v>193</v>
      </c>
      <c r="B52" s="118" t="s">
        <v>194</v>
      </c>
      <c r="C52" s="24" t="s">
        <v>312</v>
      </c>
      <c r="D52" s="95">
        <f>'DOE25'!G89</f>
        <v>118929.4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>
      <c r="A53" s="1" t="s">
        <v>195</v>
      </c>
      <c r="B53" s="118" t="s">
        <v>196</v>
      </c>
      <c r="C53" s="95">
        <f>SUM('DOE25'!F90:F102)</f>
        <v>22077.190000000002</v>
      </c>
      <c r="D53" s="95">
        <f>SUM('DOE25'!G90:G102)</f>
        <v>86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>
      <c r="A54" s="29" t="s">
        <v>197</v>
      </c>
      <c r="B54" s="6"/>
      <c r="C54" s="130">
        <f>SUM(C49:C53)</f>
        <v>30711.590000000004</v>
      </c>
      <c r="D54" s="130">
        <f>SUM(D49:D53)</f>
        <v>119015.4</v>
      </c>
      <c r="E54" s="130">
        <f>SUM(E49:E53)</f>
        <v>0</v>
      </c>
      <c r="F54" s="130">
        <f>SUM(F49:F53)</f>
        <v>0</v>
      </c>
      <c r="G54" s="130">
        <f>SUM(G49:G53)</f>
        <v>427.48</v>
      </c>
      <c r="H54"/>
      <c r="I54"/>
    </row>
    <row r="55" spans="1:9" ht="12" thickTop="1">
      <c r="A55" s="29" t="s">
        <v>198</v>
      </c>
      <c r="B55" s="6"/>
      <c r="C55" s="22">
        <f>C48+C54</f>
        <v>8530235.5899999999</v>
      </c>
      <c r="D55" s="22">
        <f>D48+D54</f>
        <v>119015.4</v>
      </c>
      <c r="E55" s="22">
        <f>E48+E54</f>
        <v>0</v>
      </c>
      <c r="F55" s="22">
        <f>F48+F54</f>
        <v>0</v>
      </c>
      <c r="G55" s="22">
        <f>G48+G54</f>
        <v>427.48</v>
      </c>
      <c r="H55"/>
      <c r="I55"/>
    </row>
    <row r="56" spans="1:9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>
      <c r="A58" s="1" t="s">
        <v>888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>
      <c r="A59" s="1" t="s">
        <v>805</v>
      </c>
      <c r="B59" s="6">
        <v>3112</v>
      </c>
      <c r="C59" s="95">
        <f>'DOE25'!F110</f>
        <v>2081669</v>
      </c>
      <c r="D59" s="24"/>
      <c r="E59" s="24"/>
      <c r="F59" s="24"/>
      <c r="G59" s="24"/>
      <c r="H59"/>
      <c r="I59"/>
    </row>
    <row r="60" spans="1:9">
      <c r="A60" s="1" t="s">
        <v>889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>
      <c r="A62" s="29" t="s">
        <v>275</v>
      </c>
      <c r="B62" s="2"/>
      <c r="C62" s="139">
        <f>SUM(C58:C61)</f>
        <v>2081669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>
      <c r="A64" s="1" t="s">
        <v>276</v>
      </c>
      <c r="B64" s="6">
        <v>3210</v>
      </c>
      <c r="C64" s="95">
        <f>'DOE25'!F115</f>
        <v>170412.33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>
      <c r="A67" s="1" t="s">
        <v>279</v>
      </c>
      <c r="B67" s="6">
        <v>3230</v>
      </c>
      <c r="C67" s="95">
        <f>'DOE25'!F118</f>
        <v>136928.06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1802.8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>
      <c r="A70" s="29" t="s">
        <v>282</v>
      </c>
      <c r="B70" s="6"/>
      <c r="C70" s="130">
        <f>SUM(C64:C69)</f>
        <v>307340.39</v>
      </c>
      <c r="D70" s="130">
        <f>SUM(D64:D69)</f>
        <v>1802.8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>
      <c r="A73" s="29" t="s">
        <v>779</v>
      </c>
      <c r="B73" s="2"/>
      <c r="C73" s="130">
        <f>SUM(C71:C72)+C70+C62</f>
        <v>2389009.39</v>
      </c>
      <c r="D73" s="130">
        <f>SUM(D71:D72)+D70+D62</f>
        <v>1802.8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>
      <c r="A80" t="s">
        <v>782</v>
      </c>
      <c r="B80" s="32" t="s">
        <v>207</v>
      </c>
      <c r="C80" s="95">
        <f>SUM('DOE25'!F145:F153)</f>
        <v>25266.38</v>
      </c>
      <c r="D80" s="95">
        <f>SUM('DOE25'!G145:G153)</f>
        <v>12219.96</v>
      </c>
      <c r="E80" s="95">
        <f>SUM('DOE25'!H145:H153)</f>
        <v>175526.97999999998</v>
      </c>
      <c r="F80" s="95">
        <f>SUM('DOE25'!I145:I153)</f>
        <v>0</v>
      </c>
      <c r="G80" s="24" t="s">
        <v>312</v>
      </c>
    </row>
    <row r="81" spans="1:7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>
      <c r="A82" t="s">
        <v>784</v>
      </c>
      <c r="B82" s="32">
        <v>4810</v>
      </c>
      <c r="C82" s="95">
        <f>'DOE25'!F157</f>
        <v>1424.04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>
      <c r="A83" s="33" t="s">
        <v>785</v>
      </c>
      <c r="C83" s="131">
        <f>SUM(C77:C82)</f>
        <v>26690.420000000002</v>
      </c>
      <c r="D83" s="131">
        <f>SUM(D77:D82)</f>
        <v>12219.96</v>
      </c>
      <c r="E83" s="131">
        <f>SUM(E77:E82)</f>
        <v>175526.97999999998</v>
      </c>
      <c r="F83" s="131">
        <f>SUM(F77:F82)</f>
        <v>0</v>
      </c>
      <c r="G83" s="24" t="s">
        <v>312</v>
      </c>
    </row>
    <row r="84" spans="1:7" ht="12" thickTop="1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>
      <c r="A92" t="s">
        <v>792</v>
      </c>
      <c r="B92" s="32" t="s">
        <v>213</v>
      </c>
      <c r="C92" s="95">
        <f>SUM('DOE25'!F178:F179)</f>
        <v>150000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>
      <c r="A95" s="33" t="s">
        <v>795</v>
      </c>
      <c r="C95" s="86">
        <f>SUM(C85:C94)</f>
        <v>150000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>
      <c r="A96" s="33" t="s">
        <v>796</v>
      </c>
      <c r="C96" s="86">
        <f>C55+C73+C83+C95</f>
        <v>11095935.4</v>
      </c>
      <c r="D96" s="86">
        <f>D55+D73+D83+D95</f>
        <v>133038.16</v>
      </c>
      <c r="E96" s="86">
        <f>E55+E73+E83+E95</f>
        <v>175526.97999999998</v>
      </c>
      <c r="F96" s="86">
        <f>F55+F73+F83+F95</f>
        <v>0</v>
      </c>
      <c r="G96" s="86">
        <f>G55+G73+G95</f>
        <v>427.48</v>
      </c>
    </row>
    <row r="97" spans="1:7" ht="12" thickTop="1"/>
    <row r="98" spans="1:7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>
      <c r="A101" t="s">
        <v>219</v>
      </c>
      <c r="B101" s="32" t="s">
        <v>220</v>
      </c>
      <c r="C101" s="95">
        <f>('DOE25'!L189)+('DOE25'!L207)+('DOE25'!L225)</f>
        <v>6080535.5699999984</v>
      </c>
      <c r="D101" s="24" t="s">
        <v>312</v>
      </c>
      <c r="E101" s="95">
        <f>('DOE25'!L268)+('DOE25'!L287)+('DOE25'!L306)</f>
        <v>34321.71</v>
      </c>
      <c r="F101" s="24" t="s">
        <v>312</v>
      </c>
      <c r="G101" s="24" t="s">
        <v>312</v>
      </c>
    </row>
    <row r="102" spans="1:7">
      <c r="A102" t="s">
        <v>221</v>
      </c>
      <c r="B102" s="32" t="s">
        <v>222</v>
      </c>
      <c r="C102" s="95">
        <f>('DOE25'!L190)+('DOE25'!L208)+('DOE25'!L226)</f>
        <v>2387599.7200000002</v>
      </c>
      <c r="D102" s="24" t="s">
        <v>312</v>
      </c>
      <c r="E102" s="95">
        <f>('DOE25'!L269)+('DOE25'!L288)+('DOE25'!L307)</f>
        <v>151208.13999999998</v>
      </c>
      <c r="F102" s="24" t="s">
        <v>312</v>
      </c>
      <c r="G102" s="24" t="s">
        <v>312</v>
      </c>
    </row>
    <row r="103" spans="1:7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>
      <c r="A107" s="33" t="s">
        <v>228</v>
      </c>
      <c r="C107" s="86">
        <f>SUM(C101:C106)</f>
        <v>8468135.2899999991</v>
      </c>
      <c r="D107" s="86">
        <f>SUM(D101:D106)</f>
        <v>0</v>
      </c>
      <c r="E107" s="86">
        <f>SUM(E101:E106)</f>
        <v>185529.84999999998</v>
      </c>
      <c r="F107" s="86">
        <f>SUM(F101:F106)</f>
        <v>0</v>
      </c>
      <c r="G107" s="86">
        <f>SUM(G101:G106)</f>
        <v>0</v>
      </c>
    </row>
    <row r="108" spans="1:7" ht="12" thickTop="1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>
      <c r="A110" t="s">
        <v>229</v>
      </c>
      <c r="B110" s="32" t="s">
        <v>230</v>
      </c>
      <c r="C110" s="95">
        <f>('DOE25'!L194)+('DOE25'!L212)+('DOE25'!L230)</f>
        <v>263710.39999999997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>
      <c r="A111" t="s">
        <v>231</v>
      </c>
      <c r="B111" s="32" t="s">
        <v>232</v>
      </c>
      <c r="C111" s="95">
        <f>('DOE25'!L195)+('DOE25'!L213)+('DOE25'!L231)</f>
        <v>313560.81000000006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>
      <c r="A112" t="s">
        <v>233</v>
      </c>
      <c r="B112" s="32" t="s">
        <v>234</v>
      </c>
      <c r="C112" s="95">
        <f>('DOE25'!L196)+('DOE25'!L214)+('DOE25'!L232)</f>
        <v>312440.96000000002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>
      <c r="A113" t="s">
        <v>235</v>
      </c>
      <c r="B113" s="32" t="s">
        <v>236</v>
      </c>
      <c r="C113" s="95">
        <f>('DOE25'!L197)+('DOE25'!L215)+('DOE25'!L233)</f>
        <v>401054.22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>
      <c r="A115" t="s">
        <v>239</v>
      </c>
      <c r="B115" s="32" t="s">
        <v>240</v>
      </c>
      <c r="C115" s="95">
        <f>('DOE25'!L199)+('DOE25'!L217)+('DOE25'!L235)</f>
        <v>474665.57000000007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>
      <c r="A116" t="s">
        <v>241</v>
      </c>
      <c r="B116" s="32" t="s">
        <v>242</v>
      </c>
      <c r="C116" s="95">
        <f>('DOE25'!L200)+('DOE25'!L218)+('DOE25'!L236+'DOE25'!L246)</f>
        <v>644589.03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124183.91</v>
      </c>
      <c r="E119" s="24" t="s">
        <v>312</v>
      </c>
      <c r="F119" s="24" t="s">
        <v>312</v>
      </c>
      <c r="G119" s="24" t="s">
        <v>312</v>
      </c>
    </row>
    <row r="120" spans="1:7" ht="12.75" thickTop="1" thickBot="1">
      <c r="A120" s="33" t="s">
        <v>249</v>
      </c>
      <c r="C120" s="86">
        <f>SUM(C110:C119)</f>
        <v>2410020.9900000002</v>
      </c>
      <c r="D120" s="86">
        <f>SUM(D110:D119)</f>
        <v>124183.91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>
      <c r="A122" t="s">
        <v>250</v>
      </c>
      <c r="B122" s="32" t="s">
        <v>251</v>
      </c>
      <c r="C122" s="95">
        <f>'DOE25'!L247</f>
        <v>36610.120000000003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>
      <c r="A123" t="s">
        <v>252</v>
      </c>
      <c r="B123" s="32">
        <v>5110</v>
      </c>
      <c r="C123" s="95">
        <f>'DOE25'!L252</f>
        <v>200000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>
      <c r="A124" t="s">
        <v>253</v>
      </c>
      <c r="B124" s="32">
        <v>5120</v>
      </c>
      <c r="C124" s="95">
        <f>'DOE25'!L253</f>
        <v>63625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195000</v>
      </c>
    </row>
    <row r="127" spans="1:7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>
      <c r="A130" t="s">
        <v>261</v>
      </c>
      <c r="B130" s="32">
        <v>5251</v>
      </c>
      <c r="C130" s="95">
        <f>'DOE25'!L385</f>
        <v>427.48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>
      <c r="A133" t="s">
        <v>797</v>
      </c>
      <c r="B133" s="32">
        <v>5254</v>
      </c>
      <c r="C133" s="95">
        <f>('DOE25'!L258+'DOE25'!K339) - (C130+C131+C132)</f>
        <v>-427.48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>
      <c r="A136" s="33" t="s">
        <v>266</v>
      </c>
      <c r="C136" s="141">
        <f>SUM(C122:C135)</f>
        <v>300235.12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195000</v>
      </c>
    </row>
    <row r="137" spans="1:9" ht="12.75" thickTop="1" thickBot="1">
      <c r="A137" s="33" t="s">
        <v>267</v>
      </c>
      <c r="C137" s="86">
        <f>(C107+C120+C136)</f>
        <v>11178391.399999999</v>
      </c>
      <c r="D137" s="86">
        <f>(D107+D120+D136)</f>
        <v>124183.91</v>
      </c>
      <c r="E137" s="86">
        <f>(E107+E120+E136)</f>
        <v>185529.84999999998</v>
      </c>
      <c r="F137" s="86">
        <f>(F107+F120+F136)</f>
        <v>0</v>
      </c>
      <c r="G137" s="86">
        <f>(G107+G120+G136)</f>
        <v>195000</v>
      </c>
    </row>
    <row r="138" spans="1:9" ht="12" thickTop="1">
      <c r="A138" s="33"/>
    </row>
    <row r="140" spans="1:9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>
      <c r="A144" s="136" t="s">
        <v>28</v>
      </c>
      <c r="B144" s="152" t="str">
        <f>'DOE25'!F481</f>
        <v>1/15/95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>
      <c r="A145" s="136" t="s">
        <v>29</v>
      </c>
      <c r="B145" s="152" t="str">
        <f>'DOE25'!F482</f>
        <v>1/15/15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>
      <c r="A146" s="136" t="s">
        <v>30</v>
      </c>
      <c r="B146" s="137">
        <f>'DOE25'!F483</f>
        <v>3985000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>
      <c r="A147" s="136" t="s">
        <v>31</v>
      </c>
      <c r="B147" s="137">
        <f>'DOE25'!F484</f>
        <v>5.23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>
      <c r="A148" s="22" t="s">
        <v>32</v>
      </c>
      <c r="B148" s="137">
        <f>'DOE25'!F485</f>
        <v>985000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985000</v>
      </c>
    </row>
    <row r="149" spans="1:7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>
      <c r="A150" s="22" t="s">
        <v>34</v>
      </c>
      <c r="B150" s="137">
        <f>'DOE25'!F487</f>
        <v>200000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200000</v>
      </c>
    </row>
    <row r="151" spans="1:7">
      <c r="A151" s="22" t="s">
        <v>35</v>
      </c>
      <c r="B151" s="137">
        <f>'DOE25'!F488</f>
        <v>785000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785000</v>
      </c>
    </row>
    <row r="152" spans="1:7">
      <c r="A152" s="22" t="s">
        <v>36</v>
      </c>
      <c r="B152" s="137">
        <f>'DOE25'!F489</f>
        <v>126875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126875</v>
      </c>
    </row>
    <row r="153" spans="1:7">
      <c r="A153" s="22" t="s">
        <v>37</v>
      </c>
      <c r="B153" s="137">
        <f>'DOE25'!F490</f>
        <v>911875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911875</v>
      </c>
    </row>
    <row r="154" spans="1:7">
      <c r="A154" s="22" t="s">
        <v>38</v>
      </c>
      <c r="B154" s="137">
        <f>'DOE25'!F491</f>
        <v>200000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200000</v>
      </c>
    </row>
    <row r="155" spans="1:7">
      <c r="A155" s="22" t="s">
        <v>39</v>
      </c>
      <c r="B155" s="137">
        <f>'DOE25'!F492</f>
        <v>50825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50825</v>
      </c>
    </row>
    <row r="156" spans="1:7">
      <c r="A156" s="22" t="s">
        <v>269</v>
      </c>
      <c r="B156" s="137">
        <f>'DOE25'!F493</f>
        <v>250825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250825</v>
      </c>
    </row>
  </sheetData>
  <sheetProtection password="B30A" sheet="1" objects="1" scenarios="1"/>
  <phoneticPr fontId="0" type="noConversion"/>
  <printOptions gridLinesSet="0"/>
  <pageMargins left="0.75" right="0.75" top="1" bottom="1" header="0.5" footer="0.5"/>
  <pageSetup scale="80" orientation="landscape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1E65-79B7-41C2-BFA8-36010D62E66D}">
  <sheetPr codeName="Sheet3">
    <tabColor indexed="43"/>
    <pageSetUpPr fitToPage="1"/>
  </sheetPr>
  <dimension ref="A1:D42"/>
  <sheetViews>
    <sheetView showGridLines="0" zoomScale="150" zoomScaleNormal="150" workbookViewId="0">
      <selection activeCell="B2" sqref="B2"/>
    </sheetView>
  </sheetViews>
  <sheetFormatPr defaultColWidth="9"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80" t="s">
        <v>771</v>
      </c>
      <c r="B1" s="280"/>
      <c r="C1" s="280"/>
      <c r="D1" s="280"/>
    </row>
    <row r="2" spans="1:4">
      <c r="A2" s="187" t="s">
        <v>748</v>
      </c>
      <c r="B2" s="186" t="str">
        <f>'DOE25'!A2</f>
        <v>Hanover SD</v>
      </c>
    </row>
    <row r="3" spans="1:4">
      <c r="B3" s="188" t="s">
        <v>891</v>
      </c>
    </row>
    <row r="4" spans="1:4">
      <c r="B4" t="s">
        <v>61</v>
      </c>
      <c r="C4" s="179">
        <f>IF('DOE25'!F655+'DOE25'!F660=0,0,ROUND('DOE25'!F662,0))</f>
        <v>16238</v>
      </c>
    </row>
    <row r="5" spans="1:4">
      <c r="B5" t="s">
        <v>735</v>
      </c>
      <c r="C5" s="179">
        <f>IF('DOE25'!G655+'DOE25'!G660=0,0,ROUND('DOE25'!G662,0))</f>
        <v>0</v>
      </c>
    </row>
    <row r="6" spans="1:4">
      <c r="B6" t="s">
        <v>62</v>
      </c>
      <c r="C6" s="179">
        <f>IF('DOE25'!H655+'DOE25'!H660=0,0,ROUND('DOE25'!H662,0))</f>
        <v>0</v>
      </c>
    </row>
    <row r="7" spans="1:4">
      <c r="B7" t="s">
        <v>736</v>
      </c>
      <c r="C7" s="179">
        <f>IF('DOE25'!I655+'DOE25'!I660=0,0,ROUND('DOE25'!I662,0))</f>
        <v>16238</v>
      </c>
    </row>
    <row r="9" spans="1:4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>
      <c r="A10">
        <v>1100</v>
      </c>
      <c r="B10" t="s">
        <v>737</v>
      </c>
      <c r="C10" s="179">
        <f>ROUND('DOE25'!L189+'DOE25'!L207+'DOE25'!L225+'DOE25'!L268+'DOE25'!L287+'DOE25'!L306,0)</f>
        <v>6114857</v>
      </c>
      <c r="D10" s="182">
        <f>ROUND((C10/$C$28)*100,1)</f>
        <v>54.9</v>
      </c>
    </row>
    <row r="11" spans="1:4">
      <c r="A11">
        <v>1200</v>
      </c>
      <c r="B11" t="s">
        <v>738</v>
      </c>
      <c r="C11" s="179">
        <f>ROUND('DOE25'!L190+'DOE25'!L208+'DOE25'!L226+'DOE25'!L269+'DOE25'!L288+'DOE25'!L307,0)</f>
        <v>2538808</v>
      </c>
      <c r="D11" s="182">
        <f>ROUND((C11/$C$28)*100,1)</f>
        <v>22.8</v>
      </c>
    </row>
    <row r="12" spans="1:4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>
      <c r="D14" s="182"/>
    </row>
    <row r="15" spans="1:4">
      <c r="A15">
        <v>2100</v>
      </c>
      <c r="B15" t="s">
        <v>741</v>
      </c>
      <c r="C15" s="179">
        <f>ROUND('DOE25'!L194+'DOE25'!L212+'DOE25'!L230+'DOE25'!L273+'DOE25'!L292+'DOE25'!L311,0)</f>
        <v>263710</v>
      </c>
      <c r="D15" s="182">
        <f t="shared" ref="D15:D27" si="0">ROUND((C15/$C$28)*100,1)</f>
        <v>2.4</v>
      </c>
    </row>
    <row r="16" spans="1:4">
      <c r="A16">
        <v>2200</v>
      </c>
      <c r="B16" t="s">
        <v>742</v>
      </c>
      <c r="C16" s="179">
        <f>ROUND('DOE25'!L195+'DOE25'!L213+'DOE25'!L231+'DOE25'!L274+'DOE25'!L293+'DOE25'!L312,0)</f>
        <v>313561</v>
      </c>
      <c r="D16" s="182">
        <f t="shared" si="0"/>
        <v>2.8</v>
      </c>
    </row>
    <row r="17" spans="1:4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312441</v>
      </c>
      <c r="D17" s="182">
        <f t="shared" si="0"/>
        <v>2.8</v>
      </c>
    </row>
    <row r="18" spans="1:4">
      <c r="A18">
        <v>2400</v>
      </c>
      <c r="B18" t="s">
        <v>746</v>
      </c>
      <c r="C18" s="179">
        <f>ROUND('DOE25'!L197+'DOE25'!L215+'DOE25'!L233+'DOE25'!L276+'DOE25'!L295+'DOE25'!L314,0)</f>
        <v>401054</v>
      </c>
      <c r="D18" s="182">
        <f t="shared" si="0"/>
        <v>3.6</v>
      </c>
    </row>
    <row r="19" spans="1:4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>
      <c r="A20">
        <v>2600</v>
      </c>
      <c r="B20" t="s">
        <v>744</v>
      </c>
      <c r="C20" s="179">
        <f>ROUND('DOE25'!L199+'DOE25'!L217+'DOE25'!L235+'DOE25'!L278+'DOE25'!L297+'DOE25'!L316,0)</f>
        <v>474666</v>
      </c>
      <c r="D20" s="182">
        <f t="shared" si="0"/>
        <v>4.3</v>
      </c>
    </row>
    <row r="21" spans="1:4">
      <c r="A21">
        <v>2700</v>
      </c>
      <c r="B21" t="s">
        <v>745</v>
      </c>
      <c r="C21" s="179">
        <f>ROUND('DOE25'!L200+'DOE25'!L218+'DOE25'!L236+'DOE25'!L279+'DOE25'!L298+'DOE25'!L317,0)</f>
        <v>644589</v>
      </c>
      <c r="D21" s="182">
        <f t="shared" si="0"/>
        <v>5.8</v>
      </c>
    </row>
    <row r="22" spans="1:4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>
      <c r="A25">
        <v>5120</v>
      </c>
      <c r="B25" t="s">
        <v>751</v>
      </c>
      <c r="C25" s="179">
        <f>ROUND('DOE25'!L253+'DOE25'!L334,0)</f>
        <v>63625</v>
      </c>
      <c r="D25" s="182">
        <f t="shared" si="0"/>
        <v>0.6</v>
      </c>
    </row>
    <row r="26" spans="1:4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ROUND('DOE25'!L354-'DOE25'!L353,0)-SUM('DOE25'!G89:G102)</f>
        <v>5168.6000000000058</v>
      </c>
      <c r="D27" s="182">
        <f t="shared" si="0"/>
        <v>0</v>
      </c>
    </row>
    <row r="28" spans="1:4">
      <c r="B28" s="187" t="s">
        <v>754</v>
      </c>
      <c r="C28" s="180">
        <f>SUM(C10:C27)</f>
        <v>11132479.6</v>
      </c>
      <c r="D28" s="184">
        <f>ROUND(SUM(D10:D27),0)</f>
        <v>100</v>
      </c>
    </row>
    <row r="29" spans="1:4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36610</v>
      </c>
    </row>
    <row r="30" spans="1:4">
      <c r="B30" s="187" t="s">
        <v>760</v>
      </c>
      <c r="C30" s="180">
        <f>SUM(C28:C29)</f>
        <v>11169089.6</v>
      </c>
    </row>
    <row r="31" spans="1:4">
      <c r="B31" s="33"/>
      <c r="C31" s="180"/>
    </row>
    <row r="32" spans="1:4">
      <c r="A32">
        <v>5100</v>
      </c>
      <c r="B32" s="33" t="s">
        <v>761</v>
      </c>
      <c r="C32" s="180">
        <f>ROUND('DOE25'!L252+'DOE25'!L333,0)</f>
        <v>200000</v>
      </c>
    </row>
    <row r="34" spans="1:4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>
      <c r="A35">
        <v>1100</v>
      </c>
      <c r="B35" s="185" t="s">
        <v>762</v>
      </c>
      <c r="C35" s="179">
        <f>ROUND('DOE25'!F52+'DOE25'!G52+'DOE25'!H52+'DOE25'!I52+'DOE25'!J52,0)</f>
        <v>8499524</v>
      </c>
      <c r="D35" s="182">
        <f t="shared" ref="D35:D40" si="1">ROUND((C35/$C$41)*100,1)</f>
        <v>76.3</v>
      </c>
    </row>
    <row r="36" spans="1:4">
      <c r="B36" s="185" t="s">
        <v>774</v>
      </c>
      <c r="C36" s="179">
        <f>SUM('DOE25'!F104:J104)-SUM('DOE25'!G89:G102)+('DOE25'!F166+'DOE25'!F167+'DOE25'!I166+'DOE25'!I167)-C35</f>
        <v>31139.070000000298</v>
      </c>
      <c r="D36" s="182">
        <f t="shared" si="1"/>
        <v>0.3</v>
      </c>
    </row>
    <row r="37" spans="1:4">
      <c r="A37" s="183" t="s">
        <v>890</v>
      </c>
      <c r="B37" s="185" t="s">
        <v>763</v>
      </c>
      <c r="C37" s="179">
        <f>ROUND('DOE25'!F109+'DOE25'!F110+'DOE25'!F111,0)</f>
        <v>2081669</v>
      </c>
      <c r="D37" s="182">
        <f t="shared" si="1"/>
        <v>18.7</v>
      </c>
    </row>
    <row r="38" spans="1:4">
      <c r="A38" s="183" t="s">
        <v>769</v>
      </c>
      <c r="B38" s="185" t="s">
        <v>764</v>
      </c>
      <c r="C38" s="179">
        <f>ROUND(SUM('DOE25'!F132:J132)-SUM('DOE25'!F109:F111),0)</f>
        <v>309143</v>
      </c>
      <c r="D38" s="182">
        <f t="shared" si="1"/>
        <v>2.8</v>
      </c>
    </row>
    <row r="39" spans="1:4">
      <c r="A39">
        <v>4000</v>
      </c>
      <c r="B39" s="185" t="s">
        <v>765</v>
      </c>
      <c r="C39" s="179">
        <f>ROUND('DOE25'!F161+'DOE25'!G161+'DOE25'!H161+'DOE25'!I161,0)</f>
        <v>214437</v>
      </c>
      <c r="D39" s="182">
        <f t="shared" si="1"/>
        <v>1.9</v>
      </c>
    </row>
    <row r="40" spans="1:4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>
      <c r="B41" s="187" t="s">
        <v>767</v>
      </c>
      <c r="C41" s="180">
        <f>SUM(C35:C40)</f>
        <v>11135912.07</v>
      </c>
      <c r="D41" s="184">
        <f>SUM(D35:D40)</f>
        <v>100</v>
      </c>
    </row>
    <row r="42" spans="1:4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Set="0"/>
  <pageMargins left="1.25" right="1.25" top="1.75" bottom="1.75" header="0.5" footer="0.5"/>
  <pageSetup scale="99" orientation="portrait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3D13-49FF-4B4D-9677-6D2C2CA422F6}">
  <sheetPr>
    <tabColor indexed="17"/>
  </sheetPr>
  <dimension ref="A1:IV90"/>
  <sheetViews>
    <sheetView showGridLines="0" zoomScale="125" zoomScaleNormal="125" workbookViewId="0">
      <pane ySplit="3" topLeftCell="A4" activePane="bottomLeft" state="frozen"/>
      <selection pane="bottomLeft" activeCell="A4" sqref="A4"/>
    </sheetView>
  </sheetViews>
  <sheetFormatPr defaultColWidth="9" defaultRowHeight="11.25"/>
  <cols>
    <col min="1" max="1" width="10.33203125" customWidth="1"/>
    <col min="14" max="14" width="6.1640625" customWidth="1"/>
  </cols>
  <sheetData>
    <row r="1" spans="1:26" ht="16.5" thickTop="1">
      <c r="A1" s="289" t="s">
        <v>801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>
      <c r="A2" s="287" t="s">
        <v>798</v>
      </c>
      <c r="B2" s="288"/>
      <c r="C2" s="288"/>
      <c r="D2" s="288"/>
      <c r="E2" s="288"/>
      <c r="F2" s="293" t="str">
        <f>'DOE25'!A2</f>
        <v>Hanover SD</v>
      </c>
      <c r="G2" s="294"/>
      <c r="H2" s="294"/>
      <c r="I2" s="294"/>
      <c r="J2" s="52"/>
      <c r="K2" s="52"/>
      <c r="L2" s="52"/>
      <c r="M2" s="216"/>
    </row>
    <row r="3" spans="1:26">
      <c r="A3" s="217" t="s">
        <v>799</v>
      </c>
      <c r="B3" s="218" t="s">
        <v>800</v>
      </c>
      <c r="C3" s="291" t="s">
        <v>802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879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799</v>
      </c>
      <c r="B73" s="211" t="s">
        <v>800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>
      <c r="A74" s="212"/>
      <c r="B74" s="212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>
      <c r="A75" s="212"/>
      <c r="B75" s="212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>
      <c r="A76" s="212"/>
      <c r="B76" s="212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>
      <c r="A77" s="212"/>
      <c r="B77" s="212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>
      <c r="A78" s="212"/>
      <c r="B78" s="212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>
      <c r="A79" s="212"/>
      <c r="B79" s="212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>
      <c r="A80" s="212"/>
      <c r="B80" s="212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>
      <c r="A81" s="212"/>
      <c r="B81" s="212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>
      <c r="A82" s="212"/>
      <c r="B82" s="212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>
      <c r="A83" s="212"/>
      <c r="B83" s="212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>
      <c r="A84" s="212"/>
      <c r="B84" s="212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>
      <c r="A85" s="212"/>
      <c r="B85" s="212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>
      <c r="A86" s="212"/>
      <c r="B86" s="212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>
      <c r="A87" s="212"/>
      <c r="B87" s="212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>
      <c r="A88" s="212"/>
      <c r="B88" s="212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>
      <c r="A89" s="212"/>
      <c r="B89" s="212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>
      <c r="A90" s="212"/>
      <c r="B90" s="212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P32:Z32"/>
    <mergeCell ref="AC32:AM32"/>
    <mergeCell ref="AP32:AZ32"/>
    <mergeCell ref="P38:Z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GP31:GZ31"/>
    <mergeCell ref="HC31:HM31"/>
    <mergeCell ref="DP31:DZ31"/>
    <mergeCell ref="EC31:EM31"/>
    <mergeCell ref="EP31:EZ31"/>
    <mergeCell ref="FC31:F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FP31:FZ31"/>
    <mergeCell ref="GC31:GM31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BP38:BZ38"/>
    <mergeCell ref="CC38:CM38"/>
    <mergeCell ref="CC32:CM32"/>
    <mergeCell ref="CP38:CZ38"/>
    <mergeCell ref="AC38:AM38"/>
    <mergeCell ref="AP38:AZ38"/>
    <mergeCell ref="FP38:FZ38"/>
    <mergeCell ref="GC38:GM38"/>
    <mergeCell ref="GP38:GZ38"/>
    <mergeCell ref="DC38:DM38"/>
    <mergeCell ref="DP38:DZ38"/>
    <mergeCell ref="EC38:EM38"/>
    <mergeCell ref="EP38:EZ38"/>
    <mergeCell ref="IP39:IV39"/>
    <mergeCell ref="EP39:EZ39"/>
    <mergeCell ref="FC39:FM39"/>
    <mergeCell ref="FP39:FZ39"/>
    <mergeCell ref="IC39:IM39"/>
    <mergeCell ref="HC38:HM38"/>
    <mergeCell ref="HP38:HZ38"/>
    <mergeCell ref="IC38:IM38"/>
    <mergeCell ref="IP38:IV38"/>
    <mergeCell ref="FC38:FM38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GP39:GZ39"/>
    <mergeCell ref="BP39:BZ39"/>
    <mergeCell ref="BC40:BM40"/>
    <mergeCell ref="BP40:BZ40"/>
    <mergeCell ref="FC40:FM40"/>
    <mergeCell ref="CC39:CM39"/>
    <mergeCell ref="CP39:CZ39"/>
    <mergeCell ref="FP40:FZ40"/>
    <mergeCell ref="CC40:CM40"/>
    <mergeCell ref="CP40:CZ40"/>
    <mergeCell ref="DC40:DM40"/>
    <mergeCell ref="EP40:EZ40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C52:M52"/>
    <mergeCell ref="C50:M50"/>
    <mergeCell ref="C47:M47"/>
    <mergeCell ref="C48:M48"/>
    <mergeCell ref="C49:M49"/>
    <mergeCell ref="C51:M51"/>
    <mergeCell ref="C43:M43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2011-09-07T13:43:43Z</cp:lastPrinted>
  <dcterms:created xsi:type="dcterms:W3CDTF">1997-12-04T19:04:30Z</dcterms:created>
  <dcterms:modified xsi:type="dcterms:W3CDTF">2025-01-10T19:51:45Z</dcterms:modified>
</cp:coreProperties>
</file>