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9B4790A5-856C-4347-9D29-B9245D7FD539}" xr6:coauthVersionLast="47" xr6:coauthVersionMax="47" xr10:uidLastSave="{00000000-0000-0000-0000-000000000000}"/>
  <workbookProtection workbookPassword="B30A" lockStructure="1"/>
  <bookViews>
    <workbookView xWindow="3795" yWindow="3795" windowWidth="21600" windowHeight="11505" tabRatio="855" xr2:uid="{254F7588-4BC4-4340-903E-BB422956A88F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94" i="1" l="1"/>
  <c r="F228" i="1"/>
  <c r="H228" i="1"/>
  <c r="J489" i="1"/>
  <c r="K489" i="1" s="1"/>
  <c r="I485" i="1"/>
  <c r="H485" i="1"/>
  <c r="F489" i="1"/>
  <c r="J488" i="1"/>
  <c r="I488" i="1"/>
  <c r="I490" i="1" s="1"/>
  <c r="E153" i="2" s="1"/>
  <c r="E151" i="2"/>
  <c r="H488" i="1"/>
  <c r="K488" i="1" s="1"/>
  <c r="G488" i="1"/>
  <c r="C151" i="2" s="1"/>
  <c r="F488" i="1"/>
  <c r="H462" i="1"/>
  <c r="H458" i="1"/>
  <c r="F462" i="1"/>
  <c r="H94" i="1"/>
  <c r="H147" i="1"/>
  <c r="H146" i="1"/>
  <c r="G150" i="1"/>
  <c r="G154" i="1" s="1"/>
  <c r="G153" i="1"/>
  <c r="G124" i="1"/>
  <c r="D69" i="2" s="1"/>
  <c r="D70" i="2" s="1"/>
  <c r="D73" i="2" s="1"/>
  <c r="G89" i="1"/>
  <c r="F88" i="1"/>
  <c r="G449" i="1"/>
  <c r="G432" i="1"/>
  <c r="H31" i="1"/>
  <c r="H23" i="1"/>
  <c r="H13" i="1"/>
  <c r="F9" i="1"/>
  <c r="F29" i="1"/>
  <c r="H533" i="1"/>
  <c r="L533" i="1" s="1"/>
  <c r="J541" i="1" s="1"/>
  <c r="H532" i="1"/>
  <c r="L532" i="1" s="1"/>
  <c r="J540" i="1" s="1"/>
  <c r="H531" i="1"/>
  <c r="H534" i="1" s="1"/>
  <c r="H513" i="1"/>
  <c r="L513" i="1"/>
  <c r="F541" i="1"/>
  <c r="H512" i="1"/>
  <c r="H511" i="1"/>
  <c r="L511" i="1" s="1"/>
  <c r="H352" i="1"/>
  <c r="H351" i="1"/>
  <c r="L351" i="1" s="1"/>
  <c r="F29" i="13"/>
  <c r="G29" i="13"/>
  <c r="H350" i="1"/>
  <c r="H237" i="1"/>
  <c r="L237" i="1" s="1"/>
  <c r="H236" i="1"/>
  <c r="H235" i="1"/>
  <c r="H233" i="1"/>
  <c r="H232" i="1"/>
  <c r="H231" i="1"/>
  <c r="L231" i="1" s="1"/>
  <c r="H230" i="1"/>
  <c r="H239" i="1" s="1"/>
  <c r="L230" i="1"/>
  <c r="C15" i="10" s="1"/>
  <c r="H227" i="1"/>
  <c r="L227" i="1" s="1"/>
  <c r="C103" i="2" s="1"/>
  <c r="H226" i="1"/>
  <c r="H225" i="1"/>
  <c r="H219" i="1"/>
  <c r="H218" i="1"/>
  <c r="L218" i="1"/>
  <c r="H217" i="1"/>
  <c r="H215" i="1"/>
  <c r="L215" i="1"/>
  <c r="H214" i="1"/>
  <c r="L214" i="1" s="1"/>
  <c r="H213" i="1"/>
  <c r="H212" i="1"/>
  <c r="H210" i="1"/>
  <c r="H208" i="1"/>
  <c r="H207" i="1"/>
  <c r="H201" i="1"/>
  <c r="H200" i="1"/>
  <c r="L200" i="1"/>
  <c r="H199" i="1"/>
  <c r="H197" i="1"/>
  <c r="L197" i="1"/>
  <c r="C113" i="2" s="1"/>
  <c r="H196" i="1"/>
  <c r="L196" i="1" s="1"/>
  <c r="H194" i="1"/>
  <c r="L194" i="1"/>
  <c r="H190" i="1"/>
  <c r="H189" i="1"/>
  <c r="C37" i="10"/>
  <c r="C60" i="2"/>
  <c r="B2" i="13"/>
  <c r="F8" i="13"/>
  <c r="G8" i="13"/>
  <c r="L232" i="1"/>
  <c r="D39" i="13"/>
  <c r="F13" i="13"/>
  <c r="G13" i="13"/>
  <c r="L198" i="1"/>
  <c r="L216" i="1"/>
  <c r="E13" i="13" s="1"/>
  <c r="C13" i="13" s="1"/>
  <c r="L234" i="1"/>
  <c r="F16" i="13"/>
  <c r="G16" i="13"/>
  <c r="L201" i="1"/>
  <c r="E16" i="13" s="1"/>
  <c r="C16" i="13" s="1"/>
  <c r="L219" i="1"/>
  <c r="F5" i="13"/>
  <c r="G5" i="13"/>
  <c r="L190" i="1"/>
  <c r="L191" i="1"/>
  <c r="L192" i="1"/>
  <c r="L208" i="1"/>
  <c r="L209" i="1"/>
  <c r="L210" i="1"/>
  <c r="C13" i="10" s="1"/>
  <c r="L226" i="1"/>
  <c r="C11" i="10" s="1"/>
  <c r="L228" i="1"/>
  <c r="F6" i="13"/>
  <c r="G6" i="13"/>
  <c r="L212" i="1"/>
  <c r="F7" i="13"/>
  <c r="G7" i="13"/>
  <c r="L195" i="1"/>
  <c r="L213" i="1"/>
  <c r="D7" i="13" s="1"/>
  <c r="C7" i="13" s="1"/>
  <c r="F12" i="13"/>
  <c r="G12" i="13"/>
  <c r="G33" i="13" s="1"/>
  <c r="L233" i="1"/>
  <c r="F14" i="13"/>
  <c r="G14" i="13"/>
  <c r="L199" i="1"/>
  <c r="L217" i="1"/>
  <c r="L235" i="1"/>
  <c r="F15" i="13"/>
  <c r="G15" i="13"/>
  <c r="L236" i="1"/>
  <c r="F17" i="13"/>
  <c r="G17" i="13"/>
  <c r="L243" i="1"/>
  <c r="D17" i="13" s="1"/>
  <c r="C17" i="13" s="1"/>
  <c r="F18" i="13"/>
  <c r="G18" i="13"/>
  <c r="L244" i="1"/>
  <c r="D18" i="13" s="1"/>
  <c r="C18" i="13" s="1"/>
  <c r="F19" i="13"/>
  <c r="G19" i="13"/>
  <c r="L245" i="1"/>
  <c r="D19" i="13" s="1"/>
  <c r="C19" i="13" s="1"/>
  <c r="L350" i="1"/>
  <c r="D119" i="2" s="1"/>
  <c r="D120" i="2" s="1"/>
  <c r="L352" i="1"/>
  <c r="I359" i="1"/>
  <c r="J282" i="1"/>
  <c r="J301" i="1"/>
  <c r="J320" i="1"/>
  <c r="K282" i="1"/>
  <c r="K301" i="1"/>
  <c r="K320" i="1"/>
  <c r="L268" i="1"/>
  <c r="L287" i="1"/>
  <c r="L306" i="1"/>
  <c r="L269" i="1"/>
  <c r="E102" i="2" s="1"/>
  <c r="E107" i="2" s="1"/>
  <c r="L270" i="1"/>
  <c r="E103" i="2" s="1"/>
  <c r="L289" i="1"/>
  <c r="L308" i="1"/>
  <c r="L271" i="1"/>
  <c r="L273" i="1"/>
  <c r="L274" i="1"/>
  <c r="L275" i="1"/>
  <c r="L276" i="1"/>
  <c r="L277" i="1"/>
  <c r="L296" i="1"/>
  <c r="E114" i="2" s="1"/>
  <c r="L315" i="1"/>
  <c r="L320" i="1" s="1"/>
  <c r="L278" i="1"/>
  <c r="E115" i="2" s="1"/>
  <c r="L279" i="1"/>
  <c r="L280" i="1"/>
  <c r="L288" i="1"/>
  <c r="L290" i="1"/>
  <c r="L309" i="1"/>
  <c r="L292" i="1"/>
  <c r="L293" i="1"/>
  <c r="L312" i="1"/>
  <c r="L294" i="1"/>
  <c r="L295" i="1"/>
  <c r="E113" i="2" s="1"/>
  <c r="L297" i="1"/>
  <c r="L316" i="1"/>
  <c r="L298" i="1"/>
  <c r="L299" i="1"/>
  <c r="L307" i="1"/>
  <c r="L311" i="1"/>
  <c r="L313" i="1"/>
  <c r="L314" i="1"/>
  <c r="L317" i="1"/>
  <c r="H652" i="1" s="1"/>
  <c r="I652" i="1" s="1"/>
  <c r="L318" i="1"/>
  <c r="L325" i="1"/>
  <c r="E106" i="2" s="1"/>
  <c r="L326" i="1"/>
  <c r="L327" i="1"/>
  <c r="L252" i="1"/>
  <c r="L253" i="1"/>
  <c r="L333" i="1"/>
  <c r="E123" i="2"/>
  <c r="L334" i="1"/>
  <c r="H25" i="13"/>
  <c r="C25" i="13" s="1"/>
  <c r="L247" i="1"/>
  <c r="L328" i="1"/>
  <c r="C29" i="10" s="1"/>
  <c r="F22" i="13"/>
  <c r="C22" i="13"/>
  <c r="C11" i="13"/>
  <c r="C10" i="13"/>
  <c r="C9" i="13"/>
  <c r="L353" i="1"/>
  <c r="B4" i="12"/>
  <c r="B36" i="12"/>
  <c r="C36" i="12"/>
  <c r="B40" i="12"/>
  <c r="C40" i="12"/>
  <c r="A40" i="12"/>
  <c r="B27" i="12"/>
  <c r="C27" i="12"/>
  <c r="B31" i="12"/>
  <c r="C31" i="12"/>
  <c r="A31" i="12" s="1"/>
  <c r="B9" i="12"/>
  <c r="B13" i="12"/>
  <c r="C9" i="12"/>
  <c r="C13" i="12"/>
  <c r="A13" i="12"/>
  <c r="B18" i="12"/>
  <c r="A22" i="12" s="1"/>
  <c r="B22" i="12"/>
  <c r="C18" i="12"/>
  <c r="C22" i="12"/>
  <c r="B1" i="12"/>
  <c r="L379" i="1"/>
  <c r="L380" i="1"/>
  <c r="L381" i="1"/>
  <c r="L382" i="1"/>
  <c r="L383" i="1"/>
  <c r="L384" i="1"/>
  <c r="L387" i="1"/>
  <c r="L393" i="1" s="1"/>
  <c r="L388" i="1"/>
  <c r="L389" i="1"/>
  <c r="L390" i="1"/>
  <c r="L391" i="1"/>
  <c r="L392" i="1"/>
  <c r="L395" i="1"/>
  <c r="L396" i="1"/>
  <c r="L397" i="1"/>
  <c r="L398" i="1"/>
  <c r="L258" i="1"/>
  <c r="J52" i="1"/>
  <c r="G48" i="2"/>
  <c r="G51" i="2"/>
  <c r="G54" i="2" s="1"/>
  <c r="G53" i="2"/>
  <c r="F2" i="11"/>
  <c r="L603" i="1"/>
  <c r="H653" i="1" s="1"/>
  <c r="L602" i="1"/>
  <c r="G653" i="1" s="1"/>
  <c r="L601" i="1"/>
  <c r="F653" i="1"/>
  <c r="I653" i="1" s="1"/>
  <c r="C40" i="10"/>
  <c r="F52" i="1"/>
  <c r="C48" i="2" s="1"/>
  <c r="C55" i="2" s="1"/>
  <c r="G52" i="1"/>
  <c r="D48" i="2" s="1"/>
  <c r="H52" i="1"/>
  <c r="I52" i="1"/>
  <c r="F71" i="1"/>
  <c r="F86" i="1"/>
  <c r="F103" i="1"/>
  <c r="G103" i="1"/>
  <c r="H71" i="1"/>
  <c r="H86" i="1"/>
  <c r="H103" i="1"/>
  <c r="I103" i="1"/>
  <c r="J103" i="1"/>
  <c r="J104" i="1"/>
  <c r="F113" i="1"/>
  <c r="F128" i="1"/>
  <c r="G113" i="1"/>
  <c r="H113" i="1"/>
  <c r="H128" i="1"/>
  <c r="H132" i="1"/>
  <c r="I113" i="1"/>
  <c r="I128" i="1"/>
  <c r="I132" i="1"/>
  <c r="J113" i="1"/>
  <c r="J132" i="1" s="1"/>
  <c r="J128" i="1"/>
  <c r="F139" i="1"/>
  <c r="C77" i="2" s="1"/>
  <c r="C83" i="2" s="1"/>
  <c r="F154" i="1"/>
  <c r="G139" i="1"/>
  <c r="G161" i="1" s="1"/>
  <c r="H139" i="1"/>
  <c r="H161" i="1" s="1"/>
  <c r="H185" i="1" s="1"/>
  <c r="G619" i="1" s="1"/>
  <c r="J619" i="1" s="1"/>
  <c r="E77" i="2"/>
  <c r="E83" i="2" s="1"/>
  <c r="I139" i="1"/>
  <c r="I161" i="1" s="1"/>
  <c r="I154" i="1"/>
  <c r="L242" i="1"/>
  <c r="L324" i="1"/>
  <c r="C23" i="10"/>
  <c r="L246" i="1"/>
  <c r="C25" i="10"/>
  <c r="L260" i="1"/>
  <c r="L261" i="1"/>
  <c r="C135" i="2"/>
  <c r="L341" i="1"/>
  <c r="C26" i="10" s="1"/>
  <c r="L343" i="1"/>
  <c r="L342" i="1"/>
  <c r="I655" i="1"/>
  <c r="I660" i="1"/>
  <c r="I659" i="1"/>
  <c r="C42" i="10"/>
  <c r="L366" i="1"/>
  <c r="L367" i="1"/>
  <c r="L368" i="1"/>
  <c r="L369" i="1"/>
  <c r="F122" i="2" s="1"/>
  <c r="F136" i="2" s="1"/>
  <c r="F137" i="2" s="1"/>
  <c r="L370" i="1"/>
  <c r="L371" i="1"/>
  <c r="L374" i="1" s="1"/>
  <c r="G626" i="1" s="1"/>
  <c r="J626" i="1" s="1"/>
  <c r="L372" i="1"/>
  <c r="B2" i="10"/>
  <c r="L336" i="1"/>
  <c r="L337" i="1"/>
  <c r="L338" i="1"/>
  <c r="L339" i="1"/>
  <c r="K343" i="1"/>
  <c r="L512" i="1"/>
  <c r="F540" i="1"/>
  <c r="L517" i="1"/>
  <c r="L519" i="1" s="1"/>
  <c r="G540" i="1"/>
  <c r="L516" i="1"/>
  <c r="G539" i="1"/>
  <c r="L518" i="1"/>
  <c r="G541" i="1" s="1"/>
  <c r="K541" i="1" s="1"/>
  <c r="L521" i="1"/>
  <c r="H539" i="1" s="1"/>
  <c r="H542" i="1" s="1"/>
  <c r="L522" i="1"/>
  <c r="H540" i="1" s="1"/>
  <c r="L523" i="1"/>
  <c r="L524" i="1" s="1"/>
  <c r="H541" i="1"/>
  <c r="L526" i="1"/>
  <c r="L527" i="1"/>
  <c r="I540" i="1" s="1"/>
  <c r="L528" i="1"/>
  <c r="I541" i="1"/>
  <c r="E124" i="2"/>
  <c r="K262" i="1"/>
  <c r="J262" i="1"/>
  <c r="L262" i="1" s="1"/>
  <c r="I262" i="1"/>
  <c r="H262" i="1"/>
  <c r="G262" i="1"/>
  <c r="F262" i="1"/>
  <c r="C124" i="2"/>
  <c r="A1" i="2"/>
  <c r="A2" i="2"/>
  <c r="C9" i="2"/>
  <c r="D9" i="2"/>
  <c r="E9" i="2"/>
  <c r="E19" i="2" s="1"/>
  <c r="F9" i="2"/>
  <c r="F19" i="2" s="1"/>
  <c r="I431" i="1"/>
  <c r="J9" i="1" s="1"/>
  <c r="C10" i="2"/>
  <c r="D10" i="2"/>
  <c r="E10" i="2"/>
  <c r="F10" i="2"/>
  <c r="I432" i="1"/>
  <c r="C11" i="2"/>
  <c r="C12" i="2"/>
  <c r="C13" i="2"/>
  <c r="C14" i="2"/>
  <c r="C16" i="2"/>
  <c r="C19" i="2" s="1"/>
  <c r="C17" i="2"/>
  <c r="C18" i="2"/>
  <c r="D12" i="2"/>
  <c r="E12" i="2"/>
  <c r="F12" i="2"/>
  <c r="I433" i="1"/>
  <c r="J12" i="1"/>
  <c r="G12" i="2" s="1"/>
  <c r="D13" i="2"/>
  <c r="E13" i="2"/>
  <c r="F13" i="2"/>
  <c r="I434" i="1"/>
  <c r="J13" i="1" s="1"/>
  <c r="G13" i="2" s="1"/>
  <c r="D14" i="2"/>
  <c r="E14" i="2"/>
  <c r="F14" i="2"/>
  <c r="I435" i="1"/>
  <c r="J14" i="1"/>
  <c r="G14" i="2" s="1"/>
  <c r="F15" i="2"/>
  <c r="D16" i="2"/>
  <c r="D19" i="2" s="1"/>
  <c r="D17" i="2"/>
  <c r="D18" i="2"/>
  <c r="E16" i="2"/>
  <c r="F16" i="2"/>
  <c r="E17" i="2"/>
  <c r="F17" i="2"/>
  <c r="I436" i="1"/>
  <c r="J17" i="1"/>
  <c r="G17" i="2" s="1"/>
  <c r="E18" i="2"/>
  <c r="F18" i="2"/>
  <c r="I437" i="1"/>
  <c r="J18" i="1"/>
  <c r="G18" i="2" s="1"/>
  <c r="C22" i="2"/>
  <c r="D22" i="2"/>
  <c r="E22" i="2"/>
  <c r="F22" i="2"/>
  <c r="I440" i="1"/>
  <c r="J23" i="1"/>
  <c r="G22" i="2" s="1"/>
  <c r="C23" i="2"/>
  <c r="D23" i="2"/>
  <c r="E23" i="2"/>
  <c r="F23" i="2"/>
  <c r="F32" i="2" s="1"/>
  <c r="I441" i="1"/>
  <c r="J24" i="1"/>
  <c r="G23" i="2" s="1"/>
  <c r="C24" i="2"/>
  <c r="D24" i="2"/>
  <c r="E24" i="2"/>
  <c r="F24" i="2"/>
  <c r="I442" i="1"/>
  <c r="J25" i="1" s="1"/>
  <c r="C25" i="2"/>
  <c r="C32" i="2" s="1"/>
  <c r="D25" i="2"/>
  <c r="D32" i="2" s="1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I444" i="1" s="1"/>
  <c r="I451" i="1" s="1"/>
  <c r="H632" i="1" s="1"/>
  <c r="J32" i="1"/>
  <c r="G31" i="2" s="1"/>
  <c r="C34" i="2"/>
  <c r="D34" i="2"/>
  <c r="E34" i="2"/>
  <c r="E35" i="2"/>
  <c r="E36" i="2"/>
  <c r="E37" i="2"/>
  <c r="E38" i="2"/>
  <c r="E40" i="2"/>
  <c r="E41" i="2"/>
  <c r="E42" i="2" s="1"/>
  <c r="E43" i="2" s="1"/>
  <c r="F34" i="2"/>
  <c r="F42" i="2" s="1"/>
  <c r="F43" i="2" s="1"/>
  <c r="C35" i="2"/>
  <c r="C42" i="2" s="1"/>
  <c r="C43" i="2" s="1"/>
  <c r="D35" i="2"/>
  <c r="F35" i="2"/>
  <c r="C36" i="2"/>
  <c r="D36" i="2"/>
  <c r="F36" i="2"/>
  <c r="I446" i="1"/>
  <c r="J37" i="1"/>
  <c r="G36" i="2" s="1"/>
  <c r="C37" i="2"/>
  <c r="D37" i="2"/>
  <c r="D42" i="2" s="1"/>
  <c r="F37" i="2"/>
  <c r="I447" i="1"/>
  <c r="J38" i="1" s="1"/>
  <c r="C38" i="2"/>
  <c r="D38" i="2"/>
  <c r="F38" i="2"/>
  <c r="I448" i="1"/>
  <c r="J40" i="1"/>
  <c r="G39" i="2"/>
  <c r="C40" i="2"/>
  <c r="D40" i="2"/>
  <c r="F40" i="2"/>
  <c r="I449" i="1"/>
  <c r="J41" i="1"/>
  <c r="G40" i="2" s="1"/>
  <c r="C41" i="2"/>
  <c r="D41" i="2"/>
  <c r="F41" i="2"/>
  <c r="E48" i="2"/>
  <c r="C49" i="2"/>
  <c r="C51" i="2"/>
  <c r="D51" i="2"/>
  <c r="E51" i="2"/>
  <c r="F51" i="2"/>
  <c r="F54" i="2" s="1"/>
  <c r="D52" i="2"/>
  <c r="D54" i="2" s="1"/>
  <c r="D53" i="2"/>
  <c r="C53" i="2"/>
  <c r="E53" i="2"/>
  <c r="F53" i="2"/>
  <c r="C58" i="2"/>
  <c r="C59" i="2"/>
  <c r="C61" i="2"/>
  <c r="D61" i="2"/>
  <c r="D62" i="2"/>
  <c r="E61" i="2"/>
  <c r="E62" i="2" s="1"/>
  <c r="F61" i="2"/>
  <c r="F62" i="2" s="1"/>
  <c r="F73" i="2" s="1"/>
  <c r="G61" i="2"/>
  <c r="G62" i="2" s="1"/>
  <c r="C64" i="2"/>
  <c r="F64" i="2"/>
  <c r="C65" i="2"/>
  <c r="F65" i="2"/>
  <c r="C66" i="2"/>
  <c r="C67" i="2"/>
  <c r="C70" i="2" s="1"/>
  <c r="C73" i="2" s="1"/>
  <c r="C68" i="2"/>
  <c r="E68" i="2"/>
  <c r="E70" i="2" s="1"/>
  <c r="F68" i="2"/>
  <c r="C69" i="2"/>
  <c r="E69" i="2"/>
  <c r="F69" i="2"/>
  <c r="G69" i="2"/>
  <c r="G70" i="2" s="1"/>
  <c r="C71" i="2"/>
  <c r="D71" i="2"/>
  <c r="E71" i="2"/>
  <c r="C72" i="2"/>
  <c r="E72" i="2"/>
  <c r="D77" i="2"/>
  <c r="E79" i="2"/>
  <c r="E81" i="2"/>
  <c r="C79" i="2"/>
  <c r="F79" i="2"/>
  <c r="C80" i="2"/>
  <c r="D80" i="2"/>
  <c r="D83" i="2" s="1"/>
  <c r="F80" i="2"/>
  <c r="C81" i="2"/>
  <c r="D81" i="2"/>
  <c r="F81" i="2"/>
  <c r="C82" i="2"/>
  <c r="C85" i="2"/>
  <c r="F85" i="2"/>
  <c r="C86" i="2"/>
  <c r="F86" i="2"/>
  <c r="D88" i="2"/>
  <c r="E88" i="2"/>
  <c r="E95" i="2" s="1"/>
  <c r="F88" i="2"/>
  <c r="F95" i="2" s="1"/>
  <c r="G88" i="2"/>
  <c r="G95" i="2" s="1"/>
  <c r="C89" i="2"/>
  <c r="D89" i="2"/>
  <c r="E89" i="2"/>
  <c r="E90" i="2"/>
  <c r="E91" i="2"/>
  <c r="E92" i="2"/>
  <c r="E93" i="2"/>
  <c r="E94" i="2"/>
  <c r="F89" i="2"/>
  <c r="G89" i="2"/>
  <c r="C90" i="2"/>
  <c r="C95" i="2" s="1"/>
  <c r="D90" i="2"/>
  <c r="D95" i="2" s="1"/>
  <c r="G90" i="2"/>
  <c r="C91" i="2"/>
  <c r="D91" i="2"/>
  <c r="F91" i="2"/>
  <c r="C92" i="2"/>
  <c r="D92" i="2"/>
  <c r="F92" i="2"/>
  <c r="C93" i="2"/>
  <c r="D93" i="2"/>
  <c r="F93" i="2"/>
  <c r="C94" i="2"/>
  <c r="D94" i="2"/>
  <c r="F94" i="2"/>
  <c r="C105" i="2"/>
  <c r="E105" i="2"/>
  <c r="D107" i="2"/>
  <c r="F107" i="2"/>
  <c r="G107" i="2"/>
  <c r="E110" i="2"/>
  <c r="E111" i="2"/>
  <c r="E112" i="2"/>
  <c r="E116" i="2"/>
  <c r="E117" i="2"/>
  <c r="C114" i="2"/>
  <c r="F120" i="2"/>
  <c r="G120" i="2"/>
  <c r="C122" i="2"/>
  <c r="E122" i="2"/>
  <c r="E126" i="2"/>
  <c r="E127" i="2"/>
  <c r="E129" i="2"/>
  <c r="E135" i="2"/>
  <c r="D126" i="2"/>
  <c r="D136" i="2" s="1"/>
  <c r="F126" i="2"/>
  <c r="K411" i="1"/>
  <c r="K426" i="1" s="1"/>
  <c r="G126" i="2" s="1"/>
  <c r="G136" i="2" s="1"/>
  <c r="G137" i="2" s="1"/>
  <c r="K419" i="1"/>
  <c r="K425" i="1"/>
  <c r="L255" i="1"/>
  <c r="C127" i="2" s="1"/>
  <c r="L256" i="1"/>
  <c r="C128" i="2" s="1"/>
  <c r="L257" i="1"/>
  <c r="C129" i="2"/>
  <c r="C134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B149" i="2"/>
  <c r="C149" i="2"/>
  <c r="D149" i="2"/>
  <c r="E149" i="2"/>
  <c r="F149" i="2"/>
  <c r="G149" i="2"/>
  <c r="B150" i="2"/>
  <c r="C150" i="2"/>
  <c r="D150" i="2"/>
  <c r="E150" i="2"/>
  <c r="F150" i="2"/>
  <c r="B151" i="2"/>
  <c r="F151" i="2"/>
  <c r="B152" i="2"/>
  <c r="C152" i="2"/>
  <c r="G152" i="2" s="1"/>
  <c r="D152" i="2"/>
  <c r="E152" i="2"/>
  <c r="F152" i="2"/>
  <c r="F490" i="1"/>
  <c r="B153" i="2" s="1"/>
  <c r="G490" i="1"/>
  <c r="C153" i="2"/>
  <c r="J490" i="1"/>
  <c r="F153" i="2"/>
  <c r="B154" i="2"/>
  <c r="G154" i="2" s="1"/>
  <c r="C154" i="2"/>
  <c r="D154" i="2"/>
  <c r="E154" i="2"/>
  <c r="F154" i="2"/>
  <c r="B155" i="2"/>
  <c r="C155" i="2"/>
  <c r="D155" i="2"/>
  <c r="E155" i="2"/>
  <c r="F155" i="2"/>
  <c r="F493" i="1"/>
  <c r="K493" i="1" s="1"/>
  <c r="B156" i="2"/>
  <c r="D156" i="2"/>
  <c r="G493" i="1"/>
  <c r="C156" i="2"/>
  <c r="H493" i="1"/>
  <c r="I493" i="1"/>
  <c r="E156" i="2" s="1"/>
  <c r="J493" i="1"/>
  <c r="F156" i="2" s="1"/>
  <c r="F19" i="1"/>
  <c r="G19" i="1"/>
  <c r="G608" i="1"/>
  <c r="H19" i="1"/>
  <c r="G609" i="1" s="1"/>
  <c r="I19" i="1"/>
  <c r="G610" i="1"/>
  <c r="F33" i="1"/>
  <c r="G33" i="1"/>
  <c r="H33" i="1"/>
  <c r="I33" i="1"/>
  <c r="F43" i="1"/>
  <c r="G43" i="1"/>
  <c r="H43" i="1"/>
  <c r="H44" i="1" s="1"/>
  <c r="H609" i="1" s="1"/>
  <c r="G614" i="1"/>
  <c r="I43" i="1"/>
  <c r="I44" i="1" s="1"/>
  <c r="H610" i="1" s="1"/>
  <c r="F169" i="1"/>
  <c r="I169" i="1"/>
  <c r="F175" i="1"/>
  <c r="G175" i="1"/>
  <c r="H175" i="1"/>
  <c r="H184" i="1" s="1"/>
  <c r="I175" i="1"/>
  <c r="I184" i="1"/>
  <c r="J175" i="1"/>
  <c r="G635" i="1" s="1"/>
  <c r="F180" i="1"/>
  <c r="G180" i="1"/>
  <c r="G184" i="1" s="1"/>
  <c r="H180" i="1"/>
  <c r="I180" i="1"/>
  <c r="F184" i="1"/>
  <c r="F203" i="1"/>
  <c r="G203" i="1"/>
  <c r="I203" i="1"/>
  <c r="J203" i="1"/>
  <c r="J249" i="1" s="1"/>
  <c r="K203" i="1"/>
  <c r="K249" i="1" s="1"/>
  <c r="K263" i="1" s="1"/>
  <c r="F221" i="1"/>
  <c r="G221" i="1"/>
  <c r="G249" i="1" s="1"/>
  <c r="G263" i="1" s="1"/>
  <c r="I221" i="1"/>
  <c r="J221" i="1"/>
  <c r="K221" i="1"/>
  <c r="F239" i="1"/>
  <c r="G239" i="1"/>
  <c r="I239" i="1"/>
  <c r="J239" i="1"/>
  <c r="K239" i="1"/>
  <c r="F248" i="1"/>
  <c r="G248" i="1"/>
  <c r="H248" i="1"/>
  <c r="I248" i="1"/>
  <c r="J248" i="1"/>
  <c r="K248" i="1"/>
  <c r="F282" i="1"/>
  <c r="F330" i="1" s="1"/>
  <c r="F344" i="1" s="1"/>
  <c r="G282" i="1"/>
  <c r="G330" i="1"/>
  <c r="G344" i="1" s="1"/>
  <c r="H282" i="1"/>
  <c r="I282" i="1"/>
  <c r="F301" i="1"/>
  <c r="G301" i="1"/>
  <c r="H301" i="1"/>
  <c r="I301" i="1"/>
  <c r="F320" i="1"/>
  <c r="G320" i="1"/>
  <c r="H320" i="1"/>
  <c r="H330" i="1" s="1"/>
  <c r="H344" i="1" s="1"/>
  <c r="I320" i="1"/>
  <c r="I330" i="1" s="1"/>
  <c r="I344" i="1" s="1"/>
  <c r="F329" i="1"/>
  <c r="G329" i="1"/>
  <c r="H329" i="1"/>
  <c r="I329" i="1"/>
  <c r="J329" i="1"/>
  <c r="K329" i="1"/>
  <c r="K330" i="1"/>
  <c r="K344" i="1" s="1"/>
  <c r="F354" i="1"/>
  <c r="G354" i="1"/>
  <c r="H354" i="1"/>
  <c r="I354" i="1"/>
  <c r="G624" i="1"/>
  <c r="J354" i="1"/>
  <c r="K354" i="1"/>
  <c r="I360" i="1"/>
  <c r="F361" i="1"/>
  <c r="G361" i="1"/>
  <c r="H361" i="1"/>
  <c r="I361" i="1"/>
  <c r="L373" i="1"/>
  <c r="F374" i="1"/>
  <c r="G374" i="1"/>
  <c r="H374" i="1"/>
  <c r="I374" i="1"/>
  <c r="J374" i="1"/>
  <c r="K374" i="1"/>
  <c r="F385" i="1"/>
  <c r="G385" i="1"/>
  <c r="H385" i="1"/>
  <c r="H400" i="1" s="1"/>
  <c r="H634" i="1" s="1"/>
  <c r="J634" i="1" s="1"/>
  <c r="I385" i="1"/>
  <c r="I400" i="1" s="1"/>
  <c r="F393" i="1"/>
  <c r="F400" i="1" s="1"/>
  <c r="H633" i="1" s="1"/>
  <c r="J633" i="1" s="1"/>
  <c r="G393" i="1"/>
  <c r="H393" i="1"/>
  <c r="I393" i="1"/>
  <c r="F399" i="1"/>
  <c r="G399" i="1"/>
  <c r="H399" i="1"/>
  <c r="I399" i="1"/>
  <c r="L405" i="1"/>
  <c r="L411" i="1" s="1"/>
  <c r="L406" i="1"/>
  <c r="L407" i="1"/>
  <c r="L408" i="1"/>
  <c r="L409" i="1"/>
  <c r="L410" i="1"/>
  <c r="F411" i="1"/>
  <c r="G411" i="1"/>
  <c r="G426" i="1" s="1"/>
  <c r="H411" i="1"/>
  <c r="I411" i="1"/>
  <c r="I426" i="1" s="1"/>
  <c r="J411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5" i="1" s="1"/>
  <c r="L423" i="1"/>
  <c r="L424" i="1"/>
  <c r="F425" i="1"/>
  <c r="G425" i="1"/>
  <c r="H425" i="1"/>
  <c r="I425" i="1"/>
  <c r="J425" i="1"/>
  <c r="F426" i="1"/>
  <c r="H426" i="1"/>
  <c r="J426" i="1"/>
  <c r="F438" i="1"/>
  <c r="G629" i="1" s="1"/>
  <c r="J629" i="1" s="1"/>
  <c r="G438" i="1"/>
  <c r="G630" i="1" s="1"/>
  <c r="J630" i="1" s="1"/>
  <c r="H438" i="1"/>
  <c r="G631" i="1" s="1"/>
  <c r="J631" i="1" s="1"/>
  <c r="F444" i="1"/>
  <c r="G444" i="1"/>
  <c r="H444" i="1"/>
  <c r="H451" i="1" s="1"/>
  <c r="H631" i="1" s="1"/>
  <c r="F450" i="1"/>
  <c r="G450" i="1"/>
  <c r="G451" i="1" s="1"/>
  <c r="H630" i="1" s="1"/>
  <c r="H450" i="1"/>
  <c r="I450" i="1"/>
  <c r="F451" i="1"/>
  <c r="F460" i="1"/>
  <c r="G460" i="1"/>
  <c r="H460" i="1"/>
  <c r="I460" i="1"/>
  <c r="I466" i="1" s="1"/>
  <c r="H615" i="1" s="1"/>
  <c r="J460" i="1"/>
  <c r="J466" i="1" s="1"/>
  <c r="H616" i="1" s="1"/>
  <c r="F464" i="1"/>
  <c r="G464" i="1"/>
  <c r="H464" i="1"/>
  <c r="I464" i="1"/>
  <c r="J464" i="1"/>
  <c r="K485" i="1"/>
  <c r="K486" i="1"/>
  <c r="K487" i="1"/>
  <c r="K491" i="1"/>
  <c r="K492" i="1"/>
  <c r="F507" i="1"/>
  <c r="G507" i="1"/>
  <c r="H507" i="1"/>
  <c r="I507" i="1"/>
  <c r="F514" i="1"/>
  <c r="G514" i="1"/>
  <c r="I514" i="1"/>
  <c r="J514" i="1"/>
  <c r="K514" i="1"/>
  <c r="K535" i="1" s="1"/>
  <c r="F519" i="1"/>
  <c r="F535" i="1" s="1"/>
  <c r="G519" i="1"/>
  <c r="H519" i="1"/>
  <c r="I519" i="1"/>
  <c r="J519" i="1"/>
  <c r="K519" i="1"/>
  <c r="F524" i="1"/>
  <c r="G524" i="1"/>
  <c r="H524" i="1"/>
  <c r="I524" i="1"/>
  <c r="I535" i="1" s="1"/>
  <c r="J524" i="1"/>
  <c r="K524" i="1"/>
  <c r="F529" i="1"/>
  <c r="G529" i="1"/>
  <c r="H529" i="1"/>
  <c r="I529" i="1"/>
  <c r="J529" i="1"/>
  <c r="K529" i="1"/>
  <c r="F534" i="1"/>
  <c r="G534" i="1"/>
  <c r="I534" i="1"/>
  <c r="J534" i="1"/>
  <c r="K534" i="1"/>
  <c r="J535" i="1"/>
  <c r="L547" i="1"/>
  <c r="L548" i="1"/>
  <c r="L549" i="1"/>
  <c r="F550" i="1"/>
  <c r="G550" i="1"/>
  <c r="H550" i="1"/>
  <c r="I550" i="1"/>
  <c r="I561" i="1" s="1"/>
  <c r="J550" i="1"/>
  <c r="K550" i="1"/>
  <c r="L550" i="1"/>
  <c r="L552" i="1"/>
  <c r="L555" i="1" s="1"/>
  <c r="L553" i="1"/>
  <c r="L554" i="1"/>
  <c r="F555" i="1"/>
  <c r="F561" i="1" s="1"/>
  <c r="G555" i="1"/>
  <c r="H555" i="1"/>
  <c r="I555" i="1"/>
  <c r="J555" i="1"/>
  <c r="K555" i="1"/>
  <c r="L557" i="1"/>
  <c r="L560" i="1" s="1"/>
  <c r="L558" i="1"/>
  <c r="L559" i="1"/>
  <c r="F560" i="1"/>
  <c r="G560" i="1"/>
  <c r="H560" i="1"/>
  <c r="I560" i="1"/>
  <c r="J560" i="1"/>
  <c r="K560" i="1"/>
  <c r="G561" i="1"/>
  <c r="K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J637" i="1" s="1"/>
  <c r="K582" i="1"/>
  <c r="K583" i="1"/>
  <c r="K584" i="1"/>
  <c r="K585" i="1"/>
  <c r="K586" i="1"/>
  <c r="K587" i="1"/>
  <c r="H588" i="1"/>
  <c r="H639" i="1"/>
  <c r="I588" i="1"/>
  <c r="H640" i="1"/>
  <c r="J588" i="1"/>
  <c r="H641" i="1"/>
  <c r="J641" i="1" s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L604" i="1"/>
  <c r="G607" i="1"/>
  <c r="G612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G633" i="1"/>
  <c r="G634" i="1"/>
  <c r="G641" i="1"/>
  <c r="G642" i="1"/>
  <c r="H642" i="1"/>
  <c r="J642" i="1"/>
  <c r="G643" i="1"/>
  <c r="H643" i="1"/>
  <c r="J643" i="1"/>
  <c r="G644" i="1"/>
  <c r="J644" i="1" s="1"/>
  <c r="H644" i="1"/>
  <c r="G645" i="1"/>
  <c r="H645" i="1"/>
  <c r="J645" i="1"/>
  <c r="F249" i="1"/>
  <c r="F263" i="1"/>
  <c r="J561" i="1"/>
  <c r="J624" i="1"/>
  <c r="G155" i="2"/>
  <c r="E32" i="2"/>
  <c r="L385" i="1"/>
  <c r="F31" i="13"/>
  <c r="G31" i="13"/>
  <c r="J330" i="1"/>
  <c r="J344" i="1"/>
  <c r="E104" i="2"/>
  <c r="E49" i="2"/>
  <c r="E54" i="2" s="1"/>
  <c r="E55" i="2" s="1"/>
  <c r="L399" i="1"/>
  <c r="C132" i="2"/>
  <c r="F33" i="13"/>
  <c r="C130" i="2"/>
  <c r="G148" i="2"/>
  <c r="G150" i="2"/>
  <c r="H466" i="1"/>
  <c r="H614" i="1" s="1"/>
  <c r="F466" i="1"/>
  <c r="H612" i="1" s="1"/>
  <c r="J612" i="1" s="1"/>
  <c r="H154" i="1"/>
  <c r="E80" i="2"/>
  <c r="F132" i="1"/>
  <c r="F44" i="1"/>
  <c r="H607" i="1"/>
  <c r="J607" i="1"/>
  <c r="G652" i="1"/>
  <c r="G640" i="1"/>
  <c r="J640" i="1" s="1"/>
  <c r="H561" i="1"/>
  <c r="G535" i="1"/>
  <c r="L329" i="1"/>
  <c r="I539" i="1"/>
  <c r="I542" i="1" s="1"/>
  <c r="L529" i="1"/>
  <c r="E50" i="2"/>
  <c r="H104" i="1"/>
  <c r="C50" i="2"/>
  <c r="C54" i="2"/>
  <c r="F48" i="2"/>
  <c r="F70" i="2"/>
  <c r="I104" i="1"/>
  <c r="D14" i="13"/>
  <c r="C14" i="13"/>
  <c r="C115" i="2"/>
  <c r="C21" i="10"/>
  <c r="L189" i="1"/>
  <c r="C10" i="10" s="1"/>
  <c r="F652" i="1"/>
  <c r="C116" i="2"/>
  <c r="H637" i="1"/>
  <c r="L207" i="1"/>
  <c r="L221" i="1" s="1"/>
  <c r="L225" i="1"/>
  <c r="C101" i="2" s="1"/>
  <c r="G639" i="1"/>
  <c r="J639" i="1"/>
  <c r="H514" i="1"/>
  <c r="H535" i="1" s="1"/>
  <c r="G466" i="1"/>
  <c r="H613" i="1" s="1"/>
  <c r="J613" i="1" s="1"/>
  <c r="G400" i="1"/>
  <c r="H635" i="1" s="1"/>
  <c r="L248" i="1"/>
  <c r="I249" i="1"/>
  <c r="I263" i="1"/>
  <c r="G44" i="1"/>
  <c r="H608" i="1" s="1"/>
  <c r="G613" i="1"/>
  <c r="J10" i="1"/>
  <c r="G10" i="2" s="1"/>
  <c r="C123" i="2"/>
  <c r="C32" i="10"/>
  <c r="D15" i="13"/>
  <c r="C15" i="13" s="1"/>
  <c r="C62" i="2"/>
  <c r="E101" i="2"/>
  <c r="L426" i="1" l="1"/>
  <c r="G628" i="1" s="1"/>
  <c r="J628" i="1" s="1"/>
  <c r="D137" i="2"/>
  <c r="G151" i="2"/>
  <c r="J608" i="1"/>
  <c r="E96" i="2"/>
  <c r="J609" i="1"/>
  <c r="J614" i="1"/>
  <c r="E120" i="2"/>
  <c r="E137" i="2" s="1"/>
  <c r="E73" i="2"/>
  <c r="L561" i="1"/>
  <c r="J635" i="1"/>
  <c r="G9" i="2"/>
  <c r="G19" i="2" s="1"/>
  <c r="J19" i="1"/>
  <c r="G611" i="1" s="1"/>
  <c r="J638" i="1"/>
  <c r="G651" i="1"/>
  <c r="D29" i="13"/>
  <c r="C29" i="13" s="1"/>
  <c r="F651" i="1"/>
  <c r="H651" i="1"/>
  <c r="G542" i="1"/>
  <c r="G55" i="2"/>
  <c r="L400" i="1"/>
  <c r="C131" i="2"/>
  <c r="C133" i="2" s="1"/>
  <c r="I185" i="1"/>
  <c r="G620" i="1" s="1"/>
  <c r="J620" i="1" s="1"/>
  <c r="J263" i="1"/>
  <c r="H638" i="1"/>
  <c r="G37" i="2"/>
  <c r="G42" i="2" s="1"/>
  <c r="J43" i="1"/>
  <c r="J33" i="1"/>
  <c r="G24" i="2"/>
  <c r="G32" i="2" s="1"/>
  <c r="L514" i="1"/>
  <c r="F539" i="1"/>
  <c r="K540" i="1"/>
  <c r="J185" i="1"/>
  <c r="D55" i="2"/>
  <c r="D96" i="2" s="1"/>
  <c r="C12" i="10"/>
  <c r="C112" i="2"/>
  <c r="L203" i="1"/>
  <c r="C17" i="10"/>
  <c r="E8" i="13"/>
  <c r="C16" i="10"/>
  <c r="C111" i="2"/>
  <c r="C107" i="2"/>
  <c r="F55" i="2"/>
  <c r="J610" i="1"/>
  <c r="G156" i="2"/>
  <c r="G73" i="2"/>
  <c r="D43" i="2"/>
  <c r="C96" i="2"/>
  <c r="L282" i="1"/>
  <c r="L239" i="1"/>
  <c r="H650" i="1" s="1"/>
  <c r="L301" i="1"/>
  <c r="G650" i="1" s="1"/>
  <c r="G654" i="1" s="1"/>
  <c r="D12" i="13"/>
  <c r="C12" i="13" s="1"/>
  <c r="C19" i="10"/>
  <c r="H33" i="13"/>
  <c r="C20" i="10"/>
  <c r="H221" i="1"/>
  <c r="C110" i="2"/>
  <c r="C18" i="10"/>
  <c r="G615" i="1"/>
  <c r="J615" i="1" s="1"/>
  <c r="J184" i="1"/>
  <c r="D151" i="2"/>
  <c r="F77" i="2"/>
  <c r="F83" i="2" s="1"/>
  <c r="D5" i="13"/>
  <c r="C102" i="2"/>
  <c r="G104" i="1"/>
  <c r="G185" i="1" s="1"/>
  <c r="G618" i="1" s="1"/>
  <c r="J618" i="1" s="1"/>
  <c r="H490" i="1"/>
  <c r="L531" i="1"/>
  <c r="F161" i="1"/>
  <c r="C39" i="10" s="1"/>
  <c r="L354" i="1"/>
  <c r="D6" i="13"/>
  <c r="C6" i="13" s="1"/>
  <c r="C35" i="10"/>
  <c r="F104" i="1"/>
  <c r="C106" i="2"/>
  <c r="C117" i="2"/>
  <c r="C104" i="2"/>
  <c r="H203" i="1"/>
  <c r="H249" i="1" s="1"/>
  <c r="H263" i="1" s="1"/>
  <c r="G128" i="1"/>
  <c r="G132" i="1" s="1"/>
  <c r="C38" i="10" s="1"/>
  <c r="E134" i="2"/>
  <c r="E136" i="2" s="1"/>
  <c r="C24" i="10"/>
  <c r="I438" i="1"/>
  <c r="G632" i="1" s="1"/>
  <c r="J632" i="1" s="1"/>
  <c r="G657" i="1" l="1"/>
  <c r="G662" i="1"/>
  <c r="C5" i="10" s="1"/>
  <c r="G43" i="2"/>
  <c r="C137" i="2"/>
  <c r="C5" i="13"/>
  <c r="L535" i="1"/>
  <c r="C120" i="2"/>
  <c r="G621" i="1"/>
  <c r="J621" i="1" s="1"/>
  <c r="G636" i="1"/>
  <c r="H636" i="1"/>
  <c r="G627" i="1"/>
  <c r="J627" i="1" s="1"/>
  <c r="J611" i="1"/>
  <c r="K490" i="1"/>
  <c r="D153" i="2"/>
  <c r="G153" i="2" s="1"/>
  <c r="C27" i="10"/>
  <c r="G625" i="1"/>
  <c r="J625" i="1" s="1"/>
  <c r="J539" i="1"/>
  <c r="J542" i="1" s="1"/>
  <c r="L534" i="1"/>
  <c r="F96" i="2"/>
  <c r="F542" i="1"/>
  <c r="K539" i="1"/>
  <c r="K542" i="1" s="1"/>
  <c r="G96" i="2"/>
  <c r="C8" i="13"/>
  <c r="E33" i="13"/>
  <c r="D35" i="13" s="1"/>
  <c r="G616" i="1"/>
  <c r="J616" i="1" s="1"/>
  <c r="J44" i="1"/>
  <c r="H611" i="1" s="1"/>
  <c r="H654" i="1"/>
  <c r="L330" i="1"/>
  <c r="L344" i="1" s="1"/>
  <c r="G623" i="1" s="1"/>
  <c r="J623" i="1" s="1"/>
  <c r="D31" i="13"/>
  <c r="C31" i="13" s="1"/>
  <c r="L249" i="1"/>
  <c r="L263" i="1" s="1"/>
  <c r="G622" i="1" s="1"/>
  <c r="J622" i="1" s="1"/>
  <c r="F650" i="1"/>
  <c r="I651" i="1"/>
  <c r="F185" i="1"/>
  <c r="G617" i="1" s="1"/>
  <c r="J617" i="1" s="1"/>
  <c r="C36" i="10"/>
  <c r="C136" i="2"/>
  <c r="C41" i="10" l="1"/>
  <c r="D33" i="13"/>
  <c r="D36" i="13" s="1"/>
  <c r="H646" i="1"/>
  <c r="J636" i="1"/>
  <c r="I650" i="1"/>
  <c r="I654" i="1" s="1"/>
  <c r="F654" i="1"/>
  <c r="H662" i="1"/>
  <c r="C6" i="10" s="1"/>
  <c r="H657" i="1"/>
  <c r="C28" i="10"/>
  <c r="F662" i="1" l="1"/>
  <c r="C4" i="10" s="1"/>
  <c r="F657" i="1"/>
  <c r="D21" i="10"/>
  <c r="D23" i="10"/>
  <c r="D22" i="10"/>
  <c r="D25" i="10"/>
  <c r="C30" i="10"/>
  <c r="D10" i="10"/>
  <c r="D28" i="10" s="1"/>
  <c r="D26" i="10"/>
  <c r="D11" i="10"/>
  <c r="D13" i="10"/>
  <c r="D15" i="10"/>
  <c r="D17" i="10"/>
  <c r="D16" i="10"/>
  <c r="D20" i="10"/>
  <c r="D18" i="10"/>
  <c r="D19" i="10"/>
  <c r="D24" i="10"/>
  <c r="D12" i="10"/>
  <c r="I657" i="1"/>
  <c r="I662" i="1"/>
  <c r="C7" i="10" s="1"/>
  <c r="D37" i="10"/>
  <c r="D40" i="10"/>
  <c r="D38" i="10"/>
  <c r="D39" i="10"/>
  <c r="D35" i="10"/>
  <c r="D27" i="10"/>
  <c r="D36" i="10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81F6C9EC-64C0-465A-AEF3-93B7972F2889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E872C3F3-7976-4F18-AE71-DECAB558961E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52D3A1E8-71E2-419F-8FDC-EADE4F0D25B1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DF6B4A7C-DCCD-4277-BB56-92668498D5A3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2F0D3CAB-531D-4472-A921-5FB3478A11A1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FB197BA4-5B18-47ED-B9E1-6645FB8C3BA9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A0D6EDD7-CC11-4FB8-A48D-41ABE66A621B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A18CAF99-ED11-4847-A861-42608CD43289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4DE39764-1376-40AD-999E-1CD2C439D628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F120E354-D3B6-47E0-AA09-15F452B1081C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6F5B754E-8723-42BB-BC7D-30ECAA11A2DD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2174F587-BB6F-4CD9-9979-A5EBFA0282C4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<sst xmlns="http://schemas.openxmlformats.org/spreadsheetml/2006/main" count="3876" uniqueCount="913">
  <si>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</si>
  <si>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</si>
  <si>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</si>
  <si>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</si>
  <si>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</si>
  <si>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</si>
  <si>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</si>
  <si>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</si>
  <si>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</si>
  <si>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</si>
  <si>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</si>
  <si>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</si>
  <si>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</si>
  <si>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</si>
  <si>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</si>
  <si>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</si>
  <si>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</si>
  <si>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</si>
  <si>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</si>
  <si>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</si>
  <si>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</si>
  <si>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</si>
  <si>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</si>
  <si>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</si>
  <si>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</si>
  <si>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</si>
  <si>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</si>
  <si>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</si>
  <si>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</si>
  <si>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</si>
  <si>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</si>
  <si>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</si>
  <si>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</si>
  <si>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</si>
  <si>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</si>
  <si>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</si>
  <si>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</si>
  <si>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</si>
  <si>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</si>
  <si>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</si>
  <si>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</si>
  <si>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</si>
  <si>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</si>
  <si>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</si>
  <si>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</si>
  <si>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</si>
  <si>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</si>
  <si>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</si>
  <si>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</si>
  <si>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</si>
  <si>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</si>
  <si>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</si>
  <si>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</si>
  <si>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</si>
  <si>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</si>
  <si>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</si>
  <si>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</si>
  <si>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</si>
  <si>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</si>
  <si>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</si>
  <si>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</si>
  <si>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</si>
  <si>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</si>
  <si>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</si>
  <si>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</si>
  <si>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</si>
  <si>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</si>
  <si>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</si>
  <si>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</si>
  <si>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</si>
  <si>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</si>
  <si>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</si>
  <si>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</si>
  <si>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</si>
  <si>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</si>
  <si>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</si>
  <si>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</si>
  <si>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</si>
  <si>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</si>
  <si>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</si>
  <si>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</si>
  <si>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</si>
  <si>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</si>
  <si>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</si>
  <si>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</si>
  <si>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</si>
  <si>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</si>
  <si>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</si>
  <si>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</si>
  <si>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</si>
  <si>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</si>
  <si>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</si>
  <si>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</si>
  <si>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</si>
  <si>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</si>
  <si>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</si>
  <si>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</si>
  <si>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</si>
  <si>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</si>
  <si>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</si>
  <si>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</si>
  <si>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</si>
  <si>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</si>
  <si>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</si>
  <si>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</si>
  <si>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</si>
  <si>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</si>
  <si>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</si>
  <si>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</si>
  <si>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</si>
  <si>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</si>
  <si>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</si>
  <si>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</si>
  <si>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</si>
  <si>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</si>
  <si>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</si>
  <si>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</si>
  <si>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</si>
  <si>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</si>
  <si>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</si>
  <si>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</si>
  <si>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</si>
  <si>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</si>
  <si>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</si>
  <si>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</si>
  <si>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</si>
  <si>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</si>
  <si>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</si>
  <si>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</si>
  <si>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</si>
  <si>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</si>
  <si>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</si>
  <si>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</si>
  <si>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</si>
  <si>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</si>
  <si>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</si>
  <si>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</si>
  <si>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</si>
  <si>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</si>
  <si>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</si>
  <si>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</si>
  <si>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</si>
  <si>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</si>
  <si>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</si>
  <si>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</si>
  <si>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</si>
  <si>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</si>
  <si>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</si>
  <si>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</si>
  <si>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</si>
  <si>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</si>
  <si>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</si>
  <si>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</si>
  <si>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</si>
  <si>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</si>
  <si>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</si>
  <si>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</si>
  <si>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</si>
  <si>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</si>
  <si>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</si>
  <si>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</si>
  <si>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</si>
  <si>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</si>
  <si>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</si>
  <si>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</si>
  <si>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</si>
  <si>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</si>
  <si>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</si>
  <si>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</si>
  <si>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</si>
  <si>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</si>
  <si>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</si>
  <si>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</si>
  <si>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</si>
  <si>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</si>
  <si>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</si>
  <si>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</si>
  <si>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</si>
  <si>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</si>
  <si>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</si>
  <si>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</si>
  <si>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</si>
  <si>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</si>
  <si>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</si>
  <si>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</si>
  <si>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</si>
  <si>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</si>
  <si>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</si>
  <si>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</si>
  <si>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</si>
  <si>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</si>
  <si>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</si>
  <si>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</si>
  <si>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</si>
  <si>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</si>
  <si>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</si>
  <si>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</si>
  <si>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</si>
  <si>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</si>
  <si>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</si>
  <si>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</si>
  <si>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</si>
  <si>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</si>
  <si>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</si>
  <si>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</si>
  <si>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</si>
  <si>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</si>
  <si>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</si>
  <si>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</si>
  <si>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</si>
  <si>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</si>
  <si>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</si>
  <si>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</si>
  <si>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</si>
  <si>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</si>
  <si>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</si>
  <si>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</si>
  <si>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</si>
  <si>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</si>
  <si>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</si>
  <si>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</si>
  <si>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</si>
  <si>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</si>
  <si>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</si>
  <si>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</si>
  <si>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</si>
  <si>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</si>
  <si>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</si>
  <si>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</si>
  <si>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</si>
  <si>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</si>
  <si>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</si>
  <si>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</si>
  <si>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</si>
  <si>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</si>
  <si>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</si>
  <si>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</si>
  <si>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</si>
  <si>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</si>
  <si>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</si>
  <si>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</si>
  <si>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</si>
  <si>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</si>
  <si>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</si>
  <si>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</si>
  <si>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</si>
  <si>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</si>
  <si>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</si>
  <si>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</si>
  <si>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</si>
  <si>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</si>
  <si>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</si>
  <si>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</si>
  <si>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</si>
  <si>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</si>
  <si>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</si>
  <si>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</si>
  <si>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</si>
  <si>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</si>
  <si>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</si>
  <si>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</si>
  <si>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</si>
  <si>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</si>
  <si>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</si>
  <si>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</si>
  <si>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</si>
  <si>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</si>
  <si>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</si>
  <si>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</si>
  <si>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</si>
  <si>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</si>
  <si>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</si>
  <si>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</si>
  <si>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</si>
  <si>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</si>
  <si>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</si>
  <si>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</si>
  <si>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</si>
  <si>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</si>
  <si>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</si>
  <si>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</si>
  <si>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</si>
  <si>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</si>
  <si>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</si>
  <si>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</si>
  <si>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</si>
  <si>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</si>
  <si>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</si>
  <si>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</si>
  <si>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</si>
  <si>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</si>
  <si>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</si>
  <si>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</si>
  <si>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</si>
  <si>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</si>
  <si>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</si>
  <si>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</si>
  <si>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</si>
  <si>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</si>
  <si>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</si>
  <si>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</si>
  <si>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</si>
  <si>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</si>
  <si>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</si>
  <si>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</si>
  <si>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</si>
  <si>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</si>
  <si>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</si>
  <si>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</si>
  <si>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</si>
  <si>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</si>
  <si>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</si>
  <si>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</si>
  <si>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</si>
  <si>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</si>
  <si>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</si>
  <si>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</si>
  <si>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</si>
  <si>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</si>
  <si>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</si>
  <si>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</si>
  <si>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</si>
  <si>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</si>
  <si>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</si>
  <si>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</si>
  <si>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</si>
  <si>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</si>
  <si>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</si>
  <si>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</si>
  <si>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</si>
  <si>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</si>
  <si>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</si>
  <si>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</si>
  <si>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</si>
  <si>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</si>
  <si>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</si>
  <si>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</si>
  <si>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</si>
  <si>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</si>
  <si>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</si>
  <si>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</si>
  <si>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</si>
  <si>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</si>
  <si>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</si>
  <si>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</si>
  <si>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</si>
  <si>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</si>
  <si>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</si>
  <si>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</si>
  <si>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</si>
  <si>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</si>
  <si>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</si>
  <si>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</si>
  <si>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</si>
  <si>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</si>
  <si>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</si>
  <si>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</si>
  <si>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</si>
  <si>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</si>
  <si>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</si>
  <si>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</si>
  <si>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</si>
  <si>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</si>
  <si>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</si>
  <si>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</si>
  <si>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</si>
  <si>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</si>
  <si>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</si>
  <si>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</si>
  <si>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</si>
  <si>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</si>
  <si>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</si>
  <si>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</si>
  <si>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</si>
  <si>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</si>
  <si>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</si>
  <si>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</si>
  <si>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</si>
  <si>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</si>
  <si>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</si>
  <si>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</si>
  <si>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</si>
  <si>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</si>
  <si>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</si>
  <si>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</si>
  <si>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</si>
  <si>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</si>
  <si>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</si>
  <si>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</si>
  <si>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</si>
  <si>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</si>
  <si>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</si>
  <si>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</si>
  <si>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</si>
  <si>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</si>
  <si>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</si>
  <si>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</si>
  <si>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</si>
  <si>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</si>
  <si>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</si>
  <si>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</si>
  <si>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</si>
  <si>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</si>
  <si>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</si>
  <si>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</si>
  <si>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</si>
  <si>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</si>
  <si>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</si>
  <si>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</si>
  <si>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</si>
  <si>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</si>
  <si>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</si>
  <si>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</si>
  <si>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</si>
  <si>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</si>
  <si>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</si>
  <si>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</si>
  <si>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</si>
  <si>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</si>
  <si>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</si>
  <si>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</si>
  <si>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</si>
  <si>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</si>
  <si>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</si>
  <si>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</si>
  <si>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</si>
  <si>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</si>
  <si>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</si>
  <si>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</si>
  <si>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</si>
  <si>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</si>
  <si>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</si>
  <si>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</si>
  <si>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</si>
  <si>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</si>
  <si>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</si>
  <si>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</si>
  <si>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</si>
  <si>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</si>
  <si>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</si>
  <si>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</si>
  <si>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</si>
  <si>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</si>
  <si>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</si>
  <si>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</si>
  <si>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</si>
  <si>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</si>
  <si>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</si>
  <si>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</si>
  <si>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</si>
  <si>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</si>
  <si>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</si>
  <si>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</si>
  <si>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</si>
  <si>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</si>
  <si>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</si>
  <si>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</si>
  <si>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</si>
  <si>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</si>
  <si>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</si>
  <si>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</si>
  <si>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</si>
  <si>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</si>
  <si>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</si>
  <si>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</si>
  <si>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</si>
  <si>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</si>
  <si>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</si>
  <si>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</si>
  <si>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</si>
  <si>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</si>
  <si>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</si>
  <si>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</si>
  <si>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</si>
  <si>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</si>
  <si>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</si>
  <si>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</si>
  <si>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</si>
  <si>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</si>
  <si>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</si>
  <si>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</si>
  <si>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</si>
  <si>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</si>
  <si>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</si>
  <si>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</si>
  <si>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</si>
  <si>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</si>
  <si>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</si>
  <si>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</si>
  <si>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</si>
  <si>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</si>
  <si>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</si>
  <si>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</si>
  <si>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</si>
  <si>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</si>
  <si>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</si>
  <si>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</si>
  <si>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</si>
  <si>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</si>
  <si>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</si>
  <si>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</si>
  <si>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</si>
  <si>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</si>
  <si>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</si>
  <si>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</si>
  <si>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</si>
  <si>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</si>
  <si>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</si>
  <si>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</si>
  <si>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</si>
  <si>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</si>
  <si>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</si>
  <si>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</si>
  <si>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</si>
  <si>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</si>
  <si>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</si>
  <si>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</si>
  <si>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</si>
  <si>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</si>
  <si>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</si>
  <si>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</si>
  <si>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</si>
  <si>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</si>
  <si>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</si>
  <si>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</si>
  <si>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</si>
  <si>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</si>
  <si>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</si>
  <si>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</si>
  <si>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</si>
  <si>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</si>
  <si>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</si>
  <si>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</si>
  <si>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</si>
  <si>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</si>
  <si>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</si>
  <si>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</si>
  <si>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</si>
  <si>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</si>
  <si>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</si>
  <si>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</si>
  <si>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</si>
  <si>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</si>
  <si>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</si>
  <si>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</si>
  <si>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</si>
  <si>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</si>
  <si>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</si>
  <si>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</si>
  <si>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</si>
  <si>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</si>
  <si>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</si>
  <si>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</si>
  <si>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</si>
  <si>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</si>
  <si>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</si>
  <si>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</si>
  <si>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</si>
  <si>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</si>
  <si>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</si>
  <si>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</si>
  <si>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</si>
  <si>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</si>
  <si>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</si>
  <si>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</si>
  <si>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</si>
  <si>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</si>
  <si>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</si>
  <si>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</si>
  <si>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</si>
  <si>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</si>
  <si>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</si>
  <si>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</si>
  <si>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</si>
  <si>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</si>
  <si>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</si>
  <si>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</si>
  <si>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</si>
  <si>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</si>
  <si>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</si>
  <si>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</si>
  <si>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</si>
  <si>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</si>
  <si>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</si>
  <si>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</si>
  <si>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</si>
  <si>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</si>
  <si>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</si>
  <si>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</si>
  <si>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</si>
  <si>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</si>
  <si>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</si>
  <si>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</si>
  <si>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</si>
  <si>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</si>
  <si>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</si>
  <si>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</si>
  <si>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</si>
  <si>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</si>
  <si>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</si>
  <si>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</si>
  <si>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</si>
  <si>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</si>
  <si>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</si>
  <si>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</si>
  <si>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</si>
  <si>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</si>
  <si>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</si>
  <si>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</si>
  <si>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</si>
  <si>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</si>
  <si>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</si>
  <si>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</si>
  <si>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</si>
  <si>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</si>
  <si>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</si>
  <si>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</si>
  <si>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</si>
  <si>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</si>
  <si>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</si>
  <si>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</si>
  <si>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</si>
  <si>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</si>
  <si>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</si>
  <si>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</si>
  <si>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</si>
  <si>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</si>
  <si>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</si>
  <si>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</si>
  <si>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</si>
  <si>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</si>
  <si>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</si>
  <si>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</si>
  <si>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</si>
  <si>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</si>
  <si>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</si>
  <si>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</si>
  <si>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</si>
  <si>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</si>
  <si>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</si>
  <si>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</si>
  <si>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</si>
  <si>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</si>
  <si>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</si>
  <si>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</si>
  <si>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</si>
  <si>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</si>
  <si>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</si>
  <si>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</si>
  <si>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</si>
  <si>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</si>
  <si>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</si>
  <si>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</si>
  <si>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</si>
  <si>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</si>
  <si>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</si>
  <si>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</si>
  <si>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</si>
  <si>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</si>
  <si>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</si>
  <si>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</si>
  <si>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</si>
  <si>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</si>
  <si>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</si>
  <si>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</si>
  <si>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</si>
  <si>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</si>
  <si>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</si>
  <si>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</si>
  <si>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</si>
  <si>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</si>
  <si>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</si>
  <si>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</si>
  <si>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</si>
  <si>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</si>
  <si>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</si>
  <si>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</si>
  <si>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</si>
  <si>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</si>
  <si>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</si>
  <si>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</si>
  <si>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</si>
  <si>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</si>
  <si>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</si>
  <si>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</si>
  <si>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</si>
  <si>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</si>
  <si>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</si>
  <si>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</si>
  <si>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</si>
  <si>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</si>
  <si>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</si>
  <si>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</si>
  <si>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</si>
  <si>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</si>
  <si>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</si>
  <si>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</si>
  <si>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</si>
  <si>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</si>
  <si>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</si>
  <si>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</si>
  <si>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</si>
  <si>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</si>
  <si>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</si>
  <si>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</si>
  <si>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</si>
  <si>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</si>
  <si>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</si>
  <si>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</si>
  <si>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</si>
  <si>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</si>
  <si>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</si>
  <si>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</si>
  <si>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</si>
  <si>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</si>
  <si>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</si>
  <si>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</si>
  <si>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</si>
  <si>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</si>
  <si>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</si>
  <si>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</si>
  <si>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</si>
  <si>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</si>
  <si>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</si>
  <si>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</si>
  <si>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</si>
  <si>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</si>
  <si>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</si>
  <si>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</si>
  <si>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</si>
  <si>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</si>
  <si>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</si>
  <si>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</si>
  <si>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</si>
  <si>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</si>
  <si>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</si>
  <si>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</si>
  <si>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</si>
  <si>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</si>
  <si>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</si>
  <si>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</si>
  <si>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</si>
  <si>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</si>
  <si>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</si>
  <si>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</si>
  <si>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</si>
  <si>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</si>
  <si>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</si>
  <si>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</si>
  <si>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</si>
  <si>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</si>
  <si>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</si>
  <si>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</si>
  <si>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</si>
  <si>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</si>
  <si>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</si>
  <si>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</si>
  <si>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</si>
  <si>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</si>
  <si>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</si>
  <si>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</si>
  <si>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</si>
  <si>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</si>
  <si>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</si>
  <si>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</si>
  <si>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</si>
  <si>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</si>
  <si>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</si>
  <si>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</si>
  <si>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</si>
  <si>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</si>
  <si>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</si>
  <si>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</si>
  <si>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</si>
  <si>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</si>
  <si>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</si>
  <si>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</si>
  <si>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</si>
  <si>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</si>
  <si>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</si>
  <si>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</si>
  <si>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</si>
  <si>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</si>
  <si>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</si>
  <si>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</si>
  <si>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</si>
  <si>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</si>
  <si>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</si>
  <si>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</si>
  <si>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</si>
  <si>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</si>
  <si>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</si>
  <si>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</si>
  <si>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</si>
  <si>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</si>
  <si>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</si>
  <si>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</si>
  <si>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</si>
  <si>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</si>
  <si>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</si>
  <si>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</si>
  <si>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</si>
  <si>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</si>
  <si>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</si>
  <si>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</si>
  <si>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</si>
  <si>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</si>
  <si>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</si>
  <si>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</si>
  <si>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</si>
  <si>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</si>
  <si>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</si>
  <si>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</si>
  <si>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</si>
  <si>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</si>
  <si>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</si>
  <si>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</si>
  <si>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</si>
  <si>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</si>
  <si>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</si>
  <si>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</si>
  <si>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</si>
  <si>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</si>
  <si>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</si>
  <si>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</si>
  <si>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</si>
  <si>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</si>
  <si>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</si>
  <si>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</si>
  <si>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</si>
  <si>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</si>
  <si>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</si>
  <si>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</si>
  <si>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</si>
  <si>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</si>
  <si>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</si>
  <si>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</si>
  <si>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</si>
  <si>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</si>
  <si>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</si>
  <si>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</si>
  <si>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</si>
  <si>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</si>
  <si>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</si>
  <si>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</si>
  <si>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</si>
  <si>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</si>
  <si>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</si>
  <si>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</si>
  <si>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</si>
  <si>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</si>
  <si>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</si>
  <si>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</si>
  <si>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</si>
  <si>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</si>
  <si>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</si>
  <si>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</si>
  <si>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</si>
  <si>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</si>
  <si>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</si>
  <si>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</si>
  <si>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</si>
  <si>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</si>
  <si>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</si>
  <si>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</si>
  <si>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</si>
  <si>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</si>
  <si>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</si>
  <si>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</si>
  <si>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</si>
  <si>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</si>
  <si>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</si>
  <si>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</si>
  <si>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</si>
  <si>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</si>
  <si>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</si>
  <si>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</si>
  <si>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</si>
  <si>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</si>
  <si>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</si>
  <si>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</si>
  <si>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</si>
  <si>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</si>
  <si>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</si>
  <si>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</si>
  <si>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</si>
  <si>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</si>
  <si>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</si>
  <si>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</si>
  <si>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</si>
  <si>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</si>
  <si>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</si>
  <si>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</si>
  <si>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</si>
  <si>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HAVERHILL COOPERATIVE</t>
  </si>
  <si>
    <t>Equipment negative expense due to refund on equipment bought with IDEA ARRA funds prior to July 1</t>
  </si>
  <si>
    <t>does not equal 700s reported pages 10 &amp; 14 because:</t>
  </si>
  <si>
    <t>6,7</t>
  </si>
  <si>
    <t>Haverhill contracts with Café Services; all reported under 300s</t>
  </si>
  <si>
    <t>02/92</t>
  </si>
  <si>
    <t>7/91</t>
  </si>
  <si>
    <t>08/21/03</t>
  </si>
  <si>
    <t>7/6/2005</t>
  </si>
  <si>
    <t>3/2/2009</t>
  </si>
  <si>
    <t>8/2011</t>
  </si>
  <si>
    <t>1/2011</t>
  </si>
  <si>
    <t>08/21/2018</t>
  </si>
  <si>
    <t>7/5/2021</t>
  </si>
  <si>
    <t>3/1/2019</t>
  </si>
  <si>
    <t>function 1800 Community Program purchased $9,500 van under 700s  (district-wide expense, not included on p23, l12)</t>
  </si>
  <si>
    <t>MS25</t>
  </si>
  <si>
    <t>5252 &amp; 5254 Transfers is not accurate - picking up interest also, not just transfers</t>
  </si>
  <si>
    <t>26-29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</si>
</sst>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2" fillId="0" borderId="0" xfId="0" applyNumberFormat="1" applyFont="1" applyAlignment="1" applyProtection="1">
      <alignment horizontal="left"/>
    </xf>
    <xf numFmtId="165" fontId="2" fillId="0" borderId="0" xfId="0" applyNumberFormat="1" applyFont="1" applyAlignment="1" applyProtection="1">
      <alignment horizontal="left"/>
    </xf>
    <xf numFmtId="0" fontId="2" fillId="0" borderId="0" xfId="0" applyFont="1"/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center"/>
    </xf>
    <xf numFmtId="165" fontId="2" fillId="0" borderId="0" xfId="0" applyNumberFormat="1" applyFont="1" applyAlignment="1" applyProtection="1">
      <alignment horizontal="center"/>
    </xf>
    <xf numFmtId="165" fontId="2" fillId="0" borderId="0" xfId="0" applyNumberFormat="1" applyFont="1" applyProtection="1"/>
    <xf numFmtId="165" fontId="3" fillId="0" borderId="0" xfId="0" applyNumberFormat="1" applyFont="1" applyProtection="1">
      <protection locked="0"/>
    </xf>
    <xf numFmtId="164" fontId="3" fillId="0" borderId="0" xfId="0" applyNumberFormat="1" applyFont="1" applyProtection="1">
      <protection locked="0"/>
    </xf>
    <xf numFmtId="4" fontId="3" fillId="0" borderId="0" xfId="0" applyNumberFormat="1" applyFont="1" applyProtection="1">
      <protection locked="0"/>
    </xf>
    <xf numFmtId="0" fontId="2" fillId="0" borderId="1" xfId="0" applyFont="1" applyBorder="1"/>
    <xf numFmtId="0" fontId="0" fillId="0" borderId="2" xfId="0" applyBorder="1"/>
    <xf numFmtId="40" fontId="2" fillId="0" borderId="0" xfId="0" applyNumberFormat="1" applyFont="1"/>
    <xf numFmtId="40" fontId="2" fillId="0" borderId="0" xfId="0" applyNumberFormat="1" applyFont="1" applyAlignment="1" applyProtection="1">
      <alignment horizontal="left"/>
    </xf>
    <xf numFmtId="40" fontId="2" fillId="0" borderId="0" xfId="0" quotePrefix="1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center"/>
    </xf>
    <xf numFmtId="40" fontId="3" fillId="0" borderId="0" xfId="0" applyNumberFormat="1" applyFont="1" applyAlignment="1" applyProtection="1">
      <alignment horizontal="left"/>
      <protection locked="0"/>
    </xf>
    <xf numFmtId="40" fontId="3" fillId="0" borderId="0" xfId="0" applyNumberFormat="1" applyFont="1" applyProtection="1">
      <protection locked="0"/>
    </xf>
    <xf numFmtId="40" fontId="2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4" fillId="0" borderId="0" xfId="0" applyNumberFormat="1" applyFont="1" applyProtection="1"/>
    <xf numFmtId="0" fontId="2" fillId="0" borderId="0" xfId="0" applyFont="1" applyAlignment="1">
      <alignment horizontal="center"/>
    </xf>
    <xf numFmtId="40" fontId="2" fillId="2" borderId="0" xfId="0" applyNumberFormat="1" applyFont="1" applyFill="1" applyAlignment="1" applyProtection="1">
      <alignment horizontal="left"/>
    </xf>
    <xf numFmtId="40" fontId="6" fillId="0" borderId="0" xfId="0" applyNumberFormat="1" applyFont="1" applyAlignment="1" applyProtection="1">
      <alignment horizontal="center"/>
    </xf>
    <xf numFmtId="40" fontId="6" fillId="0" borderId="0" xfId="0" applyNumberFormat="1" applyFont="1" applyAlignment="1" applyProtection="1">
      <alignment horizontal="left"/>
    </xf>
    <xf numFmtId="0" fontId="7" fillId="0" borderId="0" xfId="0" applyFont="1"/>
    <xf numFmtId="0" fontId="8" fillId="0" borderId="0" xfId="0" applyFont="1"/>
    <xf numFmtId="164" fontId="6" fillId="0" borderId="0" xfId="0" applyNumberFormat="1" applyFont="1" applyAlignment="1" applyProtection="1">
      <alignment horizontal="left"/>
    </xf>
    <xf numFmtId="164" fontId="7" fillId="0" borderId="0" xfId="0" applyNumberFormat="1" applyFont="1" applyAlignment="1" applyProtection="1">
      <alignment horizontal="left"/>
    </xf>
    <xf numFmtId="165" fontId="9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10" fillId="0" borderId="0" xfId="0" applyFont="1"/>
    <xf numFmtId="0" fontId="6" fillId="0" borderId="0" xfId="0" applyFont="1"/>
    <xf numFmtId="165" fontId="12" fillId="0" borderId="0" xfId="0" applyNumberFormat="1" applyFont="1" applyProtection="1">
      <protection locked="0"/>
    </xf>
    <xf numFmtId="165" fontId="2" fillId="0" borderId="0" xfId="0" applyNumberFormat="1" applyFont="1" applyBorder="1" applyAlignment="1" applyProtection="1">
      <alignment horizontal="left"/>
    </xf>
    <xf numFmtId="165" fontId="2" fillId="0" borderId="0" xfId="0" applyNumberFormat="1" applyFont="1" applyBorder="1" applyAlignment="1" applyProtection="1">
      <alignment horizontal="center"/>
    </xf>
    <xf numFmtId="164" fontId="6" fillId="0" borderId="3" xfId="0" applyNumberFormat="1" applyFont="1" applyBorder="1" applyAlignment="1" applyProtection="1">
      <alignment horizontal="left"/>
    </xf>
    <xf numFmtId="165" fontId="2" fillId="0" borderId="3" xfId="0" applyNumberFormat="1" applyFont="1" applyBorder="1" applyAlignment="1" applyProtection="1">
      <alignment horizontal="left"/>
    </xf>
    <xf numFmtId="165" fontId="2" fillId="0" borderId="3" xfId="0" applyNumberFormat="1" applyFont="1" applyBorder="1" applyAlignment="1" applyProtection="1">
      <alignment horizontal="center"/>
    </xf>
    <xf numFmtId="40" fontId="2" fillId="0" borderId="3" xfId="0" applyNumberFormat="1" applyFont="1" applyBorder="1" applyProtection="1"/>
    <xf numFmtId="40" fontId="0" fillId="0" borderId="3" xfId="0" applyNumberFormat="1" applyBorder="1"/>
    <xf numFmtId="0" fontId="10" fillId="0" borderId="3" xfId="0" applyFont="1" applyBorder="1"/>
    <xf numFmtId="0" fontId="2" fillId="0" borderId="3" xfId="0" applyFont="1" applyBorder="1" applyAlignment="1">
      <alignment horizontal="center"/>
    </xf>
    <xf numFmtId="40" fontId="2" fillId="2" borderId="3" xfId="0" applyNumberFormat="1" applyFont="1" applyFill="1" applyBorder="1" applyAlignment="1" applyProtection="1">
      <alignment horizontal="left"/>
    </xf>
    <xf numFmtId="0" fontId="6" fillId="0" borderId="3" xfId="0" applyFont="1" applyBorder="1"/>
    <xf numFmtId="40" fontId="2" fillId="0" borderId="3" xfId="0" applyNumberFormat="1" applyFont="1" applyBorder="1"/>
    <xf numFmtId="165" fontId="2" fillId="0" borderId="4" xfId="0" applyNumberFormat="1" applyFont="1" applyBorder="1" applyAlignment="1" applyProtection="1">
      <alignment horizontal="left"/>
    </xf>
    <xf numFmtId="40" fontId="2" fillId="2" borderId="4" xfId="0" applyNumberFormat="1" applyFont="1" applyFill="1" applyBorder="1" applyAlignment="1" applyProtection="1">
      <alignment horizontal="left"/>
    </xf>
    <xf numFmtId="164" fontId="6" fillId="0" borderId="4" xfId="0" applyNumberFormat="1" applyFont="1" applyBorder="1" applyAlignment="1" applyProtection="1">
      <alignment horizontal="left"/>
    </xf>
    <xf numFmtId="165" fontId="2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10" fillId="0" borderId="0" xfId="0" applyFont="1" applyBorder="1"/>
    <xf numFmtId="0" fontId="6" fillId="0" borderId="0" xfId="0" applyFont="1" applyBorder="1"/>
    <xf numFmtId="40" fontId="2" fillId="0" borderId="0" xfId="0" applyNumberFormat="1" applyFont="1" applyBorder="1"/>
    <xf numFmtId="49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5" xfId="0" applyFont="1" applyBorder="1"/>
    <xf numFmtId="49" fontId="2" fillId="0" borderId="5" xfId="0" applyNumberFormat="1" applyFont="1" applyBorder="1" applyAlignment="1">
      <alignment horizontal="center"/>
    </xf>
    <xf numFmtId="0" fontId="2" fillId="0" borderId="6" xfId="0" applyFont="1" applyBorder="1"/>
    <xf numFmtId="165" fontId="2" fillId="0" borderId="6" xfId="0" applyNumberFormat="1" applyFont="1" applyBorder="1" applyAlignment="1" applyProtection="1">
      <alignment horizontal="left"/>
    </xf>
    <xf numFmtId="40" fontId="3" fillId="0" borderId="6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4" fillId="0" borderId="3" xfId="0" applyNumberFormat="1" applyFont="1" applyBorder="1" applyProtection="1">
      <protection locked="0"/>
    </xf>
    <xf numFmtId="40" fontId="4" fillId="0" borderId="0" xfId="0" applyNumberFormat="1" applyFont="1" applyBorder="1" applyProtection="1">
      <protection locked="0"/>
    </xf>
    <xf numFmtId="40" fontId="2" fillId="0" borderId="0" xfId="0" applyNumberFormat="1" applyFont="1" applyBorder="1" applyProtection="1"/>
    <xf numFmtId="165" fontId="3" fillId="0" borderId="0" xfId="0" applyNumberFormat="1" applyFont="1" applyBorder="1" applyProtection="1">
      <protection locked="0"/>
    </xf>
    <xf numFmtId="164" fontId="2" fillId="0" borderId="0" xfId="0" applyNumberFormat="1" applyFont="1" applyBorder="1" applyAlignment="1" applyProtection="1">
      <alignment horizontal="left"/>
    </xf>
    <xf numFmtId="164" fontId="6" fillId="0" borderId="0" xfId="0" applyNumberFormat="1" applyFont="1" applyBorder="1" applyAlignment="1" applyProtection="1">
      <alignment horizontal="left"/>
    </xf>
    <xf numFmtId="165" fontId="2" fillId="0" borderId="6" xfId="0" applyNumberFormat="1" applyFont="1" applyBorder="1" applyAlignment="1" applyProtection="1">
      <alignment horizontal="center"/>
    </xf>
    <xf numFmtId="40" fontId="2" fillId="0" borderId="6" xfId="0" applyNumberFormat="1" applyFont="1" applyBorder="1"/>
    <xf numFmtId="0" fontId="2" fillId="0" borderId="6" xfId="0" applyFont="1" applyBorder="1" applyAlignment="1">
      <alignment horizontal="center"/>
    </xf>
    <xf numFmtId="164" fontId="6" fillId="0" borderId="6" xfId="0" applyNumberFormat="1" applyFont="1" applyBorder="1" applyAlignment="1" applyProtection="1">
      <alignment horizontal="left"/>
    </xf>
    <xf numFmtId="0" fontId="2" fillId="0" borderId="0" xfId="0" applyFont="1" applyBorder="1" applyAlignment="1">
      <alignment horizontal="center"/>
    </xf>
    <xf numFmtId="165" fontId="6" fillId="0" borderId="0" xfId="0" applyNumberFormat="1" applyFont="1" applyAlignment="1" applyProtection="1">
      <alignment horizontal="left"/>
    </xf>
    <xf numFmtId="40" fontId="2" fillId="0" borderId="0" xfId="0" applyNumberFormat="1" applyFont="1" applyBorder="1" applyAlignment="1">
      <alignment horizontal="center"/>
    </xf>
    <xf numFmtId="49" fontId="6" fillId="0" borderId="0" xfId="0" applyNumberFormat="1" applyFont="1" applyAlignment="1" applyProtection="1">
      <alignment horizontal="left"/>
    </xf>
    <xf numFmtId="49" fontId="2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2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4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4" fillId="0" borderId="0" xfId="0" applyNumberFormat="1" applyFont="1" applyBorder="1" applyAlignment="1" applyProtection="1">
      <alignment horizontal="right"/>
    </xf>
    <xf numFmtId="40" fontId="4" fillId="0" borderId="0" xfId="0" applyNumberFormat="1" applyFont="1" applyAlignment="1" applyProtection="1">
      <alignment horizontal="right"/>
    </xf>
    <xf numFmtId="40" fontId="4" fillId="0" borderId="3" xfId="0" applyNumberFormat="1" applyFont="1" applyBorder="1" applyAlignment="1" applyProtection="1">
      <alignment horizontal="right"/>
    </xf>
    <xf numFmtId="0" fontId="6" fillId="0" borderId="0" xfId="0" applyFont="1" applyBorder="1" applyProtection="1"/>
    <xf numFmtId="0" fontId="10" fillId="0" borderId="3" xfId="0" applyFont="1" applyBorder="1" applyProtection="1"/>
    <xf numFmtId="0" fontId="10" fillId="0" borderId="0" xfId="0" applyFont="1" applyBorder="1" applyProtection="1"/>
    <xf numFmtId="0" fontId="11" fillId="0" borderId="0" xfId="0" applyFont="1" applyBorder="1" applyProtection="1"/>
    <xf numFmtId="0" fontId="13" fillId="0" borderId="0" xfId="0" applyFont="1" applyBorder="1" applyProtection="1"/>
    <xf numFmtId="40" fontId="3" fillId="0" borderId="0" xfId="0" applyNumberFormat="1" applyFont="1" applyProtection="1"/>
    <xf numFmtId="40" fontId="14" fillId="0" borderId="0" xfId="0" applyNumberFormat="1" applyFont="1" applyProtection="1"/>
    <xf numFmtId="40" fontId="14" fillId="0" borderId="0" xfId="0" applyNumberFormat="1" applyFont="1" applyBorder="1" applyProtection="1"/>
    <xf numFmtId="40" fontId="14" fillId="0" borderId="3" xfId="0" applyNumberFormat="1" applyFont="1" applyBorder="1" applyProtection="1"/>
    <xf numFmtId="40" fontId="4" fillId="0" borderId="0" xfId="0" applyNumberFormat="1" applyFont="1" applyBorder="1" applyProtection="1"/>
    <xf numFmtId="40" fontId="14" fillId="0" borderId="0" xfId="0" applyNumberFormat="1" applyFont="1" applyBorder="1" applyAlignment="1" applyProtection="1">
      <alignment horizontal="center"/>
    </xf>
    <xf numFmtId="40" fontId="4" fillId="0" borderId="0" xfId="0" applyNumberFormat="1" applyFont="1" applyBorder="1" applyAlignment="1" applyProtection="1">
      <alignment horizontal="center"/>
    </xf>
    <xf numFmtId="0" fontId="4" fillId="0" borderId="0" xfId="0" applyNumberFormat="1" applyFont="1" applyAlignment="1" applyProtection="1">
      <alignment horizontal="center" vertical="justify"/>
    </xf>
    <xf numFmtId="40" fontId="4" fillId="0" borderId="0" xfId="0" applyNumberFormat="1" applyFont="1" applyAlignment="1" applyProtection="1">
      <alignment horizontal="center" vertical="justify"/>
    </xf>
    <xf numFmtId="40" fontId="4" fillId="0" borderId="0" xfId="0" applyNumberFormat="1" applyFont="1" applyAlignment="1" applyProtection="1">
      <alignment horizontal="right" vertical="justify"/>
    </xf>
    <xf numFmtId="0" fontId="2" fillId="0" borderId="0" xfId="0" applyFont="1" applyBorder="1" applyAlignment="1" applyProtection="1">
      <alignment horizontal="center"/>
    </xf>
    <xf numFmtId="40" fontId="4" fillId="0" borderId="0" xfId="0" applyNumberFormat="1" applyFont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40" fontId="4" fillId="0" borderId="3" xfId="0" applyNumberFormat="1" applyFont="1" applyBorder="1" applyAlignment="1" applyProtection="1">
      <alignment horizontal="right" vertical="justify"/>
    </xf>
    <xf numFmtId="40" fontId="4" fillId="0" borderId="0" xfId="0" applyNumberFormat="1" applyFont="1" applyBorder="1" applyAlignment="1" applyProtection="1">
      <alignment horizontal="right" vertical="justify"/>
    </xf>
    <xf numFmtId="49" fontId="2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3" fillId="0" borderId="0" xfId="0" applyNumberFormat="1" applyFont="1" applyAlignment="1" applyProtection="1"/>
    <xf numFmtId="40" fontId="14" fillId="0" borderId="0" xfId="0" applyNumberFormat="1" applyFont="1" applyAlignment="1" applyProtection="1">
      <alignment horizontal="center" vertical="justify"/>
    </xf>
    <xf numFmtId="40" fontId="14" fillId="0" borderId="0" xfId="0" applyNumberFormat="1" applyFont="1" applyAlignment="1" applyProtection="1">
      <alignment horizontal="center"/>
    </xf>
    <xf numFmtId="0" fontId="2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10" fillId="0" borderId="0" xfId="0" applyNumberFormat="1" applyFont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0" xfId="0" quotePrefix="1" applyNumberFormat="1" applyFont="1" applyAlignment="1" applyProtection="1">
      <alignment horizontal="left"/>
    </xf>
    <xf numFmtId="14" fontId="2" fillId="0" borderId="0" xfId="0" quotePrefix="1" applyNumberFormat="1" applyFont="1" applyAlignment="1" applyProtection="1">
      <alignment horizontal="left"/>
    </xf>
    <xf numFmtId="40" fontId="4" fillId="0" borderId="0" xfId="0" quotePrefix="1" applyNumberFormat="1" applyFont="1" applyBorder="1" applyAlignment="1" applyProtection="1">
      <alignment horizontal="left" vertical="justify"/>
    </xf>
    <xf numFmtId="40" fontId="14" fillId="0" borderId="0" xfId="0" applyNumberFormat="1" applyFont="1" applyAlignment="1" applyProtection="1">
      <alignment horizontal="centerContinuous" vertical="justify"/>
    </xf>
    <xf numFmtId="40" fontId="14" fillId="0" borderId="0" xfId="0" applyNumberFormat="1" applyFont="1" applyAlignment="1" applyProtection="1">
      <alignment horizontal="centerContinuous"/>
    </xf>
    <xf numFmtId="40" fontId="2" fillId="0" borderId="0" xfId="0" applyNumberFormat="1" applyFont="1" applyProtection="1">
      <protection locked="0"/>
    </xf>
    <xf numFmtId="40" fontId="2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2" fillId="0" borderId="0" xfId="0" applyFont="1" applyProtection="1"/>
    <xf numFmtId="0" fontId="6" fillId="0" borderId="0" xfId="0" applyFont="1" applyProtection="1"/>
    <xf numFmtId="40" fontId="15" fillId="0" borderId="0" xfId="0" applyNumberFormat="1" applyFont="1"/>
    <xf numFmtId="40" fontId="4" fillId="0" borderId="4" xfId="0" applyNumberFormat="1" applyFont="1" applyBorder="1" applyProtection="1"/>
    <xf numFmtId="40" fontId="16" fillId="0" borderId="4" xfId="0" applyNumberFormat="1" applyFont="1" applyBorder="1"/>
    <xf numFmtId="0" fontId="0" fillId="0" borderId="0" xfId="0" applyAlignment="1"/>
    <xf numFmtId="0" fontId="2" fillId="0" borderId="0" xfId="0" applyNumberFormat="1" applyFont="1" applyAlignment="1" applyProtection="1">
      <alignment horizontal="left"/>
    </xf>
    <xf numFmtId="0" fontId="2" fillId="0" borderId="0" xfId="0" applyNumberFormat="1" applyFont="1" applyProtection="1">
      <protection locked="0"/>
    </xf>
    <xf numFmtId="40" fontId="14" fillId="0" borderId="0" xfId="0" applyNumberFormat="1" applyFont="1" applyAlignment="1" applyProtection="1"/>
    <xf numFmtId="40" fontId="4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4" fillId="0" borderId="3" xfId="0" applyNumberFormat="1" applyFont="1" applyBorder="1" applyProtection="1"/>
    <xf numFmtId="40" fontId="4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2" fillId="0" borderId="0" xfId="0" applyNumberFormat="1" applyFont="1" applyAlignment="1" applyProtection="1">
      <alignment horizontal="left"/>
    </xf>
    <xf numFmtId="40" fontId="4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3" fillId="0" borderId="0" xfId="0" applyNumberFormat="1" applyFont="1" applyProtection="1">
      <protection locked="0"/>
    </xf>
    <xf numFmtId="40" fontId="4" fillId="0" borderId="0" xfId="0" applyNumberFormat="1" applyFont="1" applyBorder="1" applyAlignment="1" applyProtection="1">
      <alignment horizontal="left"/>
    </xf>
    <xf numFmtId="40" fontId="14" fillId="0" borderId="0" xfId="0" quotePrefix="1" applyNumberFormat="1" applyFont="1" applyAlignment="1" applyProtection="1">
      <alignment horizontal="left"/>
    </xf>
    <xf numFmtId="0" fontId="4" fillId="0" borderId="3" xfId="0" applyNumberFormat="1" applyFont="1" applyBorder="1" applyAlignment="1" applyProtection="1">
      <alignment horizontal="center" vertical="justify"/>
    </xf>
    <xf numFmtId="40" fontId="4" fillId="0" borderId="3" xfId="0" applyNumberFormat="1" applyFont="1" applyBorder="1" applyAlignment="1" applyProtection="1">
      <alignment horizontal="center" vertical="justify"/>
    </xf>
    <xf numFmtId="40" fontId="17" fillId="0" borderId="0" xfId="0" quotePrefix="1" applyNumberFormat="1" applyFont="1" applyBorder="1" applyAlignment="1" applyProtection="1">
      <alignment horizontal="center" vertical="justify"/>
    </xf>
    <xf numFmtId="40" fontId="17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3" fillId="0" borderId="0" xfId="0" applyNumberFormat="1" applyFont="1" applyAlignment="1" applyProtection="1">
      <alignment horizontal="center"/>
      <protection locked="0"/>
    </xf>
    <xf numFmtId="49" fontId="3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3" xfId="0" applyFont="1" applyBorder="1" applyAlignment="1" applyProtection="1">
      <alignment horizontal="left"/>
    </xf>
    <xf numFmtId="0" fontId="2" fillId="0" borderId="0" xfId="0" applyFont="1" applyAlignment="1">
      <alignment horizontal="left"/>
    </xf>
    <xf numFmtId="49" fontId="20" fillId="0" borderId="0" xfId="0" applyNumberFormat="1" applyFont="1" applyAlignment="1" applyProtection="1">
      <alignment horizontal="left"/>
    </xf>
    <xf numFmtId="40" fontId="17" fillId="0" borderId="0" xfId="0" applyNumberFormat="1" applyFont="1" applyProtection="1"/>
    <xf numFmtId="0" fontId="21" fillId="0" borderId="0" xfId="0" applyFont="1" applyBorder="1" applyAlignment="1" applyProtection="1">
      <alignment horizontal="center"/>
    </xf>
    <xf numFmtId="14" fontId="21" fillId="0" borderId="0" xfId="0" quotePrefix="1" applyNumberFormat="1" applyFont="1" applyAlignment="1" applyProtection="1">
      <alignment horizontal="left"/>
    </xf>
    <xf numFmtId="40" fontId="17" fillId="0" borderId="0" xfId="0" applyNumberFormat="1" applyFont="1" applyAlignment="1" applyProtection="1">
      <alignment horizontal="right" vertical="justify"/>
    </xf>
    <xf numFmtId="40" fontId="17" fillId="0" borderId="0" xfId="0" quotePrefix="1" applyNumberFormat="1" applyFont="1" applyAlignment="1" applyProtection="1">
      <alignment horizontal="left" vertical="justify"/>
    </xf>
    <xf numFmtId="40" fontId="17" fillId="0" borderId="0" xfId="0" applyNumberFormat="1" applyFont="1" applyAlignment="1" applyProtection="1">
      <alignment horizontal="center" vertical="justify"/>
      <protection locked="0"/>
    </xf>
    <xf numFmtId="40" fontId="17" fillId="0" borderId="0" xfId="0" applyNumberFormat="1" applyFont="1" applyAlignment="1" applyProtection="1">
      <alignment horizontal="right"/>
    </xf>
    <xf numFmtId="165" fontId="22" fillId="0" borderId="0" xfId="0" applyNumberFormat="1" applyFont="1" applyProtection="1">
      <protection locked="0"/>
    </xf>
    <xf numFmtId="0" fontId="21" fillId="0" borderId="0" xfId="0" applyFont="1"/>
    <xf numFmtId="164" fontId="23" fillId="0" borderId="0" xfId="0" applyNumberFormat="1" applyFont="1" applyAlignment="1" applyProtection="1">
      <alignment horizontal="left"/>
    </xf>
    <xf numFmtId="40" fontId="4" fillId="0" borderId="0" xfId="0" applyNumberFormat="1" applyFont="1" applyAlignment="1" applyProtection="1">
      <alignment horizontal="left"/>
    </xf>
    <xf numFmtId="40" fontId="19" fillId="0" borderId="3" xfId="0" applyNumberFormat="1" applyFont="1" applyBorder="1" applyProtection="1"/>
    <xf numFmtId="40" fontId="19" fillId="0" borderId="0" xfId="0" applyNumberFormat="1" applyFont="1" applyProtection="1"/>
    <xf numFmtId="40" fontId="4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2" fillId="0" borderId="0" xfId="0" applyNumberFormat="1" applyFont="1" applyBorder="1" applyProtection="1">
      <protection locked="0"/>
    </xf>
    <xf numFmtId="40" fontId="2" fillId="0" borderId="0" xfId="0" quotePrefix="1" applyNumberFormat="1" applyFont="1" applyBorder="1" applyAlignment="1">
      <alignment horizontal="center"/>
    </xf>
    <xf numFmtId="40" fontId="14" fillId="0" borderId="0" xfId="0" quotePrefix="1" applyNumberFormat="1" applyFont="1" applyProtection="1"/>
    <xf numFmtId="38" fontId="0" fillId="0" borderId="0" xfId="0" applyNumberFormat="1"/>
    <xf numFmtId="38" fontId="10" fillId="0" borderId="0" xfId="0" applyNumberFormat="1" applyFont="1"/>
    <xf numFmtId="0" fontId="10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10" fillId="0" borderId="0" xfId="0" applyNumberFormat="1" applyFont="1"/>
    <xf numFmtId="0" fontId="11" fillId="0" borderId="0" xfId="0" applyFont="1"/>
    <xf numFmtId="49" fontId="26" fillId="0" borderId="0" xfId="0" applyNumberFormat="1" applyFont="1"/>
    <xf numFmtId="0" fontId="27" fillId="0" borderId="0" xfId="0" applyFont="1"/>
    <xf numFmtId="0" fontId="27" fillId="0" borderId="0" xfId="0" quotePrefix="1" applyFont="1" applyAlignment="1">
      <alignment horizontal="left"/>
    </xf>
    <xf numFmtId="0" fontId="11" fillId="0" borderId="0" xfId="0" quotePrefix="1" applyFont="1" applyBorder="1" applyAlignment="1" applyProtection="1">
      <alignment horizontal="left"/>
    </xf>
    <xf numFmtId="40" fontId="4" fillId="0" borderId="0" xfId="0" quotePrefix="1" applyNumberFormat="1" applyFont="1" applyAlignment="1" applyProtection="1">
      <alignment horizontal="left"/>
    </xf>
    <xf numFmtId="40" fontId="19" fillId="0" borderId="0" xfId="0" quotePrefix="1" applyNumberFormat="1" applyFont="1" applyAlignment="1" applyProtection="1">
      <alignment horizontal="left"/>
    </xf>
    <xf numFmtId="0" fontId="2" fillId="0" borderId="4" xfId="0" applyFont="1" applyBorder="1" applyAlignment="1" applyProtection="1">
      <alignment horizontal="center"/>
    </xf>
    <xf numFmtId="0" fontId="2" fillId="0" borderId="4" xfId="0" applyFont="1" applyBorder="1" applyAlignment="1" applyProtection="1">
      <alignment horizontal="left"/>
    </xf>
    <xf numFmtId="40" fontId="4" fillId="0" borderId="4" xfId="0" applyNumberFormat="1" applyFont="1" applyBorder="1" applyAlignment="1" applyProtection="1">
      <alignment horizontal="right"/>
    </xf>
    <xf numFmtId="40" fontId="2" fillId="2" borderId="0" xfId="0" applyNumberFormat="1" applyFont="1" applyFill="1" applyBorder="1" applyAlignment="1" applyProtection="1">
      <alignment horizontal="left"/>
    </xf>
    <xf numFmtId="0" fontId="2" fillId="0" borderId="3" xfId="0" applyNumberFormat="1" applyFont="1" applyBorder="1" applyAlignment="1" applyProtection="1">
      <alignment horizontal="center"/>
    </xf>
    <xf numFmtId="0" fontId="2" fillId="0" borderId="3" xfId="0" applyNumberFormat="1" applyFont="1" applyBorder="1" applyAlignment="1" applyProtection="1">
      <alignment horizontal="left"/>
    </xf>
    <xf numFmtId="0" fontId="2" fillId="0" borderId="4" xfId="0" applyNumberFormat="1" applyFont="1" applyBorder="1" applyAlignment="1" applyProtection="1">
      <alignment horizontal="left"/>
    </xf>
    <xf numFmtId="164" fontId="21" fillId="0" borderId="0" xfId="0" applyNumberFormat="1" applyFont="1" applyAlignment="1" applyProtection="1">
      <alignment horizontal="left"/>
    </xf>
    <xf numFmtId="40" fontId="21" fillId="0" borderId="0" xfId="0" applyNumberFormat="1" applyFont="1" applyProtection="1"/>
    <xf numFmtId="40" fontId="4" fillId="0" borderId="5" xfId="0" applyNumberFormat="1" applyFont="1" applyBorder="1" applyProtection="1"/>
    <xf numFmtId="0" fontId="2" fillId="0" borderId="5" xfId="0" applyFont="1" applyBorder="1" applyAlignment="1">
      <alignment horizontal="center"/>
    </xf>
    <xf numFmtId="0" fontId="2" fillId="0" borderId="5" xfId="0" applyNumberFormat="1" applyFont="1" applyBorder="1" applyAlignment="1" applyProtection="1">
      <alignment horizontal="center"/>
    </xf>
    <xf numFmtId="165" fontId="2" fillId="0" borderId="5" xfId="0" applyNumberFormat="1" applyFont="1" applyBorder="1" applyAlignment="1" applyProtection="1">
      <alignment horizontal="left"/>
    </xf>
    <xf numFmtId="40" fontId="3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2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10" fillId="3" borderId="0" xfId="0" applyNumberFormat="1" applyFont="1" applyFill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1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0" fillId="0" borderId="1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1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2" fillId="4" borderId="0" xfId="0" applyNumberFormat="1" applyFont="1" applyFill="1" applyAlignment="1" applyProtection="1">
      <alignment horizontal="center"/>
    </xf>
    <xf numFmtId="40" fontId="21" fillId="0" borderId="0" xfId="0" applyNumberFormat="1" applyFont="1" applyAlignment="1" applyProtection="1">
      <alignment horizontal="center"/>
    </xf>
    <xf numFmtId="40" fontId="21" fillId="0" borderId="0" xfId="0" applyNumberFormat="1" applyFont="1"/>
    <xf numFmtId="0" fontId="6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40" fontId="10" fillId="0" borderId="14" xfId="0" applyNumberFormat="1" applyFont="1" applyBorder="1"/>
    <xf numFmtId="4" fontId="10" fillId="0" borderId="0" xfId="0" applyNumberFormat="1" applyFont="1" applyBorder="1"/>
    <xf numFmtId="4" fontId="10" fillId="0" borderId="5" xfId="0" applyNumberFormat="1" applyFont="1" applyBorder="1"/>
    <xf numFmtId="49" fontId="5" fillId="0" borderId="0" xfId="0" applyNumberFormat="1" applyFont="1"/>
    <xf numFmtId="0" fontId="10" fillId="0" borderId="0" xfId="0" applyFont="1" applyAlignment="1">
      <alignment horizontal="right"/>
    </xf>
    <xf numFmtId="4" fontId="10" fillId="0" borderId="14" xfId="0" applyNumberFormat="1" applyFont="1" applyBorder="1"/>
    <xf numFmtId="40" fontId="10" fillId="0" borderId="14" xfId="0" applyNumberFormat="1" applyFont="1" applyBorder="1" applyAlignment="1">
      <alignment horizontal="right"/>
    </xf>
    <xf numFmtId="49" fontId="10" fillId="0" borderId="0" xfId="0" applyNumberFormat="1" applyFont="1" applyAlignment="1">
      <alignment horizontal="center"/>
    </xf>
    <xf numFmtId="40" fontId="6" fillId="0" borderId="0" xfId="0" applyNumberFormat="1" applyFont="1" applyBorder="1" applyAlignment="1">
      <alignment horizontal="center"/>
    </xf>
    <xf numFmtId="0" fontId="32" fillId="0" borderId="0" xfId="0" applyFont="1" applyAlignment="1">
      <alignment horizontal="center"/>
    </xf>
    <xf numFmtId="164" fontId="24" fillId="0" borderId="0" xfId="0" applyNumberFormat="1" applyFont="1" applyAlignment="1" applyProtection="1">
      <alignment horizontal="left"/>
    </xf>
    <xf numFmtId="4" fontId="5" fillId="0" borderId="0" xfId="0" applyNumberFormat="1" applyFont="1" applyProtection="1">
      <protection locked="0"/>
    </xf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10" fillId="0" borderId="0" xfId="0" applyNumberFormat="1" applyFont="1"/>
    <xf numFmtId="40" fontId="10" fillId="0" borderId="8" xfId="0" applyNumberFormat="1" applyFont="1" applyBorder="1"/>
    <xf numFmtId="2" fontId="5" fillId="0" borderId="0" xfId="0" applyNumberFormat="1" applyFont="1" applyProtection="1">
      <protection locked="0"/>
    </xf>
    <xf numFmtId="2" fontId="3" fillId="0" borderId="0" xfId="0" applyNumberFormat="1" applyFont="1" applyProtection="1">
      <protection locked="0"/>
    </xf>
    <xf numFmtId="166" fontId="10" fillId="0" borderId="0" xfId="0" applyNumberFormat="1" applyFont="1"/>
    <xf numFmtId="0" fontId="10" fillId="0" borderId="1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2" fillId="0" borderId="0" xfId="0" applyFont="1"/>
    <xf numFmtId="49" fontId="27" fillId="0" borderId="0" xfId="0" applyNumberFormat="1" applyFont="1" applyAlignment="1">
      <alignment horizontal="left"/>
    </xf>
    <xf numFmtId="0" fontId="5" fillId="0" borderId="0" xfId="0" applyFont="1"/>
    <xf numFmtId="166" fontId="5" fillId="0" borderId="0" xfId="0" applyNumberFormat="1" applyFont="1"/>
    <xf numFmtId="0" fontId="37" fillId="0" borderId="0" xfId="0" applyFont="1"/>
    <xf numFmtId="0" fontId="26" fillId="0" borderId="0" xfId="0" applyFont="1"/>
    <xf numFmtId="1" fontId="1" fillId="0" borderId="0" xfId="0" applyNumberFormat="1" applyFont="1" applyBorder="1" applyAlignment="1" applyProtection="1">
      <alignment horizontal="right"/>
      <protection locked="0"/>
    </xf>
    <xf numFmtId="0" fontId="3" fillId="0" borderId="0" xfId="0" applyNumberFormat="1" applyFont="1" applyAlignment="1" applyProtection="1">
      <alignment horizontal="center"/>
      <protection locked="0"/>
    </xf>
    <xf numFmtId="1" fontId="1" fillId="0" borderId="11" xfId="0" applyNumberFormat="1" applyFont="1" applyBorder="1" applyAlignment="1" applyProtection="1">
      <alignment horizontal="right"/>
      <protection locked="0"/>
    </xf>
    <xf numFmtId="0" fontId="27" fillId="0" borderId="0" xfId="0" applyFont="1" applyAlignment="1">
      <alignment horizontal="center"/>
    </xf>
    <xf numFmtId="0" fontId="27" fillId="0" borderId="0" xfId="0" applyFont="1" applyAlignment="1"/>
    <xf numFmtId="0" fontId="10" fillId="0" borderId="0" xfId="0" applyFont="1" applyAlignment="1">
      <alignment horizontal="center"/>
    </xf>
    <xf numFmtId="49" fontId="10" fillId="0" borderId="0" xfId="0" applyNumberFormat="1" applyFont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0" borderId="0" xfId="0" applyAlignment="1"/>
    <xf numFmtId="0" fontId="25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center"/>
    </xf>
    <xf numFmtId="49" fontId="11" fillId="0" borderId="0" xfId="0" applyNumberFormat="1" applyFont="1" applyBorder="1" applyAlignment="1" applyProtection="1">
      <alignment horizontal="left"/>
      <protection locked="0"/>
    </xf>
    <xf numFmtId="49" fontId="11" fillId="0" borderId="10" xfId="0" applyNumberFormat="1" applyFont="1" applyBorder="1" applyAlignment="1" applyProtection="1">
      <alignment horizontal="left"/>
      <protection locked="0"/>
    </xf>
    <xf numFmtId="49" fontId="11" fillId="0" borderId="13" xfId="0" applyNumberFormat="1" applyFont="1" applyBorder="1" applyAlignment="1" applyProtection="1">
      <alignment horizontal="left"/>
      <protection locked="0"/>
    </xf>
    <xf numFmtId="49" fontId="11" fillId="0" borderId="21" xfId="0" applyNumberFormat="1" applyFont="1" applyBorder="1" applyAlignment="1" applyProtection="1">
      <alignment horizontal="left"/>
      <protection locked="0"/>
    </xf>
    <xf numFmtId="0" fontId="29" fillId="0" borderId="0" xfId="0" applyFont="1" applyAlignment="1" applyProtection="1">
      <alignment horizontal="center"/>
    </xf>
    <xf numFmtId="49" fontId="1" fillId="0" borderId="0" xfId="0" applyNumberFormat="1" applyFont="1" applyBorder="1" applyAlignment="1" applyProtection="1">
      <alignment horizontal="left"/>
      <protection locked="0"/>
    </xf>
    <xf numFmtId="0" fontId="30" fillId="0" borderId="11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28" fillId="0" borderId="22" xfId="0" applyFont="1" applyBorder="1" applyAlignment="1">
      <alignment horizontal="center"/>
    </xf>
    <xf numFmtId="0" fontId="28" fillId="0" borderId="8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49" fontId="31" fillId="0" borderId="0" xfId="0" applyNumberFormat="1" applyFont="1" applyBorder="1" applyAlignment="1"/>
    <xf numFmtId="0" fontId="31" fillId="0" borderId="0" xfId="0" applyFont="1" applyBorder="1" applyAlignment="1"/>
    <xf numFmtId="49" fontId="11" fillId="0" borderId="0" xfId="0" applyNumberFormat="1" applyFont="1" applyAlignment="1" applyProtection="1">
      <alignment horizontal="left"/>
      <protection locked="0"/>
    </xf>
    <xf numFmtId="49" fontId="11" fillId="0" borderId="0" xfId="0" applyNumberFormat="1" applyFont="1" applyAlignment="1" applyProtection="1">
      <alignment horizontal="left"/>
    </xf>
    <xf numFmtId="49" fontId="11" fillId="0" borderId="0" xfId="0" applyNumberFormat="1" applyFont="1" applyBorder="1" applyAlignment="1" applyProtection="1">
      <alignment horizontal="left"/>
    </xf>
    <xf numFmtId="49" fontId="11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186E8-64A4-4163-8319-8958F1B3421B}">
  <sheetPr transitionEvaluation="1" transitionEntry="1" codeName="Sheet1">
    <tabColor indexed="56"/>
  </sheetPr>
  <dimension ref="A1:AQ666"/>
  <sheetViews>
    <sheetView tabSelected="1" zoomScale="75" zoomScaleNormal="105" workbookViewId="0">
      <pane xSplit="5" ySplit="3" topLeftCell="F630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238</v>
      </c>
      <c r="C2" s="21">
        <v>0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-33069.08+550</f>
        <v>-32519.08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354743.93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69113.23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210205.64</v>
      </c>
      <c r="G13" s="18">
        <v>27960.93</v>
      </c>
      <c r="H13" s="18">
        <f>107273.63</f>
        <v>107273.63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37274.51</v>
      </c>
      <c r="G14" s="18">
        <v>293.8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284074.3</v>
      </c>
      <c r="G19" s="41">
        <f>SUM(G9:G18)</f>
        <v>28254.73</v>
      </c>
      <c r="H19" s="41">
        <f>SUM(H9:H18)</f>
        <v>107273.63</v>
      </c>
      <c r="I19" s="41">
        <f>SUM(I9:I18)</f>
        <v>0</v>
      </c>
      <c r="J19" s="41">
        <f>SUM(J9:J18)</f>
        <v>354743.93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>
        <v>10207.56</v>
      </c>
      <c r="H23" s="18">
        <f>63918.99-5013.32</f>
        <v>58905.67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57494.09</v>
      </c>
      <c r="G25" s="18">
        <v>18047.169999999998</v>
      </c>
      <c r="H25" s="18">
        <v>500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>
        <v>150000</v>
      </c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f>13605.19+1040.79+1363.36+154.53+22.25</f>
        <v>16186.12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>
        <f>42854.64+5013.32</f>
        <v>47867.96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223680.21</v>
      </c>
      <c r="G33" s="41">
        <f>SUM(G23:G32)</f>
        <v>28254.729999999996</v>
      </c>
      <c r="H33" s="41">
        <f>SUM(H23:H32)</f>
        <v>107273.63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3681.2</v>
      </c>
      <c r="G37" s="18">
        <v>800</v>
      </c>
      <c r="H37" s="18">
        <v>2436</v>
      </c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56712.89</v>
      </c>
      <c r="G41" s="18">
        <v>-800</v>
      </c>
      <c r="H41" s="18">
        <v>-2436</v>
      </c>
      <c r="I41" s="18"/>
      <c r="J41" s="13">
        <f>SUM(I449)</f>
        <v>354743.93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/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60394.09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354743.93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284074.3</v>
      </c>
      <c r="G44" s="41">
        <f>G43+G33</f>
        <v>28254.729999999996</v>
      </c>
      <c r="H44" s="41">
        <f>H43+H33</f>
        <v>107273.63</v>
      </c>
      <c r="I44" s="41">
        <f>I43+I33</f>
        <v>0</v>
      </c>
      <c r="J44" s="41">
        <f>J43+J33</f>
        <v>354743.93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4631992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4631992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1027.29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1450</v>
      </c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>
        <v>19600</v>
      </c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1609330.79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180200.79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1811608.87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f>1534.91+17536.86</f>
        <v>19071.77</v>
      </c>
      <c r="G88" s="18"/>
      <c r="H88" s="18"/>
      <c r="I88" s="18"/>
      <c r="J88" s="18">
        <v>37.549999999999997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21753.15+65987.71+49193.12</f>
        <v>136933.98000000001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3231.23</v>
      </c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30034.39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425.21</v>
      </c>
      <c r="G94" s="18"/>
      <c r="H94" s="18">
        <f>822+1640.51+25524.49+2290.57+7108.39</f>
        <v>37385.96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5943.7</v>
      </c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2514.48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40498.94</v>
      </c>
      <c r="G102" s="18">
        <v>7006.81</v>
      </c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101719.72</v>
      </c>
      <c r="G103" s="41">
        <f>SUM(G88:G102)</f>
        <v>143940.79</v>
      </c>
      <c r="H103" s="41">
        <f>SUM(H88:H102)</f>
        <v>37385.96</v>
      </c>
      <c r="I103" s="41">
        <f>SUM(I88:I102)</f>
        <v>0</v>
      </c>
      <c r="J103" s="41">
        <f>SUM(J88:J102)</f>
        <v>37.549999999999997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6545320.5899999999</v>
      </c>
      <c r="G104" s="41">
        <f>G52+G103</f>
        <v>143940.79</v>
      </c>
      <c r="H104" s="41">
        <f>H52+H71+H86+H103</f>
        <v>37385.96</v>
      </c>
      <c r="I104" s="41">
        <f>I52+I103</f>
        <v>0</v>
      </c>
      <c r="J104" s="41">
        <f>J52+J103</f>
        <v>37.549999999999997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3682602.06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804170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133566.94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4620339.0000000009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437756.1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163921.62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75264.820000000007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4575.51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f>1063.11+1564.35+1022.85</f>
        <v>3650.31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8400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689918.05</v>
      </c>
      <c r="G128" s="41">
        <f>SUM(G115:G127)</f>
        <v>3650.31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5310257.0500000007</v>
      </c>
      <c r="G132" s="41">
        <f>G113+SUM(G128:G129)</f>
        <v>3650.31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-36315.31+1085.15+227517.07+29859.98+6204.3+8348.74+10000+3410+41469.26</f>
        <v>291579.19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538771.18+7108.39-H146-H94</f>
        <v>216914.42000000007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f>49868.69+54535.83+46054.54</f>
        <v>150459.06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290615.40000000002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>
        <f>7738.78+6543.42+0</f>
        <v>14282.2</v>
      </c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290615.40000000002</v>
      </c>
      <c r="G154" s="41">
        <f>SUM(G142:G153)</f>
        <v>164741.26</v>
      </c>
      <c r="H154" s="41">
        <f>SUM(H142:H153)</f>
        <v>508493.6100000001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1979.33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292594.73000000004</v>
      </c>
      <c r="G161" s="41">
        <f>G139+G154+SUM(G155:G160)</f>
        <v>164741.26</v>
      </c>
      <c r="H161" s="41">
        <f>H139+H154+SUM(H155:H160)</f>
        <v>508493.6100000001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>
        <v>-30000</v>
      </c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-30000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42532.24</v>
      </c>
      <c r="H171" s="18"/>
      <c r="I171" s="18"/>
      <c r="J171" s="18">
        <v>50000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42532.24</v>
      </c>
      <c r="H175" s="41">
        <f>SUM(H171:H174)</f>
        <v>0</v>
      </c>
      <c r="I175" s="41">
        <f>SUM(I171:I174)</f>
        <v>0</v>
      </c>
      <c r="J175" s="41">
        <f>SUM(J171:J174)</f>
        <v>50000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75300</v>
      </c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75300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45300</v>
      </c>
      <c r="G184" s="41">
        <f>G175+SUM(G180:G183)</f>
        <v>42532.24</v>
      </c>
      <c r="H184" s="41">
        <f>+H175+SUM(H180:H183)</f>
        <v>0</v>
      </c>
      <c r="I184" s="41">
        <f>I169+I175+SUM(I180:I183)</f>
        <v>0</v>
      </c>
      <c r="J184" s="41">
        <f>J175</f>
        <v>50000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12193472.370000001</v>
      </c>
      <c r="G185" s="47">
        <f>G104+G132+G161+G184</f>
        <v>354864.6</v>
      </c>
      <c r="H185" s="47">
        <f>H104+H132+H161+H184</f>
        <v>545879.57000000007</v>
      </c>
      <c r="I185" s="47">
        <f>I104+I132+I161+I184</f>
        <v>0</v>
      </c>
      <c r="J185" s="47">
        <f>J104+J132+J184</f>
        <v>50037.55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673874.3</v>
      </c>
      <c r="G189" s="18">
        <v>231228.98</v>
      </c>
      <c r="H189" s="18">
        <f>56827.09+673.47</f>
        <v>57500.56</v>
      </c>
      <c r="I189" s="18">
        <v>37287.57</v>
      </c>
      <c r="J189" s="18">
        <v>1948.17</v>
      </c>
      <c r="K189" s="18">
        <v>2243.52</v>
      </c>
      <c r="L189" s="19">
        <f>SUM(F189:K189)</f>
        <v>1004083.1000000001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385776.31</v>
      </c>
      <c r="G190" s="18">
        <v>153419.98000000001</v>
      </c>
      <c r="H190" s="18">
        <f>27993.45+70125.11</f>
        <v>98118.56</v>
      </c>
      <c r="I190" s="18">
        <v>5647.06</v>
      </c>
      <c r="J190" s="18">
        <v>505.68</v>
      </c>
      <c r="K190" s="18">
        <v>80</v>
      </c>
      <c r="L190" s="19">
        <f>SUM(F190:K190)</f>
        <v>643547.5900000002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>
        <v>0</v>
      </c>
      <c r="G191" s="18">
        <v>0</v>
      </c>
      <c r="H191" s="18">
        <v>0</v>
      </c>
      <c r="I191" s="18">
        <v>0</v>
      </c>
      <c r="J191" s="18">
        <v>0</v>
      </c>
      <c r="K191" s="18">
        <v>0</v>
      </c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20497.05</v>
      </c>
      <c r="G192" s="18">
        <v>2825.36</v>
      </c>
      <c r="H192" s="18">
        <v>0</v>
      </c>
      <c r="I192" s="18">
        <v>52.44</v>
      </c>
      <c r="J192" s="18"/>
      <c r="K192" s="18"/>
      <c r="L192" s="19">
        <f>SUM(F192:K192)</f>
        <v>23374.85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85832.81</v>
      </c>
      <c r="G194" s="18">
        <v>34669.06</v>
      </c>
      <c r="H194" s="18">
        <f>149412.97+1345.5</f>
        <v>150758.47</v>
      </c>
      <c r="I194" s="18">
        <v>1260.68</v>
      </c>
      <c r="J194" s="18">
        <v>189</v>
      </c>
      <c r="K194" s="18">
        <v>25</v>
      </c>
      <c r="L194" s="19">
        <f t="shared" ref="L194:L200" si="0">SUM(F194:K194)</f>
        <v>272735.01999999996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20676.900000000001</v>
      </c>
      <c r="G195" s="18">
        <v>23542.78</v>
      </c>
      <c r="H195" s="18">
        <v>23392.65</v>
      </c>
      <c r="I195" s="18">
        <v>90.39</v>
      </c>
      <c r="J195" s="18">
        <v>0</v>
      </c>
      <c r="K195" s="18">
        <v>0</v>
      </c>
      <c r="L195" s="19">
        <f t="shared" si="0"/>
        <v>67702.720000000001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2461.92</v>
      </c>
      <c r="G196" s="18">
        <v>192.36</v>
      </c>
      <c r="H196" s="18">
        <f>151009.04+7723.15</f>
        <v>158732.19</v>
      </c>
      <c r="I196" s="18">
        <v>772.93</v>
      </c>
      <c r="J196" s="18">
        <v>0</v>
      </c>
      <c r="K196" s="18">
        <v>1206.8499999999999</v>
      </c>
      <c r="L196" s="19">
        <f t="shared" si="0"/>
        <v>163366.25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108935.77</v>
      </c>
      <c r="G197" s="18">
        <v>32933.370000000003</v>
      </c>
      <c r="H197" s="18">
        <f>300+6384.89</f>
        <v>6684.89</v>
      </c>
      <c r="I197" s="18">
        <v>631.35</v>
      </c>
      <c r="J197" s="18">
        <v>819</v>
      </c>
      <c r="K197" s="18">
        <v>0</v>
      </c>
      <c r="L197" s="19">
        <f t="shared" si="0"/>
        <v>150004.38000000003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39837.71</v>
      </c>
      <c r="G199" s="18">
        <v>14745.03</v>
      </c>
      <c r="H199" s="18">
        <f>63598.69+2520.28</f>
        <v>66118.97</v>
      </c>
      <c r="I199" s="18">
        <v>76329.08</v>
      </c>
      <c r="J199" s="18">
        <v>2412.5</v>
      </c>
      <c r="K199" s="18">
        <v>0</v>
      </c>
      <c r="L199" s="19">
        <f t="shared" si="0"/>
        <v>199443.28999999998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7225.69</v>
      </c>
      <c r="G200" s="18">
        <v>2896.45</v>
      </c>
      <c r="H200" s="18">
        <f>566.71+132889.05</f>
        <v>133455.75999999998</v>
      </c>
      <c r="I200" s="18">
        <v>1173.18</v>
      </c>
      <c r="J200" s="18">
        <v>0</v>
      </c>
      <c r="K200" s="18">
        <v>1.92</v>
      </c>
      <c r="L200" s="19">
        <f t="shared" si="0"/>
        <v>144752.99999999997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0</v>
      </c>
      <c r="G201" s="18">
        <v>0</v>
      </c>
      <c r="H201" s="18">
        <f>22594.39+6941.74</f>
        <v>29536.129999999997</v>
      </c>
      <c r="I201" s="18">
        <v>0</v>
      </c>
      <c r="J201" s="18">
        <v>94.96</v>
      </c>
      <c r="K201" s="18">
        <v>0</v>
      </c>
      <c r="L201" s="19">
        <f>SUM(F201:K201)</f>
        <v>29631.089999999997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1345118.46</v>
      </c>
      <c r="G203" s="41">
        <f t="shared" si="1"/>
        <v>496453.37000000005</v>
      </c>
      <c r="H203" s="41">
        <f t="shared" si="1"/>
        <v>724298.18</v>
      </c>
      <c r="I203" s="41">
        <f t="shared" si="1"/>
        <v>123244.68</v>
      </c>
      <c r="J203" s="41">
        <f t="shared" si="1"/>
        <v>5969.31</v>
      </c>
      <c r="K203" s="41">
        <f t="shared" si="1"/>
        <v>3557.29</v>
      </c>
      <c r="L203" s="41">
        <f t="shared" si="1"/>
        <v>2698641.29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1201040.45</v>
      </c>
      <c r="G207" s="18">
        <v>378759.53</v>
      </c>
      <c r="H207" s="18">
        <f>335.75+2018.9</f>
        <v>2354.65</v>
      </c>
      <c r="I207" s="18">
        <v>52295.94</v>
      </c>
      <c r="J207" s="18">
        <v>5827.95</v>
      </c>
      <c r="K207" s="18">
        <v>2634.07</v>
      </c>
      <c r="L207" s="19">
        <f>SUM(F207:K207)</f>
        <v>1642912.5899999999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410576.53</v>
      </c>
      <c r="G208" s="18">
        <v>186170.96</v>
      </c>
      <c r="H208" s="18">
        <f>47019.24+190100.12</f>
        <v>237119.35999999999</v>
      </c>
      <c r="I208" s="18">
        <v>6409.94</v>
      </c>
      <c r="J208" s="18">
        <v>511.99</v>
      </c>
      <c r="K208" s="18">
        <v>242.5</v>
      </c>
      <c r="L208" s="19">
        <f>SUM(F208:K208)</f>
        <v>841031.27999999991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>
        <v>0</v>
      </c>
      <c r="G209" s="18">
        <v>0</v>
      </c>
      <c r="H209" s="18">
        <v>15000</v>
      </c>
      <c r="I209" s="18">
        <v>0</v>
      </c>
      <c r="J209" s="18">
        <v>0</v>
      </c>
      <c r="K209" s="18">
        <v>0</v>
      </c>
      <c r="L209" s="19">
        <f>SUM(F209:K209)</f>
        <v>15000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52373.5</v>
      </c>
      <c r="G210" s="18">
        <v>7915.72</v>
      </c>
      <c r="H210" s="18">
        <f>6540+1455+10007.89</f>
        <v>18002.89</v>
      </c>
      <c r="I210" s="18">
        <v>7917.32</v>
      </c>
      <c r="J210" s="18">
        <v>989.77</v>
      </c>
      <c r="K210" s="18">
        <v>1520</v>
      </c>
      <c r="L210" s="19">
        <f>SUM(F210:K210)</f>
        <v>88719.2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94375.35</v>
      </c>
      <c r="G212" s="18">
        <v>32735.14</v>
      </c>
      <c r="H212" s="18">
        <f>72882.49+1419</f>
        <v>74301.490000000005</v>
      </c>
      <c r="I212" s="18">
        <v>4080.24</v>
      </c>
      <c r="J212" s="18">
        <v>0</v>
      </c>
      <c r="K212" s="18">
        <v>1979</v>
      </c>
      <c r="L212" s="19">
        <f t="shared" ref="L212:L218" si="2">SUM(F212:K212)</f>
        <v>207471.22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64373.61</v>
      </c>
      <c r="G213" s="18">
        <v>28376.240000000002</v>
      </c>
      <c r="H213" s="18">
        <f>25165.73+992.01</f>
        <v>26157.739999999998</v>
      </c>
      <c r="I213" s="18">
        <v>493.76</v>
      </c>
      <c r="J213" s="18">
        <v>0</v>
      </c>
      <c r="K213" s="18">
        <v>0</v>
      </c>
      <c r="L213" s="19">
        <f t="shared" si="2"/>
        <v>119401.34999999999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2990.96</v>
      </c>
      <c r="G214" s="18">
        <v>232.86</v>
      </c>
      <c r="H214" s="18">
        <f>198808.91+8929.88</f>
        <v>207738.79</v>
      </c>
      <c r="I214" s="18">
        <v>796.22</v>
      </c>
      <c r="J214" s="18">
        <v>0</v>
      </c>
      <c r="K214" s="18">
        <v>1395.42</v>
      </c>
      <c r="L214" s="19">
        <f t="shared" si="2"/>
        <v>213154.25000000003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198511.9</v>
      </c>
      <c r="G215" s="18">
        <v>69733.52</v>
      </c>
      <c r="H215" s="18">
        <f>787.5+8478.5</f>
        <v>9266</v>
      </c>
      <c r="I215" s="18">
        <v>1826.82</v>
      </c>
      <c r="J215" s="18">
        <v>0</v>
      </c>
      <c r="K215" s="18">
        <v>1458.5</v>
      </c>
      <c r="L215" s="19">
        <f t="shared" si="2"/>
        <v>280796.74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89307.32</v>
      </c>
      <c r="G217" s="18">
        <v>28025.599999999999</v>
      </c>
      <c r="H217" s="18">
        <f>78056.49+2865.73</f>
        <v>80922.22</v>
      </c>
      <c r="I217" s="18">
        <v>106450.45</v>
      </c>
      <c r="J217" s="18">
        <v>5800.61</v>
      </c>
      <c r="K217" s="18">
        <v>0</v>
      </c>
      <c r="L217" s="19">
        <f t="shared" si="2"/>
        <v>310506.2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v>8355.0400000000009</v>
      </c>
      <c r="G218" s="18">
        <v>3349.84</v>
      </c>
      <c r="H218" s="18">
        <f>655.26+135404.71</f>
        <v>136059.97</v>
      </c>
      <c r="I218" s="18">
        <v>1356.5</v>
      </c>
      <c r="J218" s="18">
        <v>0</v>
      </c>
      <c r="K218" s="18">
        <v>2.2200000000000002</v>
      </c>
      <c r="L218" s="19">
        <f t="shared" si="2"/>
        <v>149123.57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v>0</v>
      </c>
      <c r="G219" s="18">
        <v>0</v>
      </c>
      <c r="H219" s="18">
        <f>26124.77+9027.59</f>
        <v>35152.36</v>
      </c>
      <c r="I219" s="18">
        <v>217.02</v>
      </c>
      <c r="J219" s="18">
        <v>108.47</v>
      </c>
      <c r="K219" s="18">
        <v>0</v>
      </c>
      <c r="L219" s="19">
        <f>SUM(F219:K219)</f>
        <v>35477.85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2121904.66</v>
      </c>
      <c r="G221" s="41">
        <f>SUM(G207:G220)</f>
        <v>735299.40999999992</v>
      </c>
      <c r="H221" s="41">
        <f>SUM(H207:H220)</f>
        <v>842075.46999999986</v>
      </c>
      <c r="I221" s="41">
        <f>SUM(I207:I220)</f>
        <v>181844.21</v>
      </c>
      <c r="J221" s="41">
        <f>SUM(J207:J220)</f>
        <v>13238.789999999999</v>
      </c>
      <c r="K221" s="41">
        <f t="shared" si="3"/>
        <v>9231.7099999999991</v>
      </c>
      <c r="L221" s="41">
        <f t="shared" si="3"/>
        <v>3903594.25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1193078.0900000001</v>
      </c>
      <c r="G225" s="18">
        <v>405852.56</v>
      </c>
      <c r="H225" s="18">
        <f>479+1783.02</f>
        <v>2262.02</v>
      </c>
      <c r="I225" s="18">
        <v>59221.48</v>
      </c>
      <c r="J225" s="18">
        <v>10247.530000000001</v>
      </c>
      <c r="K225" s="18">
        <v>8300.91</v>
      </c>
      <c r="L225" s="19">
        <f>SUM(F225:K225)</f>
        <v>1678962.59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404329.93</v>
      </c>
      <c r="G226" s="18">
        <v>207315.49</v>
      </c>
      <c r="H226" s="18">
        <f>181886.84+459796.36</f>
        <v>641683.19999999995</v>
      </c>
      <c r="I226" s="18">
        <v>4117.55</v>
      </c>
      <c r="J226" s="18">
        <v>0</v>
      </c>
      <c r="K226" s="18">
        <v>419.5</v>
      </c>
      <c r="L226" s="19">
        <f>SUM(F226:K226)</f>
        <v>1257865.67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0</v>
      </c>
      <c r="G227" s="18">
        <v>0</v>
      </c>
      <c r="H227" s="18">
        <f>14000+205394.2</f>
        <v>219394.2</v>
      </c>
      <c r="I227" s="18">
        <v>7000</v>
      </c>
      <c r="J227" s="18">
        <v>0</v>
      </c>
      <c r="K227" s="18">
        <v>0</v>
      </c>
      <c r="L227" s="19">
        <f>SUM(F227:K227)</f>
        <v>226394.2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f>70813.68-3218.1</f>
        <v>67595.579999999987</v>
      </c>
      <c r="G228" s="18">
        <v>8598.0300000000007</v>
      </c>
      <c r="H228" s="18">
        <f>16954+31983.87+3218.1</f>
        <v>52155.969999999994</v>
      </c>
      <c r="I228" s="18">
        <v>9946.66</v>
      </c>
      <c r="J228" s="18">
        <v>0</v>
      </c>
      <c r="K228" s="18">
        <v>5978</v>
      </c>
      <c r="L228" s="19">
        <f>SUM(F228:K228)</f>
        <v>144274.23999999999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201979.98</v>
      </c>
      <c r="G230" s="18">
        <v>87703.77</v>
      </c>
      <c r="H230" s="18">
        <f>48419.2+1458+262.13</f>
        <v>50139.329999999994</v>
      </c>
      <c r="I230" s="18">
        <v>7115.95</v>
      </c>
      <c r="J230" s="18">
        <v>608.99</v>
      </c>
      <c r="K230" s="18">
        <v>3386.45</v>
      </c>
      <c r="L230" s="19">
        <f t="shared" ref="L230:L236" si="4">SUM(F230:K230)</f>
        <v>350934.47000000003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61782.23</v>
      </c>
      <c r="G231" s="18">
        <v>34002.1</v>
      </c>
      <c r="H231" s="18">
        <f>23067.44+248.39</f>
        <v>23315.829999999998</v>
      </c>
      <c r="I231" s="18">
        <v>265.7</v>
      </c>
      <c r="J231" s="18">
        <v>0</v>
      </c>
      <c r="K231" s="18">
        <v>0</v>
      </c>
      <c r="L231" s="19">
        <f t="shared" si="4"/>
        <v>119365.86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2397.12</v>
      </c>
      <c r="G232" s="18">
        <v>187.36</v>
      </c>
      <c r="H232" s="18">
        <f>145116.36+7579.19</f>
        <v>152695.54999999999</v>
      </c>
      <c r="I232" s="18">
        <v>667.11</v>
      </c>
      <c r="J232" s="18">
        <v>0</v>
      </c>
      <c r="K232" s="18">
        <v>1169.1400000000001</v>
      </c>
      <c r="L232" s="19">
        <f t="shared" si="4"/>
        <v>157116.28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211835.99</v>
      </c>
      <c r="G233" s="18">
        <v>81286.77</v>
      </c>
      <c r="H233" s="18">
        <f>1245+640.5+11853.56</f>
        <v>13739.06</v>
      </c>
      <c r="I233" s="18">
        <v>8755.7099999999991</v>
      </c>
      <c r="J233" s="18">
        <v>554</v>
      </c>
      <c r="K233" s="18">
        <v>1975.87</v>
      </c>
      <c r="L233" s="19">
        <f t="shared" si="4"/>
        <v>318147.40000000002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3600</v>
      </c>
      <c r="L234" s="19">
        <f t="shared" si="4"/>
        <v>3600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99615.28</v>
      </c>
      <c r="G235" s="18">
        <v>38614.19</v>
      </c>
      <c r="H235" s="18">
        <f>10471.25+195240.31+2743.56</f>
        <v>208455.12</v>
      </c>
      <c r="I235" s="18">
        <v>130442.57</v>
      </c>
      <c r="J235" s="18">
        <v>11821.8</v>
      </c>
      <c r="K235" s="18">
        <v>4</v>
      </c>
      <c r="L235" s="19">
        <f t="shared" si="4"/>
        <v>488952.95999999996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7271.03</v>
      </c>
      <c r="G236" s="18">
        <v>2920.85</v>
      </c>
      <c r="H236" s="18">
        <f>549.01+166314.08</f>
        <v>166863.09</v>
      </c>
      <c r="I236" s="18">
        <v>1136.53</v>
      </c>
      <c r="J236" s="18">
        <v>0</v>
      </c>
      <c r="K236" s="18">
        <v>1.86</v>
      </c>
      <c r="L236" s="19">
        <f t="shared" si="4"/>
        <v>178193.36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v>0</v>
      </c>
      <c r="G237" s="18">
        <v>0</v>
      </c>
      <c r="H237" s="18">
        <f>21888.32+28591.9</f>
        <v>50480.22</v>
      </c>
      <c r="I237" s="18">
        <v>362.98</v>
      </c>
      <c r="J237" s="18">
        <v>3223.95</v>
      </c>
      <c r="K237" s="18">
        <v>0</v>
      </c>
      <c r="L237" s="19">
        <f>SUM(F237:K237)</f>
        <v>54067.15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2249885.2299999995</v>
      </c>
      <c r="G239" s="41">
        <f t="shared" si="5"/>
        <v>866481.12</v>
      </c>
      <c r="H239" s="41">
        <f t="shared" si="5"/>
        <v>1581183.5899999999</v>
      </c>
      <c r="I239" s="41">
        <f t="shared" si="5"/>
        <v>229032.24000000002</v>
      </c>
      <c r="J239" s="41">
        <f t="shared" si="5"/>
        <v>26456.27</v>
      </c>
      <c r="K239" s="41">
        <f t="shared" si="5"/>
        <v>24835.73</v>
      </c>
      <c r="L239" s="41">
        <f t="shared" si="5"/>
        <v>4977874.1800000006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>
        <v>37585.199999999997</v>
      </c>
      <c r="G245" s="18">
        <v>8199.76</v>
      </c>
      <c r="H245" s="18">
        <v>597.5</v>
      </c>
      <c r="I245" s="18">
        <v>1589.54</v>
      </c>
      <c r="J245" s="18">
        <v>9500</v>
      </c>
      <c r="K245" s="18">
        <v>0</v>
      </c>
      <c r="L245" s="19">
        <f t="shared" si="6"/>
        <v>57472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37585.199999999997</v>
      </c>
      <c r="G248" s="41">
        <f t="shared" si="7"/>
        <v>8199.76</v>
      </c>
      <c r="H248" s="41">
        <f t="shared" si="7"/>
        <v>597.5</v>
      </c>
      <c r="I248" s="41">
        <f t="shared" si="7"/>
        <v>1589.54</v>
      </c>
      <c r="J248" s="41">
        <f t="shared" si="7"/>
        <v>9500</v>
      </c>
      <c r="K248" s="41">
        <f t="shared" si="7"/>
        <v>0</v>
      </c>
      <c r="L248" s="41">
        <f>SUM(F248:K248)</f>
        <v>57472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5754493.5499999998</v>
      </c>
      <c r="G249" s="41">
        <f t="shared" si="8"/>
        <v>2106433.6599999997</v>
      </c>
      <c r="H249" s="41">
        <f t="shared" si="8"/>
        <v>3148154.7399999998</v>
      </c>
      <c r="I249" s="41">
        <f t="shared" si="8"/>
        <v>535710.67000000004</v>
      </c>
      <c r="J249" s="41">
        <f t="shared" si="8"/>
        <v>55164.369999999995</v>
      </c>
      <c r="K249" s="41">
        <f t="shared" si="8"/>
        <v>37624.729999999996</v>
      </c>
      <c r="L249" s="41">
        <f t="shared" si="8"/>
        <v>11637581.720000001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773766.66</v>
      </c>
      <c r="L252" s="19">
        <f>SUM(F252:K252)</f>
        <v>773766.66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64102.5</v>
      </c>
      <c r="L253" s="19">
        <f>SUM(F253:K253)</f>
        <v>64102.5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42532.24</v>
      </c>
      <c r="L255" s="19">
        <f>SUM(F255:K255)</f>
        <v>42532.24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50000</v>
      </c>
      <c r="L258" s="19">
        <f t="shared" si="9"/>
        <v>50000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>
        <v>10900</v>
      </c>
      <c r="L260" s="19">
        <f t="shared" si="9"/>
        <v>10900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941301.4</v>
      </c>
      <c r="L262" s="41">
        <f t="shared" si="9"/>
        <v>941301.4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5754493.5499999998</v>
      </c>
      <c r="G263" s="42">
        <f t="shared" si="11"/>
        <v>2106433.6599999997</v>
      </c>
      <c r="H263" s="42">
        <f t="shared" si="11"/>
        <v>3148154.7399999998</v>
      </c>
      <c r="I263" s="42">
        <f t="shared" si="11"/>
        <v>535710.67000000004</v>
      </c>
      <c r="J263" s="42">
        <f t="shared" si="11"/>
        <v>55164.369999999995</v>
      </c>
      <c r="K263" s="42">
        <f t="shared" si="11"/>
        <v>978926.13</v>
      </c>
      <c r="L263" s="42">
        <f t="shared" si="11"/>
        <v>12578883.120000001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38015</v>
      </c>
      <c r="G268" s="18">
        <v>11433.2</v>
      </c>
      <c r="H268" s="18">
        <v>0</v>
      </c>
      <c r="I268" s="18">
        <v>1328.08</v>
      </c>
      <c r="J268" s="18">
        <v>0</v>
      </c>
      <c r="K268" s="18">
        <v>0</v>
      </c>
      <c r="L268" s="19">
        <f>SUM(F268:K268)</f>
        <v>50776.28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156150.23000000001</v>
      </c>
      <c r="G269" s="18">
        <v>50353.39</v>
      </c>
      <c r="H269" s="18">
        <v>0</v>
      </c>
      <c r="I269" s="18">
        <v>0</v>
      </c>
      <c r="J269" s="18">
        <v>1908.49</v>
      </c>
      <c r="K269" s="18">
        <v>0</v>
      </c>
      <c r="L269" s="19">
        <f>SUM(F269:K269)</f>
        <v>208412.11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>
        <v>0</v>
      </c>
      <c r="G270" s="18">
        <v>0</v>
      </c>
      <c r="H270" s="18">
        <v>0</v>
      </c>
      <c r="I270" s="18">
        <v>0</v>
      </c>
      <c r="J270" s="18">
        <v>0</v>
      </c>
      <c r="K270" s="18">
        <v>0</v>
      </c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6373.3</v>
      </c>
      <c r="G271" s="18">
        <v>1037.6600000000001</v>
      </c>
      <c r="H271" s="18">
        <v>0</v>
      </c>
      <c r="I271" s="18">
        <v>400.88</v>
      </c>
      <c r="J271" s="18">
        <v>0</v>
      </c>
      <c r="K271" s="18">
        <v>0</v>
      </c>
      <c r="L271" s="19">
        <f>SUM(F271:K271)</f>
        <v>7811.84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0</v>
      </c>
      <c r="G273" s="18">
        <v>0</v>
      </c>
      <c r="H273" s="18">
        <v>403.41</v>
      </c>
      <c r="I273" s="18">
        <v>352.74</v>
      </c>
      <c r="J273" s="18">
        <v>0</v>
      </c>
      <c r="K273" s="18">
        <v>0</v>
      </c>
      <c r="L273" s="19">
        <f t="shared" ref="L273:L279" si="12">SUM(F273:K273)</f>
        <v>756.15000000000009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0</v>
      </c>
      <c r="G274" s="18">
        <v>0</v>
      </c>
      <c r="H274" s="18">
        <v>11455</v>
      </c>
      <c r="I274" s="18">
        <v>1106</v>
      </c>
      <c r="J274" s="18">
        <v>0</v>
      </c>
      <c r="K274" s="18">
        <v>0</v>
      </c>
      <c r="L274" s="19">
        <f t="shared" si="12"/>
        <v>12561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v>0</v>
      </c>
      <c r="G275" s="18">
        <v>0</v>
      </c>
      <c r="H275" s="18">
        <v>0</v>
      </c>
      <c r="I275" s="18">
        <v>0</v>
      </c>
      <c r="J275" s="18">
        <v>0</v>
      </c>
      <c r="K275" s="18">
        <v>1954.13</v>
      </c>
      <c r="L275" s="19">
        <f t="shared" si="12"/>
        <v>1954.13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>
        <v>0</v>
      </c>
      <c r="G280" s="18">
        <v>0</v>
      </c>
      <c r="H280" s="18">
        <v>0</v>
      </c>
      <c r="I280" s="18">
        <v>0</v>
      </c>
      <c r="J280" s="18">
        <v>0</v>
      </c>
      <c r="K280" s="18">
        <v>0</v>
      </c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200538.53</v>
      </c>
      <c r="G282" s="42">
        <f t="shared" si="13"/>
        <v>62824.25</v>
      </c>
      <c r="H282" s="42">
        <f t="shared" si="13"/>
        <v>11858.41</v>
      </c>
      <c r="I282" s="42">
        <f t="shared" si="13"/>
        <v>3187.7</v>
      </c>
      <c r="J282" s="42">
        <f t="shared" si="13"/>
        <v>1908.49</v>
      </c>
      <c r="K282" s="42">
        <f t="shared" si="13"/>
        <v>1954.13</v>
      </c>
      <c r="L282" s="41">
        <f t="shared" si="13"/>
        <v>282271.51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v>0</v>
      </c>
      <c r="G287" s="18">
        <v>0</v>
      </c>
      <c r="H287" s="18">
        <v>0</v>
      </c>
      <c r="I287" s="18">
        <v>3558.73</v>
      </c>
      <c r="J287" s="18">
        <v>0</v>
      </c>
      <c r="K287" s="18">
        <v>0</v>
      </c>
      <c r="L287" s="19">
        <f>SUM(F287:K287)</f>
        <v>3558.73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73571.259999999995</v>
      </c>
      <c r="G288" s="18">
        <v>36726.400000000001</v>
      </c>
      <c r="H288" s="18">
        <v>0</v>
      </c>
      <c r="I288" s="18">
        <v>912.26</v>
      </c>
      <c r="J288" s="18">
        <v>0</v>
      </c>
      <c r="K288" s="18">
        <v>0</v>
      </c>
      <c r="L288" s="19">
        <f>SUM(F288:K288)</f>
        <v>111209.92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>
        <v>0</v>
      </c>
      <c r="G289" s="18">
        <v>0</v>
      </c>
      <c r="H289" s="18">
        <v>10000</v>
      </c>
      <c r="I289" s="18">
        <v>0</v>
      </c>
      <c r="J289" s="18">
        <v>0</v>
      </c>
      <c r="K289" s="18">
        <v>0</v>
      </c>
      <c r="L289" s="19">
        <f>SUM(F289:K289)</f>
        <v>10000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>
        <v>64877.63</v>
      </c>
      <c r="G290" s="18">
        <v>16728.36</v>
      </c>
      <c r="H290" s="18">
        <v>6922.5</v>
      </c>
      <c r="I290" s="18">
        <v>0</v>
      </c>
      <c r="J290" s="18">
        <v>0</v>
      </c>
      <c r="K290" s="18">
        <v>0</v>
      </c>
      <c r="L290" s="19">
        <f>SUM(F290:K290)</f>
        <v>88528.489999999991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v>0</v>
      </c>
      <c r="G292" s="18">
        <v>0</v>
      </c>
      <c r="H292" s="18">
        <v>0</v>
      </c>
      <c r="I292" s="18">
        <v>1375.51</v>
      </c>
      <c r="J292" s="18">
        <v>0</v>
      </c>
      <c r="K292" s="18">
        <v>1087</v>
      </c>
      <c r="L292" s="19">
        <f t="shared" ref="L292:L298" si="14">SUM(F292:K292)</f>
        <v>2462.5100000000002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2870.25</v>
      </c>
      <c r="G293" s="18">
        <v>219.58</v>
      </c>
      <c r="H293" s="18">
        <v>12857</v>
      </c>
      <c r="I293" s="18">
        <v>1279</v>
      </c>
      <c r="J293" s="18">
        <v>0</v>
      </c>
      <c r="K293" s="18">
        <v>0</v>
      </c>
      <c r="L293" s="19">
        <f t="shared" si="14"/>
        <v>17225.830000000002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2925.51</v>
      </c>
      <c r="L294" s="19">
        <f t="shared" si="14"/>
        <v>2925.51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>
        <v>0</v>
      </c>
      <c r="G298" s="18">
        <v>0</v>
      </c>
      <c r="H298" s="18">
        <v>4700</v>
      </c>
      <c r="I298" s="18">
        <v>0</v>
      </c>
      <c r="J298" s="18">
        <v>0</v>
      </c>
      <c r="K298" s="18">
        <v>0</v>
      </c>
      <c r="L298" s="19">
        <f t="shared" si="14"/>
        <v>4700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>
        <v>0</v>
      </c>
      <c r="G299" s="18">
        <v>0</v>
      </c>
      <c r="H299" s="18">
        <v>0</v>
      </c>
      <c r="I299" s="18">
        <v>0</v>
      </c>
      <c r="J299" s="18">
        <v>0</v>
      </c>
      <c r="K299" s="18">
        <v>0</v>
      </c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141319.13999999998</v>
      </c>
      <c r="G301" s="42">
        <f t="shared" si="15"/>
        <v>53674.340000000004</v>
      </c>
      <c r="H301" s="42">
        <f t="shared" si="15"/>
        <v>34479.5</v>
      </c>
      <c r="I301" s="42">
        <f t="shared" si="15"/>
        <v>7125.5</v>
      </c>
      <c r="J301" s="42">
        <f t="shared" si="15"/>
        <v>0</v>
      </c>
      <c r="K301" s="42">
        <f t="shared" si="15"/>
        <v>4012.51</v>
      </c>
      <c r="L301" s="41">
        <f t="shared" si="15"/>
        <v>240610.99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0</v>
      </c>
      <c r="G306" s="18">
        <v>0</v>
      </c>
      <c r="H306" s="18">
        <v>1335</v>
      </c>
      <c r="I306" s="18">
        <v>1737.79</v>
      </c>
      <c r="J306" s="18">
        <v>0</v>
      </c>
      <c r="K306" s="18">
        <v>0</v>
      </c>
      <c r="L306" s="19">
        <f>SUM(F306:K306)</f>
        <v>3072.79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0</v>
      </c>
      <c r="G307" s="18">
        <v>0</v>
      </c>
      <c r="H307" s="18">
        <v>0</v>
      </c>
      <c r="I307" s="18">
        <v>0</v>
      </c>
      <c r="J307" s="18">
        <v>-948</v>
      </c>
      <c r="K307" s="18">
        <v>0</v>
      </c>
      <c r="L307" s="19">
        <f>SUM(F307:K307)</f>
        <v>-948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>
        <v>0</v>
      </c>
      <c r="G308" s="18">
        <v>0</v>
      </c>
      <c r="H308" s="18">
        <v>0</v>
      </c>
      <c r="I308" s="18">
        <v>0</v>
      </c>
      <c r="J308" s="18">
        <v>0</v>
      </c>
      <c r="K308" s="18">
        <v>0</v>
      </c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>
        <v>4282.5</v>
      </c>
      <c r="G309" s="18">
        <v>697.87</v>
      </c>
      <c r="H309" s="18">
        <v>0</v>
      </c>
      <c r="I309" s="18">
        <v>155.6</v>
      </c>
      <c r="J309" s="18">
        <v>0</v>
      </c>
      <c r="K309" s="18">
        <v>0</v>
      </c>
      <c r="L309" s="19">
        <f>SUM(F309:K309)</f>
        <v>5135.97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4859.87</v>
      </c>
      <c r="G311" s="18">
        <v>984.84</v>
      </c>
      <c r="H311" s="18">
        <v>0</v>
      </c>
      <c r="I311" s="18">
        <v>0</v>
      </c>
      <c r="J311" s="18">
        <v>0</v>
      </c>
      <c r="K311" s="18">
        <v>2950</v>
      </c>
      <c r="L311" s="19">
        <f t="shared" ref="L311:L317" si="16">SUM(F311:K311)</f>
        <v>8794.7099999999991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0</v>
      </c>
      <c r="G312" s="18">
        <v>0</v>
      </c>
      <c r="H312" s="18">
        <v>0</v>
      </c>
      <c r="I312" s="18">
        <v>5856</v>
      </c>
      <c r="J312" s="18">
        <v>0</v>
      </c>
      <c r="K312" s="18">
        <v>0</v>
      </c>
      <c r="L312" s="19">
        <f t="shared" si="16"/>
        <v>5856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>
        <v>0</v>
      </c>
      <c r="G313" s="18">
        <v>0</v>
      </c>
      <c r="H313" s="18">
        <v>1085.5999999999999</v>
      </c>
      <c r="I313" s="18">
        <v>0</v>
      </c>
      <c r="J313" s="18">
        <v>0</v>
      </c>
      <c r="K313" s="18">
        <v>0</v>
      </c>
      <c r="L313" s="19">
        <f t="shared" si="16"/>
        <v>1085.5999999999999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>
        <v>0</v>
      </c>
      <c r="G318" s="18">
        <v>0</v>
      </c>
      <c r="H318" s="18">
        <v>0</v>
      </c>
      <c r="I318" s="18">
        <v>0</v>
      </c>
      <c r="J318" s="18">
        <v>0</v>
      </c>
      <c r="K318" s="18">
        <v>0</v>
      </c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9142.369999999999</v>
      </c>
      <c r="G320" s="42">
        <f t="shared" si="17"/>
        <v>1682.71</v>
      </c>
      <c r="H320" s="42">
        <f t="shared" si="17"/>
        <v>2420.6</v>
      </c>
      <c r="I320" s="42">
        <f t="shared" si="17"/>
        <v>7749.3899999999994</v>
      </c>
      <c r="J320" s="42">
        <f t="shared" si="17"/>
        <v>-948</v>
      </c>
      <c r="K320" s="42">
        <f t="shared" si="17"/>
        <v>2950</v>
      </c>
      <c r="L320" s="41">
        <f t="shared" si="17"/>
        <v>22997.07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351000.04</v>
      </c>
      <c r="G330" s="41">
        <f t="shared" si="20"/>
        <v>118181.3</v>
      </c>
      <c r="H330" s="41">
        <f t="shared" si="20"/>
        <v>48758.51</v>
      </c>
      <c r="I330" s="41">
        <f t="shared" si="20"/>
        <v>18062.59</v>
      </c>
      <c r="J330" s="41">
        <f t="shared" si="20"/>
        <v>960.49</v>
      </c>
      <c r="K330" s="41">
        <f t="shared" si="20"/>
        <v>8916.64</v>
      </c>
      <c r="L330" s="41">
        <f t="shared" si="20"/>
        <v>545879.56999999995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351000.04</v>
      </c>
      <c r="G344" s="41">
        <f>G330</f>
        <v>118181.3</v>
      </c>
      <c r="H344" s="41">
        <f>H330</f>
        <v>48758.51</v>
      </c>
      <c r="I344" s="41">
        <f>I330</f>
        <v>18062.59</v>
      </c>
      <c r="J344" s="41">
        <f>J330</f>
        <v>960.49</v>
      </c>
      <c r="K344" s="47">
        <f>K330+K343</f>
        <v>8916.64</v>
      </c>
      <c r="L344" s="41">
        <f>L330+L343</f>
        <v>545879.56999999995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0</v>
      </c>
      <c r="G350" s="18">
        <v>0</v>
      </c>
      <c r="H350" s="18">
        <f>93976.72+7738.78+2680.18</f>
        <v>104395.68</v>
      </c>
      <c r="I350" s="18">
        <v>0</v>
      </c>
      <c r="J350" s="18">
        <v>1861.9</v>
      </c>
      <c r="K350" s="18">
        <v>0</v>
      </c>
      <c r="L350" s="13">
        <f>SUM(F350:K350)</f>
        <v>106257.57999999999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18198.57</v>
      </c>
      <c r="G351" s="18">
        <v>9112.2999999999993</v>
      </c>
      <c r="H351" s="18">
        <f>108660.57+6543.42+2136.5</f>
        <v>117340.49</v>
      </c>
      <c r="I351" s="18">
        <v>0</v>
      </c>
      <c r="J351" s="18">
        <v>0</v>
      </c>
      <c r="K351" s="18">
        <v>0</v>
      </c>
      <c r="L351" s="19">
        <f>SUM(F351:K351)</f>
        <v>144651.36000000002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8334.7199999999993</v>
      </c>
      <c r="G352" s="18">
        <v>717.28</v>
      </c>
      <c r="H352" s="18">
        <f>91040.01+2368.2</f>
        <v>93408.209999999992</v>
      </c>
      <c r="I352" s="18">
        <v>0</v>
      </c>
      <c r="J352" s="18">
        <v>1495.45</v>
      </c>
      <c r="K352" s="18">
        <v>0</v>
      </c>
      <c r="L352" s="19">
        <f>SUM(F352:K352)</f>
        <v>103955.65999999999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26533.29</v>
      </c>
      <c r="G354" s="47">
        <f t="shared" si="22"/>
        <v>9829.58</v>
      </c>
      <c r="H354" s="47">
        <f t="shared" si="22"/>
        <v>315144.38</v>
      </c>
      <c r="I354" s="47">
        <f t="shared" si="22"/>
        <v>0</v>
      </c>
      <c r="J354" s="47">
        <f t="shared" si="22"/>
        <v>3357.3500000000004</v>
      </c>
      <c r="K354" s="47">
        <f t="shared" si="22"/>
        <v>0</v>
      </c>
      <c r="L354" s="47">
        <f t="shared" si="22"/>
        <v>354864.6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/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0</v>
      </c>
      <c r="G361" s="47">
        <f>SUM(G359:G360)</f>
        <v>0</v>
      </c>
      <c r="H361" s="47">
        <f>SUM(H359:H360)</f>
        <v>0</v>
      </c>
      <c r="I361" s="47">
        <f>SUM(I359:I360)</f>
        <v>0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>
        <v>2.2400000000000002</v>
      </c>
      <c r="I380" s="18"/>
      <c r="J380" s="24" t="s">
        <v>312</v>
      </c>
      <c r="K380" s="24" t="s">
        <v>312</v>
      </c>
      <c r="L380" s="56">
        <f t="shared" si="25"/>
        <v>2.2400000000000002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2.2400000000000002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2.2400000000000002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50000</v>
      </c>
      <c r="H388" s="18">
        <v>7.44</v>
      </c>
      <c r="I388" s="18"/>
      <c r="J388" s="24" t="s">
        <v>312</v>
      </c>
      <c r="K388" s="24" t="s">
        <v>312</v>
      </c>
      <c r="L388" s="56">
        <f t="shared" si="26"/>
        <v>50007.44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18.66</v>
      </c>
      <c r="I389" s="18"/>
      <c r="J389" s="24" t="s">
        <v>312</v>
      </c>
      <c r="K389" s="24" t="s">
        <v>312</v>
      </c>
      <c r="L389" s="56">
        <f t="shared" si="26"/>
        <v>18.66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>
        <v>9.2100000000000009</v>
      </c>
      <c r="I392" s="18"/>
      <c r="J392" s="24" t="s">
        <v>312</v>
      </c>
      <c r="K392" s="24" t="s">
        <v>312</v>
      </c>
      <c r="L392" s="56">
        <f t="shared" si="26"/>
        <v>9.2100000000000009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50000</v>
      </c>
      <c r="H393" s="47">
        <f>SUM(H387:H392)</f>
        <v>35.31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50035.310000000005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50000</v>
      </c>
      <c r="H400" s="47">
        <f>H385+H393+H399</f>
        <v>37.550000000000004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50037.55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>
        <v>20000</v>
      </c>
      <c r="L414" s="56">
        <f t="shared" si="29"/>
        <v>20000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>
        <v>40000</v>
      </c>
      <c r="L415" s="56">
        <f t="shared" si="29"/>
        <v>40000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>
        <v>15300</v>
      </c>
      <c r="L418" s="56">
        <f t="shared" si="29"/>
        <v>15300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75300</v>
      </c>
      <c r="L419" s="47">
        <f t="shared" si="30"/>
        <v>75300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75300</v>
      </c>
      <c r="L426" s="47">
        <f t="shared" si="32"/>
        <v>75300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26736.63</v>
      </c>
      <c r="G432" s="18">
        <f>90735.98+157020.75+80250.57</f>
        <v>328007.3</v>
      </c>
      <c r="H432" s="18"/>
      <c r="I432" s="56">
        <f t="shared" si="33"/>
        <v>354743.93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26736.63</v>
      </c>
      <c r="G438" s="13">
        <f>SUM(G431:G437)</f>
        <v>328007.3</v>
      </c>
      <c r="H438" s="13">
        <f>SUM(H431:H437)</f>
        <v>0</v>
      </c>
      <c r="I438" s="13">
        <f>SUM(I431:I437)</f>
        <v>354743.93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26736.63</v>
      </c>
      <c r="G449" s="18">
        <f>90735.98+157020.75+80250.57</f>
        <v>328007.3</v>
      </c>
      <c r="H449" s="18"/>
      <c r="I449" s="56">
        <f>SUM(F449:H449)</f>
        <v>354743.93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26736.63</v>
      </c>
      <c r="G450" s="83">
        <f>SUM(G446:G449)</f>
        <v>328007.3</v>
      </c>
      <c r="H450" s="83">
        <f>SUM(H446:H449)</f>
        <v>0</v>
      </c>
      <c r="I450" s="83">
        <f>SUM(I446:I449)</f>
        <v>354743.93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26736.63</v>
      </c>
      <c r="G451" s="42">
        <f>G444+G450</f>
        <v>328007.3</v>
      </c>
      <c r="H451" s="42">
        <f>H444+H450</f>
        <v>0</v>
      </c>
      <c r="I451" s="42">
        <f>I444+I450</f>
        <v>354743.93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445804.84000000544</v>
      </c>
      <c r="G455" s="18">
        <v>0</v>
      </c>
      <c r="H455" s="18">
        <v>0</v>
      </c>
      <c r="I455" s="18">
        <v>0</v>
      </c>
      <c r="J455" s="18">
        <v>380006.38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12193472.369999999</v>
      </c>
      <c r="G458" s="18">
        <v>354864.6</v>
      </c>
      <c r="H458" s="18">
        <f>538771.18+7108.39</f>
        <v>545879.57000000007</v>
      </c>
      <c r="I458" s="18"/>
      <c r="J458" s="18">
        <v>50037.55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12193472.369999999</v>
      </c>
      <c r="G460" s="53">
        <f>SUM(G458:G459)</f>
        <v>354864.6</v>
      </c>
      <c r="H460" s="53">
        <f>SUM(H458:H459)</f>
        <v>545879.57000000007</v>
      </c>
      <c r="I460" s="53">
        <f>SUM(I458:I459)</f>
        <v>0</v>
      </c>
      <c r="J460" s="53">
        <f>SUM(J458:J459)</f>
        <v>50037.55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12439240.66+139642.46</f>
        <v>12578883.120000001</v>
      </c>
      <c r="G462" s="18">
        <v>354864.6</v>
      </c>
      <c r="H462" s="18">
        <f>538771.18+7108.39</f>
        <v>545879.57000000007</v>
      </c>
      <c r="I462" s="18"/>
      <c r="J462" s="18">
        <v>75300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12578883.120000001</v>
      </c>
      <c r="G464" s="53">
        <f>SUM(G462:G463)</f>
        <v>354864.6</v>
      </c>
      <c r="H464" s="53">
        <f>SUM(H462:H463)</f>
        <v>545879.57000000007</v>
      </c>
      <c r="I464" s="53">
        <f>SUM(I462:I463)</f>
        <v>0</v>
      </c>
      <c r="J464" s="53">
        <f>SUM(J462:J463)</f>
        <v>75300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60394.090000003576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354743.93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>
        <v>20</v>
      </c>
      <c r="H480" s="154">
        <v>15</v>
      </c>
      <c r="I480" s="154">
        <v>15</v>
      </c>
      <c r="J480" s="154">
        <v>10</v>
      </c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272" t="s">
        <v>899</v>
      </c>
      <c r="G481" s="155" t="s">
        <v>900</v>
      </c>
      <c r="H481" s="155" t="s">
        <v>901</v>
      </c>
      <c r="I481" s="155" t="s">
        <v>902</v>
      </c>
      <c r="J481" s="155" t="s">
        <v>903</v>
      </c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904</v>
      </c>
      <c r="G482" s="155" t="s">
        <v>905</v>
      </c>
      <c r="H482" s="155" t="s">
        <v>906</v>
      </c>
      <c r="I482" s="155" t="s">
        <v>907</v>
      </c>
      <c r="J482" s="155" t="s">
        <v>908</v>
      </c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2475000</v>
      </c>
      <c r="G483" s="18">
        <v>3000000</v>
      </c>
      <c r="H483" s="18">
        <v>500000</v>
      </c>
      <c r="I483" s="18">
        <v>1694000</v>
      </c>
      <c r="J483" s="18">
        <v>605000</v>
      </c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6.86</v>
      </c>
      <c r="G484" s="18">
        <v>6.75</v>
      </c>
      <c r="H484" s="18">
        <v>0</v>
      </c>
      <c r="I484" s="18">
        <v>0</v>
      </c>
      <c r="J484" s="18">
        <v>4.5</v>
      </c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415000</v>
      </c>
      <c r="G485" s="18">
        <v>260000</v>
      </c>
      <c r="H485" s="18">
        <f>33333.33*9</f>
        <v>299999.97000000003</v>
      </c>
      <c r="I485" s="18">
        <f>112933.33*11</f>
        <v>1242266.6300000001</v>
      </c>
      <c r="J485" s="18">
        <v>484000</v>
      </c>
      <c r="K485" s="53">
        <f>SUM(F485:J485)</f>
        <v>2701266.6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>
        <v>0</v>
      </c>
      <c r="H486" s="18">
        <v>0</v>
      </c>
      <c r="I486" s="18">
        <v>0</v>
      </c>
      <c r="J486" s="18">
        <v>0</v>
      </c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200000</v>
      </c>
      <c r="G487" s="18">
        <v>260000</v>
      </c>
      <c r="H487" s="18">
        <v>33333.33</v>
      </c>
      <c r="I487" s="18">
        <v>112933.33</v>
      </c>
      <c r="J487" s="18">
        <v>60500</v>
      </c>
      <c r="K487" s="53">
        <f t="shared" si="34"/>
        <v>666766.66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f>F485-F487</f>
        <v>215000</v>
      </c>
      <c r="G488" s="205">
        <f>G485-G487</f>
        <v>0</v>
      </c>
      <c r="H488" s="205">
        <f>H485-H487</f>
        <v>266666.64</v>
      </c>
      <c r="I488" s="205">
        <f>I485-I487</f>
        <v>1129333.3</v>
      </c>
      <c r="J488" s="205">
        <f>J485-J487</f>
        <v>423500</v>
      </c>
      <c r="K488" s="206">
        <f t="shared" si="34"/>
        <v>2034499.94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f>7525</f>
        <v>7525</v>
      </c>
      <c r="G489" s="18">
        <v>0</v>
      </c>
      <c r="H489" s="18">
        <v>0</v>
      </c>
      <c r="I489" s="18">
        <v>0</v>
      </c>
      <c r="J489" s="18">
        <f>2722.5+5445+8167.5+10919.84+13612.5+16335+19057.5+21839.67</f>
        <v>98099.51</v>
      </c>
      <c r="K489" s="53">
        <f t="shared" si="34"/>
        <v>105624.51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222525</v>
      </c>
      <c r="G490" s="42">
        <f>SUM(G488:G489)</f>
        <v>0</v>
      </c>
      <c r="H490" s="42">
        <f>SUM(H488:H489)</f>
        <v>266666.64</v>
      </c>
      <c r="I490" s="42">
        <f>SUM(I488:I489)</f>
        <v>1129333.3</v>
      </c>
      <c r="J490" s="42">
        <f>SUM(J488:J489)</f>
        <v>521599.51</v>
      </c>
      <c r="K490" s="42">
        <f t="shared" si="34"/>
        <v>2140124.4500000002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215000</v>
      </c>
      <c r="G491" s="205">
        <v>0</v>
      </c>
      <c r="H491" s="205">
        <v>33333.33</v>
      </c>
      <c r="I491" s="205">
        <v>112933.33</v>
      </c>
      <c r="J491" s="205">
        <v>60500</v>
      </c>
      <c r="K491" s="206">
        <f t="shared" si="34"/>
        <v>421766.66000000003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7525</v>
      </c>
      <c r="G492" s="18">
        <v>0</v>
      </c>
      <c r="H492" s="18">
        <v>0</v>
      </c>
      <c r="I492" s="18">
        <v>0</v>
      </c>
      <c r="J492" s="18">
        <v>21839.67</v>
      </c>
      <c r="K492" s="53">
        <f t="shared" si="34"/>
        <v>29364.67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222525</v>
      </c>
      <c r="G493" s="42">
        <f>SUM(G491:G492)</f>
        <v>0</v>
      </c>
      <c r="H493" s="42">
        <f>SUM(H491:H492)</f>
        <v>33333.33</v>
      </c>
      <c r="I493" s="42">
        <f>SUM(I491:I492)</f>
        <v>112933.33</v>
      </c>
      <c r="J493" s="42">
        <f>SUM(J491:J492)</f>
        <v>82339.67</v>
      </c>
      <c r="K493" s="42">
        <f t="shared" si="34"/>
        <v>451131.33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318351.13</v>
      </c>
      <c r="G511" s="18">
        <v>131160.04</v>
      </c>
      <c r="H511" s="18">
        <f>27993.45+70125.11</f>
        <v>98118.56</v>
      </c>
      <c r="I511" s="18">
        <v>4841.49</v>
      </c>
      <c r="J511" s="18">
        <v>2414.17</v>
      </c>
      <c r="K511" s="18">
        <v>80</v>
      </c>
      <c r="L511" s="88">
        <f>SUM(F511:K511)</f>
        <v>554965.39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386411.91</v>
      </c>
      <c r="G512" s="18">
        <v>179465.06</v>
      </c>
      <c r="H512" s="18">
        <f>47019.24+190100.12</f>
        <v>237119.35999999999</v>
      </c>
      <c r="I512" s="18">
        <v>6341.94</v>
      </c>
      <c r="J512" s="18">
        <v>511.99</v>
      </c>
      <c r="K512" s="18">
        <v>242.5</v>
      </c>
      <c r="L512" s="88">
        <f>SUM(F512:K512)</f>
        <v>810092.75999999989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404329.93</v>
      </c>
      <c r="G513" s="18">
        <v>207315.49</v>
      </c>
      <c r="H513" s="18">
        <f>181886.84+459796.36</f>
        <v>641683.19999999995</v>
      </c>
      <c r="I513" s="18">
        <v>4102.33</v>
      </c>
      <c r="J513" s="18">
        <v>-948</v>
      </c>
      <c r="K513" s="18">
        <v>419.5</v>
      </c>
      <c r="L513" s="88">
        <f>SUM(F513:K513)</f>
        <v>1256902.45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1109092.97</v>
      </c>
      <c r="G514" s="108">
        <f t="shared" ref="G514:L514" si="35">SUM(G511:G513)</f>
        <v>517940.58999999997</v>
      </c>
      <c r="H514" s="108">
        <f t="shared" si="35"/>
        <v>976921.11999999988</v>
      </c>
      <c r="I514" s="108">
        <f t="shared" si="35"/>
        <v>15285.76</v>
      </c>
      <c r="J514" s="108">
        <f t="shared" si="35"/>
        <v>1978.1599999999999</v>
      </c>
      <c r="K514" s="108">
        <f t="shared" si="35"/>
        <v>742</v>
      </c>
      <c r="L514" s="89">
        <f t="shared" si="35"/>
        <v>2621960.5999999996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0</v>
      </c>
      <c r="G516" s="18">
        <v>0</v>
      </c>
      <c r="H516" s="18">
        <v>149412.97</v>
      </c>
      <c r="I516" s="18">
        <v>96</v>
      </c>
      <c r="J516" s="18">
        <v>0</v>
      </c>
      <c r="K516" s="18">
        <v>0</v>
      </c>
      <c r="L516" s="88">
        <f>SUM(F516:K516)</f>
        <v>149508.97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v>0</v>
      </c>
      <c r="G517" s="18">
        <v>0</v>
      </c>
      <c r="H517" s="18">
        <v>72882.490000000005</v>
      </c>
      <c r="I517" s="18">
        <v>364.11</v>
      </c>
      <c r="J517" s="18">
        <v>0</v>
      </c>
      <c r="K517" s="18">
        <v>0</v>
      </c>
      <c r="L517" s="88">
        <f>SUM(F517:K517)</f>
        <v>73246.600000000006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0</v>
      </c>
      <c r="G518" s="18">
        <v>0</v>
      </c>
      <c r="H518" s="18">
        <v>47921.2</v>
      </c>
      <c r="I518" s="18">
        <v>0</v>
      </c>
      <c r="J518" s="18">
        <v>0</v>
      </c>
      <c r="K518" s="18">
        <v>0</v>
      </c>
      <c r="L518" s="88">
        <f>SUM(F518:K518)</f>
        <v>47921.2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270216.66000000003</v>
      </c>
      <c r="I519" s="89">
        <f t="shared" si="36"/>
        <v>460.11</v>
      </c>
      <c r="J519" s="89">
        <f t="shared" si="36"/>
        <v>0</v>
      </c>
      <c r="K519" s="89">
        <f t="shared" si="36"/>
        <v>0</v>
      </c>
      <c r="L519" s="89">
        <f t="shared" si="36"/>
        <v>270676.77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>
        <v>31589</v>
      </c>
      <c r="I521" s="18"/>
      <c r="J521" s="18"/>
      <c r="K521" s="18"/>
      <c r="L521" s="88">
        <f>SUM(F521:K521)</f>
        <v>31589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>
        <v>40012</v>
      </c>
      <c r="I522" s="18"/>
      <c r="J522" s="18"/>
      <c r="K522" s="18"/>
      <c r="L522" s="88">
        <f>SUM(F522:K522)</f>
        <v>40012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>
        <v>33694</v>
      </c>
      <c r="I523" s="18"/>
      <c r="J523" s="18"/>
      <c r="K523" s="18"/>
      <c r="L523" s="88">
        <f>SUM(F523:K523)</f>
        <v>33694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105295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105295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>
        <v>7225.69</v>
      </c>
      <c r="G531" s="18">
        <v>2896.45</v>
      </c>
      <c r="H531" s="18">
        <f>566.71+25810.15</f>
        <v>26376.86</v>
      </c>
      <c r="I531" s="18">
        <v>1173.18</v>
      </c>
      <c r="J531" s="18">
        <v>0</v>
      </c>
      <c r="K531" s="18">
        <v>1.92</v>
      </c>
      <c r="L531" s="88">
        <f>SUM(F531:K531)</f>
        <v>37674.1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>
        <v>8355.0400000000009</v>
      </c>
      <c r="G532" s="18">
        <v>3349.84</v>
      </c>
      <c r="H532" s="18">
        <f>655.26+3021.73</f>
        <v>3676.99</v>
      </c>
      <c r="I532" s="18">
        <v>1356.5</v>
      </c>
      <c r="J532" s="18">
        <v>0</v>
      </c>
      <c r="K532" s="18">
        <v>2.2200000000000002</v>
      </c>
      <c r="L532" s="88">
        <f>SUM(F532:K532)</f>
        <v>16740.590000000004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>
        <v>7271.03</v>
      </c>
      <c r="G533" s="18">
        <v>2920.85</v>
      </c>
      <c r="H533" s="18">
        <f>549.01+20093.26</f>
        <v>20642.269999999997</v>
      </c>
      <c r="I533" s="18">
        <v>1136.53</v>
      </c>
      <c r="J533" s="18">
        <v>0</v>
      </c>
      <c r="K533" s="18">
        <v>1.86</v>
      </c>
      <c r="L533" s="88">
        <f>SUM(F533:K533)</f>
        <v>31972.539999999994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22851.759999999998</v>
      </c>
      <c r="G534" s="194">
        <f t="shared" ref="G534:L534" si="39">SUM(G531:G533)</f>
        <v>9167.14</v>
      </c>
      <c r="H534" s="194">
        <f t="shared" si="39"/>
        <v>50696.119999999995</v>
      </c>
      <c r="I534" s="194">
        <f t="shared" si="39"/>
        <v>3666.21</v>
      </c>
      <c r="J534" s="194">
        <f t="shared" si="39"/>
        <v>0</v>
      </c>
      <c r="K534" s="194">
        <f t="shared" si="39"/>
        <v>6.0000000000000009</v>
      </c>
      <c r="L534" s="194">
        <f t="shared" si="39"/>
        <v>86387.23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1131944.73</v>
      </c>
      <c r="G535" s="89">
        <f t="shared" ref="G535:L535" si="40">G514+G519+G524+G529+G534</f>
        <v>527107.73</v>
      </c>
      <c r="H535" s="89">
        <f t="shared" si="40"/>
        <v>1403128.9</v>
      </c>
      <c r="I535" s="89">
        <f t="shared" si="40"/>
        <v>19412.080000000002</v>
      </c>
      <c r="J535" s="89">
        <f t="shared" si="40"/>
        <v>1978.1599999999999</v>
      </c>
      <c r="K535" s="89">
        <f t="shared" si="40"/>
        <v>748</v>
      </c>
      <c r="L535" s="89">
        <f t="shared" si="40"/>
        <v>3084319.5999999996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554965.39</v>
      </c>
      <c r="G539" s="87">
        <f>L516</f>
        <v>149508.97</v>
      </c>
      <c r="H539" s="87">
        <f>L521</f>
        <v>31589</v>
      </c>
      <c r="I539" s="87">
        <f>L526</f>
        <v>0</v>
      </c>
      <c r="J539" s="87">
        <f>L531</f>
        <v>37674.1</v>
      </c>
      <c r="K539" s="87">
        <f>SUM(F539:J539)</f>
        <v>773737.46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810092.75999999989</v>
      </c>
      <c r="G540" s="87">
        <f>L517</f>
        <v>73246.600000000006</v>
      </c>
      <c r="H540" s="87">
        <f>L522</f>
        <v>40012</v>
      </c>
      <c r="I540" s="87">
        <f>L527</f>
        <v>0</v>
      </c>
      <c r="J540" s="87">
        <f>L532</f>
        <v>16740.590000000004</v>
      </c>
      <c r="K540" s="87">
        <f>SUM(F540:J540)</f>
        <v>940091.94999999984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1256902.45</v>
      </c>
      <c r="G541" s="87">
        <f>L518</f>
        <v>47921.2</v>
      </c>
      <c r="H541" s="87">
        <f>L523</f>
        <v>33694</v>
      </c>
      <c r="I541" s="87">
        <f>L528</f>
        <v>0</v>
      </c>
      <c r="J541" s="87">
        <f>L533</f>
        <v>31972.539999999994</v>
      </c>
      <c r="K541" s="87">
        <f>SUM(F541:J541)</f>
        <v>1370490.19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2621960.5999999996</v>
      </c>
      <c r="G542" s="89">
        <f t="shared" si="41"/>
        <v>270676.77</v>
      </c>
      <c r="H542" s="89">
        <f t="shared" si="41"/>
        <v>105295</v>
      </c>
      <c r="I542" s="89">
        <f t="shared" si="41"/>
        <v>0</v>
      </c>
      <c r="J542" s="89">
        <f t="shared" si="41"/>
        <v>86387.23</v>
      </c>
      <c r="K542" s="89">
        <f t="shared" si="41"/>
        <v>3084319.5999999996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>
        <v>156150.23000000001</v>
      </c>
      <c r="G547" s="18">
        <v>50353.39</v>
      </c>
      <c r="H547" s="18">
        <v>0</v>
      </c>
      <c r="I547" s="18">
        <v>0</v>
      </c>
      <c r="J547" s="18">
        <v>0</v>
      </c>
      <c r="K547" s="18">
        <v>0</v>
      </c>
      <c r="L547" s="88">
        <f>SUM(F547:K547)</f>
        <v>206503.62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>
        <v>73571.259999999995</v>
      </c>
      <c r="G548" s="18">
        <v>36726.400000000001</v>
      </c>
      <c r="H548" s="18">
        <v>0</v>
      </c>
      <c r="I548" s="18">
        <v>912.26</v>
      </c>
      <c r="J548" s="18">
        <v>0</v>
      </c>
      <c r="K548" s="18">
        <v>0</v>
      </c>
      <c r="L548" s="88">
        <f>SUM(F548:K548)</f>
        <v>111209.92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>
        <v>0</v>
      </c>
      <c r="G549" s="18">
        <v>0</v>
      </c>
      <c r="H549" s="18">
        <v>0</v>
      </c>
      <c r="I549" s="18">
        <v>0</v>
      </c>
      <c r="J549" s="18">
        <v>0</v>
      </c>
      <c r="K549" s="18">
        <v>0</v>
      </c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229721.49</v>
      </c>
      <c r="G550" s="108">
        <f t="shared" si="42"/>
        <v>87079.790000000008</v>
      </c>
      <c r="H550" s="108">
        <f t="shared" si="42"/>
        <v>0</v>
      </c>
      <c r="I550" s="108">
        <f t="shared" si="42"/>
        <v>912.26</v>
      </c>
      <c r="J550" s="108">
        <f t="shared" si="42"/>
        <v>0</v>
      </c>
      <c r="K550" s="108">
        <f t="shared" si="42"/>
        <v>0</v>
      </c>
      <c r="L550" s="89">
        <f t="shared" si="42"/>
        <v>317713.53999999998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3988.38</v>
      </c>
      <c r="G552" s="18">
        <v>1100.02</v>
      </c>
      <c r="H552" s="18">
        <v>0</v>
      </c>
      <c r="I552" s="18">
        <v>157.53</v>
      </c>
      <c r="J552" s="18">
        <v>0</v>
      </c>
      <c r="K552" s="18">
        <v>0</v>
      </c>
      <c r="L552" s="88">
        <f>SUM(F552:K552)</f>
        <v>5245.9299999999994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>
        <v>24164.62</v>
      </c>
      <c r="G553" s="18">
        <v>6705.9</v>
      </c>
      <c r="H553" s="18">
        <v>0</v>
      </c>
      <c r="I553" s="18">
        <v>68</v>
      </c>
      <c r="J553" s="18">
        <v>0</v>
      </c>
      <c r="K553" s="18">
        <v>0</v>
      </c>
      <c r="L553" s="88">
        <f>SUM(F553:K553)</f>
        <v>30938.519999999997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v>0</v>
      </c>
      <c r="G554" s="18">
        <v>0</v>
      </c>
      <c r="H554" s="18">
        <v>0</v>
      </c>
      <c r="I554" s="18">
        <v>15.22</v>
      </c>
      <c r="J554" s="18">
        <v>0</v>
      </c>
      <c r="K554" s="18">
        <v>0</v>
      </c>
      <c r="L554" s="88">
        <f>SUM(F554:K554)</f>
        <v>15.22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28153</v>
      </c>
      <c r="G555" s="89">
        <f t="shared" si="43"/>
        <v>7805.92</v>
      </c>
      <c r="H555" s="89">
        <f t="shared" si="43"/>
        <v>0</v>
      </c>
      <c r="I555" s="89">
        <f t="shared" si="43"/>
        <v>240.75</v>
      </c>
      <c r="J555" s="89">
        <f t="shared" si="43"/>
        <v>0</v>
      </c>
      <c r="K555" s="89">
        <f t="shared" si="43"/>
        <v>0</v>
      </c>
      <c r="L555" s="89">
        <f t="shared" si="43"/>
        <v>36199.67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257874.49</v>
      </c>
      <c r="G561" s="89">
        <f t="shared" ref="G561:L561" si="45">G550+G555+G560</f>
        <v>94885.71</v>
      </c>
      <c r="H561" s="89">
        <f t="shared" si="45"/>
        <v>0</v>
      </c>
      <c r="I561" s="89">
        <f t="shared" si="45"/>
        <v>1153.01</v>
      </c>
      <c r="J561" s="89">
        <f t="shared" si="45"/>
        <v>0</v>
      </c>
      <c r="K561" s="89">
        <f t="shared" si="45"/>
        <v>0</v>
      </c>
      <c r="L561" s="89">
        <f t="shared" si="45"/>
        <v>353913.20999999996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>
        <v>0</v>
      </c>
      <c r="G565" s="18">
        <v>0</v>
      </c>
      <c r="H565" s="18">
        <v>0</v>
      </c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>
        <v>0</v>
      </c>
      <c r="G566" s="18">
        <v>0</v>
      </c>
      <c r="H566" s="18">
        <v>0</v>
      </c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0</v>
      </c>
      <c r="G569" s="18">
        <v>0</v>
      </c>
      <c r="H569" s="18">
        <v>0</v>
      </c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>
        <v>0</v>
      </c>
      <c r="G570" s="18">
        <v>0</v>
      </c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>
        <v>0</v>
      </c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69858.69</v>
      </c>
      <c r="G572" s="18">
        <v>188407.03</v>
      </c>
      <c r="H572" s="18">
        <v>459484.36</v>
      </c>
      <c r="I572" s="87">
        <f t="shared" si="46"/>
        <v>717750.08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>
        <v>0</v>
      </c>
      <c r="G573" s="18">
        <v>0</v>
      </c>
      <c r="H573" s="18">
        <v>0</v>
      </c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>
        <v>0</v>
      </c>
      <c r="G574" s="18">
        <v>0</v>
      </c>
      <c r="H574" s="18">
        <v>0</v>
      </c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>
        <v>0</v>
      </c>
      <c r="G575" s="18">
        <v>0</v>
      </c>
      <c r="H575" s="18">
        <v>205394.2</v>
      </c>
      <c r="I575" s="87">
        <f t="shared" si="46"/>
        <v>205394.2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>
        <v>0</v>
      </c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>
        <v>0</v>
      </c>
      <c r="G577" s="18">
        <v>0</v>
      </c>
      <c r="H577" s="18">
        <v>0</v>
      </c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94107.13</v>
      </c>
      <c r="I581" s="18">
        <v>108811.38</v>
      </c>
      <c r="J581" s="18">
        <v>91166.3</v>
      </c>
      <c r="K581" s="104">
        <f t="shared" ref="K581:K587" si="47">SUM(H581:J581)</f>
        <v>294084.81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37674.1</v>
      </c>
      <c r="I582" s="18">
        <v>16740.59</v>
      </c>
      <c r="J582" s="18">
        <v>31972.54</v>
      </c>
      <c r="K582" s="104">
        <f t="shared" si="47"/>
        <v>86387.23000000001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>
        <v>0</v>
      </c>
      <c r="I583" s="18">
        <v>0</v>
      </c>
      <c r="J583" s="18">
        <v>14098.76</v>
      </c>
      <c r="K583" s="104">
        <f t="shared" si="47"/>
        <v>14098.76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0</v>
      </c>
      <c r="I584" s="18">
        <v>3212.45</v>
      </c>
      <c r="J584" s="18">
        <v>28961.68</v>
      </c>
      <c r="K584" s="104">
        <f t="shared" si="47"/>
        <v>32174.13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1795.25</v>
      </c>
      <c r="I585" s="18">
        <v>7497.76</v>
      </c>
      <c r="J585" s="18">
        <v>1340.45</v>
      </c>
      <c r="K585" s="104">
        <f t="shared" si="47"/>
        <v>10633.460000000001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>
        <v>184.5</v>
      </c>
      <c r="I586" s="18">
        <v>184.5</v>
      </c>
      <c r="J586" s="18">
        <v>0</v>
      </c>
      <c r="K586" s="104">
        <f t="shared" si="47"/>
        <v>369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>
        <v>10992.02</v>
      </c>
      <c r="I587" s="18">
        <v>12676.89</v>
      </c>
      <c r="J587" s="18">
        <v>10653.63</v>
      </c>
      <c r="K587" s="104">
        <f t="shared" si="47"/>
        <v>34322.54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144753</v>
      </c>
      <c r="I588" s="108">
        <f>SUM(I581:I587)</f>
        <v>149123.57</v>
      </c>
      <c r="J588" s="108">
        <f>SUM(J581:J587)</f>
        <v>178193.36000000002</v>
      </c>
      <c r="K588" s="108">
        <f>SUM(K581:K587)</f>
        <v>472069.93000000005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7877.8</v>
      </c>
      <c r="I594" s="18">
        <v>13238.79</v>
      </c>
      <c r="J594" s="18">
        <f>25508.27+9500</f>
        <v>35008.270000000004</v>
      </c>
      <c r="K594" s="104">
        <f>SUM(H594:J594)</f>
        <v>56124.86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7877.8</v>
      </c>
      <c r="I595" s="108">
        <f>SUM(I592:I594)</f>
        <v>13238.79</v>
      </c>
      <c r="J595" s="108">
        <f>SUM(J592:J594)</f>
        <v>35008.270000000004</v>
      </c>
      <c r="K595" s="108">
        <f>SUM(K592:K594)</f>
        <v>56124.86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23455.35</v>
      </c>
      <c r="G601" s="18">
        <v>3288.93</v>
      </c>
      <c r="H601" s="18">
        <v>0</v>
      </c>
      <c r="I601" s="18">
        <v>52.44</v>
      </c>
      <c r="J601" s="18">
        <v>0</v>
      </c>
      <c r="K601" s="18">
        <v>0</v>
      </c>
      <c r="L601" s="88">
        <f>SUM(F601:K601)</f>
        <v>26796.719999999998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18576.150000000001</v>
      </c>
      <c r="G602" s="18">
        <v>2876.08</v>
      </c>
      <c r="H602" s="18">
        <v>9649.9</v>
      </c>
      <c r="I602" s="18">
        <v>1679.8</v>
      </c>
      <c r="J602" s="18">
        <v>0</v>
      </c>
      <c r="K602" s="18">
        <v>0</v>
      </c>
      <c r="L602" s="88">
        <f>SUM(F602:K602)</f>
        <v>32781.930000000008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16167.68</v>
      </c>
      <c r="G603" s="18">
        <v>2102.36</v>
      </c>
      <c r="H603" s="18">
        <v>30049.23</v>
      </c>
      <c r="I603" s="18">
        <v>-0.32</v>
      </c>
      <c r="J603" s="18">
        <v>0</v>
      </c>
      <c r="K603" s="18">
        <v>0</v>
      </c>
      <c r="L603" s="88">
        <f>SUM(F603:K603)</f>
        <v>48318.950000000004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58199.18</v>
      </c>
      <c r="G604" s="108">
        <f t="shared" si="48"/>
        <v>8267.3700000000008</v>
      </c>
      <c r="H604" s="108">
        <f t="shared" si="48"/>
        <v>39699.129999999997</v>
      </c>
      <c r="I604" s="108">
        <f t="shared" si="48"/>
        <v>1731.92</v>
      </c>
      <c r="J604" s="108">
        <f t="shared" si="48"/>
        <v>0</v>
      </c>
      <c r="K604" s="108">
        <f t="shared" si="48"/>
        <v>0</v>
      </c>
      <c r="L604" s="89">
        <f t="shared" si="48"/>
        <v>107897.60000000001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284074.3</v>
      </c>
      <c r="H607" s="109">
        <f>SUM(F44)</f>
        <v>284074.3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28254.73</v>
      </c>
      <c r="H608" s="109">
        <f>SUM(G44)</f>
        <v>28254.729999999996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107273.63</v>
      </c>
      <c r="H609" s="109">
        <f>SUM(H44)</f>
        <v>107273.63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354743.93</v>
      </c>
      <c r="H611" s="109">
        <f>SUM(J44)</f>
        <v>354743.93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60394.09</v>
      </c>
      <c r="H612" s="109">
        <f>F466</f>
        <v>60394.090000003576</v>
      </c>
      <c r="I612" s="121" t="s">
        <v>106</v>
      </c>
      <c r="J612" s="109">
        <f t="shared" ref="J612:J645" si="49">G612-H612</f>
        <v>-3.5797711461782455E-9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354743.93</v>
      </c>
      <c r="H616" s="109">
        <f>J466</f>
        <v>354743.93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12193472.370000001</v>
      </c>
      <c r="H617" s="104">
        <f>SUM(F458)</f>
        <v>12193472.369999999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354864.6</v>
      </c>
      <c r="H618" s="104">
        <f>SUM(G458)</f>
        <v>354864.6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545879.57000000007</v>
      </c>
      <c r="H619" s="104">
        <f>SUM(H458)</f>
        <v>545879.57000000007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50037.55</v>
      </c>
      <c r="H621" s="104">
        <f>SUM(J458)</f>
        <v>50037.55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12578883.120000001</v>
      </c>
      <c r="H622" s="104">
        <f>SUM(F462)</f>
        <v>12578883.120000001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545879.56999999995</v>
      </c>
      <c r="H623" s="104">
        <f>SUM(H462)</f>
        <v>545879.57000000007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0</v>
      </c>
      <c r="H624" s="104">
        <f>I361</f>
        <v>0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354864.6</v>
      </c>
      <c r="H625" s="104">
        <f>SUM(G462)</f>
        <v>354864.6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50037.55</v>
      </c>
      <c r="H627" s="164">
        <f>SUM(J458)</f>
        <v>50037.55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75300</v>
      </c>
      <c r="H628" s="164">
        <f>SUM(J462)</f>
        <v>75300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26736.63</v>
      </c>
      <c r="H629" s="104">
        <f>SUM(F451)</f>
        <v>26736.63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328007.3</v>
      </c>
      <c r="H630" s="104">
        <f>SUM(G451)</f>
        <v>328007.3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354743.93</v>
      </c>
      <c r="H632" s="104">
        <f>SUM(I451)</f>
        <v>354743.93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37.549999999999997</v>
      </c>
      <c r="H634" s="104">
        <f>H400</f>
        <v>37.550000000000004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50000</v>
      </c>
      <c r="H635" s="104">
        <f>G400</f>
        <v>50000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50037.55</v>
      </c>
      <c r="H636" s="104">
        <f>L400</f>
        <v>50037.55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472069.93000000005</v>
      </c>
      <c r="H637" s="104">
        <f>L200+L218+L236</f>
        <v>472069.92999999993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56124.86</v>
      </c>
      <c r="H638" s="104">
        <f>(J249+J330)-(J247+J328)</f>
        <v>56124.859999999993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144752.99999999997</v>
      </c>
      <c r="H639" s="104">
        <f>H588</f>
        <v>144753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149123.57</v>
      </c>
      <c r="H640" s="104">
        <f>I588</f>
        <v>149123.57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178193.36</v>
      </c>
      <c r="H641" s="104">
        <f>J588</f>
        <v>178193.36000000002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42532.24</v>
      </c>
      <c r="H642" s="104">
        <f>K255+K337</f>
        <v>42532.24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50000</v>
      </c>
      <c r="H645" s="104">
        <f>K258+K339</f>
        <v>50000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3087170.38</v>
      </c>
      <c r="G650" s="19">
        <f>(L221+L301+L351)</f>
        <v>4288856.6000000006</v>
      </c>
      <c r="H650" s="19">
        <f>(L239+L320+L352)</f>
        <v>5104826.9100000011</v>
      </c>
      <c r="I650" s="19">
        <f>SUM(F650:H650)</f>
        <v>12480853.890000001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43100.382536573663</v>
      </c>
      <c r="G651" s="19">
        <f>(L351/IF(SUM(L350:L352)=0,1,SUM(L350:L352))*(SUM(G89:G102)))</f>
        <v>58673.733680323152</v>
      </c>
      <c r="H651" s="19">
        <f>(L352/IF(SUM(L350:L352)=0,1,SUM(L350:L352))*(SUM(G89:G102)))</f>
        <v>42166.673783103186</v>
      </c>
      <c r="I651" s="19">
        <f>SUM(F651:H651)</f>
        <v>143940.79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144752.99999999997</v>
      </c>
      <c r="G652" s="19">
        <f>(L218+L298)-(J218+J298)</f>
        <v>153823.57</v>
      </c>
      <c r="H652" s="19">
        <f>(L236+L317)-(J236+J317)</f>
        <v>178193.36</v>
      </c>
      <c r="I652" s="19">
        <f>SUM(F652:H652)</f>
        <v>476769.92999999993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104533.21</v>
      </c>
      <c r="G653" s="200">
        <f>SUM(G565:G577)+SUM(I592:I594)+L602</f>
        <v>234427.75</v>
      </c>
      <c r="H653" s="200">
        <f>SUM(H565:H577)+SUM(J592:J594)+L603</f>
        <v>748205.78</v>
      </c>
      <c r="I653" s="19">
        <f>SUM(F653:H653)</f>
        <v>1087166.74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2794783.7874634261</v>
      </c>
      <c r="G654" s="19">
        <f>G650-SUM(G651:G653)</f>
        <v>3841931.5463196775</v>
      </c>
      <c r="H654" s="19">
        <f>H650-SUM(H651:H653)</f>
        <v>4136261.0962168979</v>
      </c>
      <c r="I654" s="19">
        <f>I650-SUM(I651:I653)</f>
        <v>10772976.43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201.26</v>
      </c>
      <c r="G655" s="249">
        <v>269.16000000000003</v>
      </c>
      <c r="H655" s="249">
        <v>271.95</v>
      </c>
      <c r="I655" s="19">
        <f>SUM(F655:H655)</f>
        <v>742.37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13886.43</v>
      </c>
      <c r="G657" s="19">
        <f>ROUND(G654/G655,2)</f>
        <v>14273.78</v>
      </c>
      <c r="H657" s="19">
        <f>ROUND(H654/H655,2)</f>
        <v>15209.64</v>
      </c>
      <c r="I657" s="19">
        <f>ROUND(I654/I655,2)</f>
        <v>14511.6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-22.29</v>
      </c>
      <c r="I660" s="19">
        <f>SUM(F660:H660)</f>
        <v>-22.29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13886.43</v>
      </c>
      <c r="G662" s="19">
        <f>ROUND((G654+G659)/(G655+G660),2)</f>
        <v>14273.78</v>
      </c>
      <c r="H662" s="19">
        <f>ROUND((H654+H659)/(H655+H660),2)</f>
        <v>16567.580000000002</v>
      </c>
      <c r="I662" s="19">
        <f>ROUND((I654+I659)/(I655+I660),2)</f>
        <v>14960.8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E2A52-0CA4-451B-8020-56D895E34281}">
  <sheetPr>
    <tabColor indexed="20"/>
  </sheetPr>
  <dimension ref="A1:C52"/>
  <sheetViews>
    <sheetView topLeftCell="A10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HAVERHILL COOPERATIVE</v>
      </c>
      <c r="C1" s="239" t="s">
        <v>870</v>
      </c>
    </row>
    <row r="2" spans="1:3" x14ac:dyDescent="0.2">
      <c r="A2" s="234"/>
      <c r="B2" s="233"/>
    </row>
    <row r="3" spans="1:3" x14ac:dyDescent="0.2">
      <c r="A3" s="277" t="s">
        <v>815</v>
      </c>
      <c r="B3" s="277"/>
      <c r="C3" s="277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6" t="s">
        <v>814</v>
      </c>
      <c r="C6" s="276"/>
    </row>
    <row r="7" spans="1:3" x14ac:dyDescent="0.2">
      <c r="A7" s="240" t="s">
        <v>817</v>
      </c>
      <c r="B7" s="274" t="s">
        <v>813</v>
      </c>
      <c r="C7" s="275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3106007.84</v>
      </c>
      <c r="C9" s="230">
        <f>'DOE25'!G189+'DOE25'!G207+'DOE25'!G225+'DOE25'!G268+'DOE25'!G287+'DOE25'!G306</f>
        <v>1027274.27</v>
      </c>
    </row>
    <row r="10" spans="1:3" x14ac:dyDescent="0.2">
      <c r="A10" t="s">
        <v>810</v>
      </c>
      <c r="B10" s="241">
        <v>3008668.32</v>
      </c>
      <c r="C10" s="241">
        <v>1018579.73</v>
      </c>
    </row>
    <row r="11" spans="1:3" x14ac:dyDescent="0.2">
      <c r="A11" t="s">
        <v>811</v>
      </c>
      <c r="B11" s="241">
        <v>7466.36</v>
      </c>
      <c r="C11" s="241">
        <v>1289.47</v>
      </c>
    </row>
    <row r="12" spans="1:3" x14ac:dyDescent="0.2">
      <c r="A12" t="s">
        <v>812</v>
      </c>
      <c r="B12" s="241">
        <v>89873.16</v>
      </c>
      <c r="C12" s="241">
        <v>7405.07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3106007.84</v>
      </c>
      <c r="C13" s="232">
        <f>SUM(C10:C12)</f>
        <v>1027274.2699999999</v>
      </c>
    </row>
    <row r="14" spans="1:3" x14ac:dyDescent="0.2">
      <c r="B14" s="231"/>
      <c r="C14" s="231"/>
    </row>
    <row r="15" spans="1:3" x14ac:dyDescent="0.2">
      <c r="B15" s="276" t="s">
        <v>814</v>
      </c>
      <c r="C15" s="276"/>
    </row>
    <row r="16" spans="1:3" x14ac:dyDescent="0.2">
      <c r="A16" s="240" t="s">
        <v>818</v>
      </c>
      <c r="B16" s="274" t="s">
        <v>738</v>
      </c>
      <c r="C16" s="275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1430404.26</v>
      </c>
      <c r="C18" s="230">
        <f>'DOE25'!G190+'DOE25'!G208+'DOE25'!G226+'DOE25'!G269+'DOE25'!G288+'DOE25'!G307</f>
        <v>633986.22</v>
      </c>
    </row>
    <row r="19" spans="1:3" x14ac:dyDescent="0.2">
      <c r="A19" t="s">
        <v>810</v>
      </c>
      <c r="B19" s="241">
        <v>748886.13</v>
      </c>
      <c r="C19" s="241">
        <v>269025.03000000003</v>
      </c>
    </row>
    <row r="20" spans="1:3" x14ac:dyDescent="0.2">
      <c r="A20" t="s">
        <v>811</v>
      </c>
      <c r="B20" s="241">
        <v>651777.81999999995</v>
      </c>
      <c r="C20" s="241">
        <v>362694.83</v>
      </c>
    </row>
    <row r="21" spans="1:3" x14ac:dyDescent="0.2">
      <c r="A21" t="s">
        <v>812</v>
      </c>
      <c r="B21" s="241">
        <v>29740.31</v>
      </c>
      <c r="C21" s="241">
        <v>2266.36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1430404.26</v>
      </c>
      <c r="C22" s="232">
        <f>SUM(C19:C21)</f>
        <v>633986.22000000009</v>
      </c>
    </row>
    <row r="23" spans="1:3" x14ac:dyDescent="0.2">
      <c r="B23" s="231"/>
      <c r="C23" s="231"/>
    </row>
    <row r="24" spans="1:3" x14ac:dyDescent="0.2">
      <c r="B24" s="276" t="s">
        <v>814</v>
      </c>
      <c r="C24" s="276"/>
    </row>
    <row r="25" spans="1:3" x14ac:dyDescent="0.2">
      <c r="A25" s="240" t="s">
        <v>819</v>
      </c>
      <c r="B25" s="274" t="s">
        <v>739</v>
      </c>
      <c r="C25" s="275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6" t="s">
        <v>814</v>
      </c>
      <c r="C33" s="276"/>
    </row>
    <row r="34" spans="1:3" x14ac:dyDescent="0.2">
      <c r="A34" s="240" t="s">
        <v>820</v>
      </c>
      <c r="B34" s="274" t="s">
        <v>740</v>
      </c>
      <c r="C34" s="275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215999.56</v>
      </c>
      <c r="C36" s="236">
        <f>'DOE25'!G192+'DOE25'!G210+'DOE25'!G228+'DOE25'!G271+'DOE25'!G290+'DOE25'!G309</f>
        <v>37803.000000000007</v>
      </c>
    </row>
    <row r="37" spans="1:3" x14ac:dyDescent="0.2">
      <c r="A37" t="s">
        <v>810</v>
      </c>
      <c r="B37" s="241">
        <v>48945.72</v>
      </c>
      <c r="C37" s="241">
        <v>7299.72</v>
      </c>
    </row>
    <row r="38" spans="1:3" x14ac:dyDescent="0.2">
      <c r="A38" t="s">
        <v>811</v>
      </c>
      <c r="B38" s="241">
        <v>83935.99</v>
      </c>
      <c r="C38" s="241">
        <v>20543.259999999998</v>
      </c>
    </row>
    <row r="39" spans="1:3" x14ac:dyDescent="0.2">
      <c r="A39" t="s">
        <v>812</v>
      </c>
      <c r="B39" s="241">
        <v>83117.850000000006</v>
      </c>
      <c r="C39" s="241">
        <v>9960.02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215999.56000000003</v>
      </c>
      <c r="C40" s="232">
        <f>SUM(C37:C39)</f>
        <v>37803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BE069-B16A-488C-852A-134A18FB6E68}">
  <sheetPr>
    <tabColor indexed="11"/>
  </sheetPr>
  <dimension ref="A1:I51"/>
  <sheetViews>
    <sheetView workbookViewId="0">
      <pane ySplit="4" topLeftCell="A16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821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748</v>
      </c>
      <c r="B2" s="266" t="str">
        <f>'DOE25'!A2</f>
        <v>HAVERHILL COOPERATIVE</v>
      </c>
      <c r="C2" s="181"/>
      <c r="D2" s="181" t="s">
        <v>823</v>
      </c>
      <c r="E2" s="181" t="s">
        <v>825</v>
      </c>
      <c r="F2" s="278" t="s">
        <v>852</v>
      </c>
      <c r="G2" s="279"/>
      <c r="H2" s="280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7566165.3100000005</v>
      </c>
      <c r="D5" s="20">
        <f>SUM('DOE25'!L189:L192)+SUM('DOE25'!L207:L210)+SUM('DOE25'!L225:L228)-F5-G5</f>
        <v>7524715.7200000007</v>
      </c>
      <c r="E5" s="244"/>
      <c r="F5" s="256">
        <f>SUM('DOE25'!J189:J192)+SUM('DOE25'!J207:J210)+SUM('DOE25'!J225:J228)</f>
        <v>20031.09</v>
      </c>
      <c r="G5" s="53">
        <f>SUM('DOE25'!K189:K192)+SUM('DOE25'!K207:K210)+SUM('DOE25'!K225:K228)</f>
        <v>21418.5</v>
      </c>
      <c r="H5" s="260"/>
    </row>
    <row r="6" spans="1:9" x14ac:dyDescent="0.2">
      <c r="A6" s="32">
        <v>2100</v>
      </c>
      <c r="B6" t="s">
        <v>832</v>
      </c>
      <c r="C6" s="246">
        <f t="shared" si="0"/>
        <v>831140.71</v>
      </c>
      <c r="D6" s="20">
        <f>'DOE25'!L194+'DOE25'!L212+'DOE25'!L230-F6-G6</f>
        <v>824952.27</v>
      </c>
      <c r="E6" s="244"/>
      <c r="F6" s="256">
        <f>'DOE25'!J194+'DOE25'!J212+'DOE25'!J230</f>
        <v>797.99</v>
      </c>
      <c r="G6" s="53">
        <f>'DOE25'!K194+'DOE25'!K212+'DOE25'!K230</f>
        <v>5390.45</v>
      </c>
      <c r="H6" s="260"/>
    </row>
    <row r="7" spans="1:9" x14ac:dyDescent="0.2">
      <c r="A7" s="32">
        <v>2200</v>
      </c>
      <c r="B7" t="s">
        <v>865</v>
      </c>
      <c r="C7" s="246">
        <f t="shared" si="0"/>
        <v>306469.93</v>
      </c>
      <c r="D7" s="20">
        <f>'DOE25'!L195+'DOE25'!L213+'DOE25'!L231-F7-G7</f>
        <v>306469.93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332429.40999999997</v>
      </c>
      <c r="D8" s="244"/>
      <c r="E8" s="20">
        <f>'DOE25'!L196+'DOE25'!L214+'DOE25'!L232-F8-G8-D9-D11</f>
        <v>328658</v>
      </c>
      <c r="F8" s="256">
        <f>'DOE25'!J196+'DOE25'!J214+'DOE25'!J232</f>
        <v>0</v>
      </c>
      <c r="G8" s="53">
        <f>'DOE25'!K196+'DOE25'!K214+'DOE25'!K232</f>
        <v>3771.41</v>
      </c>
      <c r="H8" s="260"/>
    </row>
    <row r="9" spans="1:9" x14ac:dyDescent="0.2">
      <c r="A9" s="32">
        <v>2310</v>
      </c>
      <c r="B9" t="s">
        <v>849</v>
      </c>
      <c r="C9" s="246">
        <f t="shared" si="0"/>
        <v>77692.37</v>
      </c>
      <c r="D9" s="245">
        <v>77692.37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14168</v>
      </c>
      <c r="D10" s="244"/>
      <c r="E10" s="245">
        <v>14168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123515</v>
      </c>
      <c r="D11" s="245">
        <v>123515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748948.52</v>
      </c>
      <c r="D12" s="20">
        <f>'DOE25'!L197+'DOE25'!L215+'DOE25'!L233-F12-G12</f>
        <v>744141.15</v>
      </c>
      <c r="E12" s="244"/>
      <c r="F12" s="256">
        <f>'DOE25'!J197+'DOE25'!J215+'DOE25'!J233</f>
        <v>1373</v>
      </c>
      <c r="G12" s="53">
        <f>'DOE25'!K197+'DOE25'!K215+'DOE25'!K233</f>
        <v>3434.37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3600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3600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998902.45</v>
      </c>
      <c r="D14" s="20">
        <f>'DOE25'!L199+'DOE25'!L217+'DOE25'!L235-F14-G14</f>
        <v>978863.53999999992</v>
      </c>
      <c r="E14" s="244"/>
      <c r="F14" s="256">
        <f>'DOE25'!J199+'DOE25'!J217+'DOE25'!J235</f>
        <v>20034.91</v>
      </c>
      <c r="G14" s="53">
        <f>'DOE25'!K199+'DOE25'!K217+'DOE25'!K235</f>
        <v>4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472069.92999999993</v>
      </c>
      <c r="D15" s="20">
        <f>'DOE25'!L200+'DOE25'!L218+'DOE25'!L236-F15-G15</f>
        <v>472063.92999999993</v>
      </c>
      <c r="E15" s="244"/>
      <c r="F15" s="256">
        <f>'DOE25'!J200+'DOE25'!J218+'DOE25'!J236</f>
        <v>0</v>
      </c>
      <c r="G15" s="53">
        <f>'DOE25'!K200+'DOE25'!K218+'DOE25'!K236</f>
        <v>6.0000000000000009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119176.09</v>
      </c>
      <c r="D16" s="244"/>
      <c r="E16" s="20">
        <f>'DOE25'!L201+'DOE25'!L219+'DOE25'!L237-F16-G16</f>
        <v>115748.70999999999</v>
      </c>
      <c r="F16" s="256">
        <f>'DOE25'!J201+'DOE25'!J219+'DOE25'!J237</f>
        <v>3427.3799999999997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57472</v>
      </c>
      <c r="D19" s="20">
        <f>'DOE25'!L245-F19-G19</f>
        <v>47972</v>
      </c>
      <c r="E19" s="244"/>
      <c r="F19" s="256">
        <f>'DOE25'!J245</f>
        <v>9500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837869.16</v>
      </c>
      <c r="D25" s="244"/>
      <c r="E25" s="244"/>
      <c r="F25" s="259"/>
      <c r="G25" s="257"/>
      <c r="H25" s="258">
        <f>'DOE25'!L252+'DOE25'!L253+'DOE25'!L333+'DOE25'!L334</f>
        <v>837869.16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354864.6</v>
      </c>
      <c r="D29" s="20">
        <f>'DOE25'!L350+'DOE25'!L351+'DOE25'!L352-'DOE25'!I359-F29-G29</f>
        <v>351507.25</v>
      </c>
      <c r="E29" s="244"/>
      <c r="F29" s="256">
        <f>'DOE25'!J350+'DOE25'!J351+'DOE25'!J352</f>
        <v>3357.3500000000004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545879.56999999995</v>
      </c>
      <c r="D31" s="20">
        <f>'DOE25'!L282+'DOE25'!L301+'DOE25'!L320+'DOE25'!L325+'DOE25'!L326+'DOE25'!L327-F31-G31</f>
        <v>536002.43999999994</v>
      </c>
      <c r="E31" s="244"/>
      <c r="F31" s="256">
        <f>'DOE25'!J282+'DOE25'!J301+'DOE25'!J320+'DOE25'!J325+'DOE25'!J326+'DOE25'!J327</f>
        <v>960.49</v>
      </c>
      <c r="G31" s="53">
        <f>'DOE25'!K282+'DOE25'!K301+'DOE25'!K320+'DOE25'!K325+'DOE25'!K326+'DOE25'!K327</f>
        <v>8916.64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11987895.599999998</v>
      </c>
      <c r="E33" s="247">
        <f>SUM(E5:E31)</f>
        <v>458574.70999999996</v>
      </c>
      <c r="F33" s="247">
        <f>SUM(F5:F31)</f>
        <v>59482.21</v>
      </c>
      <c r="G33" s="247">
        <f>SUM(G5:G31)</f>
        <v>46541.37</v>
      </c>
      <c r="H33" s="247">
        <f>SUM(H5:H31)</f>
        <v>837869.16</v>
      </c>
    </row>
    <row r="35" spans="2:8" ht="12" thickBot="1" x14ac:dyDescent="0.25">
      <c r="B35" s="254" t="s">
        <v>878</v>
      </c>
      <c r="D35" s="255">
        <f>E33</f>
        <v>458574.70999999996</v>
      </c>
      <c r="E35" s="250"/>
    </row>
    <row r="36" spans="2:8" ht="12" thickTop="1" x14ac:dyDescent="0.2">
      <c r="B36" t="s">
        <v>846</v>
      </c>
      <c r="D36" s="20">
        <f>D33</f>
        <v>11987895.599999998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8A387-4E9C-4C26-8C09-68B394BAFDC8}">
  <sheetPr transitionEvaluation="1" codeName="Sheet2">
    <tabColor indexed="10"/>
  </sheetPr>
  <dimension ref="A1:I156"/>
  <sheetViews>
    <sheetView zoomScale="75" workbookViewId="0">
      <pane ySplit="2" topLeftCell="A96" activePane="bottomLeft" state="frozen"/>
      <selection pane="bottomLeft" activeCell="C131" sqref="C131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HAVERHILL COOPERATIVE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-32519.08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354743.93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69113.23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210205.64</v>
      </c>
      <c r="D13" s="95">
        <f>'DOE25'!G13</f>
        <v>27960.93</v>
      </c>
      <c r="E13" s="95">
        <f>'DOE25'!H13</f>
        <v>107273.63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37274.51</v>
      </c>
      <c r="D14" s="95">
        <f>'DOE25'!G14</f>
        <v>293.8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284074.3</v>
      </c>
      <c r="D19" s="41">
        <f>SUM(D9:D18)</f>
        <v>28254.73</v>
      </c>
      <c r="E19" s="41">
        <f>SUM(E9:E18)</f>
        <v>107273.63</v>
      </c>
      <c r="F19" s="41">
        <f>SUM(F9:F18)</f>
        <v>0</v>
      </c>
      <c r="G19" s="41">
        <f>SUM(G9:G18)</f>
        <v>354743.93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10207.56</v>
      </c>
      <c r="E22" s="95">
        <f>'DOE25'!H23</f>
        <v>58905.67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57494.09</v>
      </c>
      <c r="D24" s="95">
        <f>'DOE25'!G25</f>
        <v>18047.169999999998</v>
      </c>
      <c r="E24" s="95">
        <f>'DOE25'!H25</f>
        <v>500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150000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16186.12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47867.96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223680.21</v>
      </c>
      <c r="D32" s="41">
        <f>SUM(D22:D31)</f>
        <v>28254.729999999996</v>
      </c>
      <c r="E32" s="41">
        <f>SUM(E22:E31)</f>
        <v>107273.63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3681.2</v>
      </c>
      <c r="D36" s="95">
        <f>'DOE25'!G37</f>
        <v>800</v>
      </c>
      <c r="E36" s="95">
        <f>'DOE25'!H37</f>
        <v>2436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56712.89</v>
      </c>
      <c r="D40" s="95">
        <f>'DOE25'!G41</f>
        <v>-800</v>
      </c>
      <c r="E40" s="95">
        <f>'DOE25'!H41</f>
        <v>-2436</v>
      </c>
      <c r="F40" s="95">
        <f>'DOE25'!I41</f>
        <v>0</v>
      </c>
      <c r="G40" s="95">
        <f>'DOE25'!J41</f>
        <v>354743.93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0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60394.09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354743.93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284074.3</v>
      </c>
      <c r="D43" s="41">
        <f>D42+D32</f>
        <v>28254.729999999996</v>
      </c>
      <c r="E43" s="41">
        <f>E42+E32</f>
        <v>107273.63</v>
      </c>
      <c r="F43" s="41">
        <f>F42+F32</f>
        <v>0</v>
      </c>
      <c r="G43" s="41">
        <f>G42+G32</f>
        <v>354743.93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4631992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1811608.87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19071.77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37.549999999999997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136933.98000000001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82647.950000000012</v>
      </c>
      <c r="D53" s="95">
        <f>SUM('DOE25'!G90:G102)</f>
        <v>7006.81</v>
      </c>
      <c r="E53" s="95">
        <f>SUM('DOE25'!H90:H102)</f>
        <v>37385.96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1913328.59</v>
      </c>
      <c r="D54" s="130">
        <f>SUM(D49:D53)</f>
        <v>143940.79</v>
      </c>
      <c r="E54" s="130">
        <f>SUM(E49:E53)</f>
        <v>37385.96</v>
      </c>
      <c r="F54" s="130">
        <f>SUM(F49:F53)</f>
        <v>0</v>
      </c>
      <c r="G54" s="130">
        <f>SUM(G49:G53)</f>
        <v>37.549999999999997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6545320.5899999999</v>
      </c>
      <c r="D55" s="22">
        <f>D48+D54</f>
        <v>143940.79</v>
      </c>
      <c r="E55" s="22">
        <f>E48+E54</f>
        <v>37385.96</v>
      </c>
      <c r="F55" s="22">
        <f>F48+F54</f>
        <v>0</v>
      </c>
      <c r="G55" s="22">
        <f>G48+G54</f>
        <v>37.549999999999997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3682602.06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804170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133566.94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4620339.0000000009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437756.1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163921.62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79840.33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8400</v>
      </c>
      <c r="D69" s="95">
        <f>SUM('DOE25'!G123:G127)</f>
        <v>3650.31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689918.04999999993</v>
      </c>
      <c r="D70" s="130">
        <f>SUM(D64:D69)</f>
        <v>3650.31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5310257.0500000007</v>
      </c>
      <c r="D73" s="130">
        <f>SUM(D71:D72)+D70+D62</f>
        <v>3650.31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290615.40000000002</v>
      </c>
      <c r="D80" s="95">
        <f>SUM('DOE25'!G145:G153)</f>
        <v>164741.26</v>
      </c>
      <c r="E80" s="95">
        <f>SUM('DOE25'!H145:H153)</f>
        <v>508493.6100000001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1979.33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292594.73000000004</v>
      </c>
      <c r="D83" s="131">
        <f>SUM(D77:D82)</f>
        <v>164741.26</v>
      </c>
      <c r="E83" s="131">
        <f>SUM(E77:E82)</f>
        <v>508493.6100000001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-30000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42532.24</v>
      </c>
      <c r="E88" s="95">
        <f>'DOE25'!H171</f>
        <v>0</v>
      </c>
      <c r="F88" s="95">
        <f>'DOE25'!I171</f>
        <v>0</v>
      </c>
      <c r="G88" s="95">
        <f>'DOE25'!J171</f>
        <v>50000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75300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45300</v>
      </c>
      <c r="D95" s="86">
        <f>SUM(D85:D94)</f>
        <v>42532.24</v>
      </c>
      <c r="E95" s="86">
        <f>SUM(E85:E94)</f>
        <v>0</v>
      </c>
      <c r="F95" s="86">
        <f>SUM(F85:F94)</f>
        <v>0</v>
      </c>
      <c r="G95" s="86">
        <f>SUM(G85:G94)</f>
        <v>50000</v>
      </c>
    </row>
    <row r="96" spans="1:7" ht="12.75" thickTop="1" thickBot="1" x14ac:dyDescent="0.25">
      <c r="A96" s="33" t="s">
        <v>796</v>
      </c>
      <c r="C96" s="86">
        <f>C55+C73+C83+C95</f>
        <v>12193472.370000001</v>
      </c>
      <c r="D96" s="86">
        <f>D55+D73+D83+D95</f>
        <v>354864.6</v>
      </c>
      <c r="E96" s="86">
        <f>E55+E73+E83+E95</f>
        <v>545879.57000000007</v>
      </c>
      <c r="F96" s="86">
        <f>F55+F73+F83+F95</f>
        <v>0</v>
      </c>
      <c r="G96" s="86">
        <f>G55+G73+G95</f>
        <v>50037.55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4325958.28</v>
      </c>
      <c r="D101" s="24" t="s">
        <v>312</v>
      </c>
      <c r="E101" s="95">
        <f>('DOE25'!L268)+('DOE25'!L287)+('DOE25'!L306)</f>
        <v>57407.8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2742444.54</v>
      </c>
      <c r="D102" s="24" t="s">
        <v>312</v>
      </c>
      <c r="E102" s="95">
        <f>('DOE25'!L269)+('DOE25'!L288)+('DOE25'!L307)</f>
        <v>318674.02999999997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241394.2</v>
      </c>
      <c r="D103" s="24" t="s">
        <v>312</v>
      </c>
      <c r="E103" s="95">
        <f>('DOE25'!L270)+('DOE25'!L289)+('DOE25'!L308)</f>
        <v>10000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256368.28999999998</v>
      </c>
      <c r="D104" s="24" t="s">
        <v>312</v>
      </c>
      <c r="E104" s="95">
        <f>+('DOE25'!L271)+('DOE25'!L290)+('DOE25'!L309)</f>
        <v>101476.29999999999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57472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7623637.3100000005</v>
      </c>
      <c r="D107" s="86">
        <f>SUM(D101:D106)</f>
        <v>0</v>
      </c>
      <c r="E107" s="86">
        <f>SUM(E101:E106)</f>
        <v>487558.12999999995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831140.71</v>
      </c>
      <c r="D110" s="24" t="s">
        <v>312</v>
      </c>
      <c r="E110" s="95">
        <f>+('DOE25'!L273)+('DOE25'!L292)+('DOE25'!L311)</f>
        <v>12013.369999999999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306469.93</v>
      </c>
      <c r="D111" s="24" t="s">
        <v>312</v>
      </c>
      <c r="E111" s="95">
        <f>+('DOE25'!L274)+('DOE25'!L293)+('DOE25'!L312)</f>
        <v>35642.83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533636.78</v>
      </c>
      <c r="D112" s="24" t="s">
        <v>312</v>
      </c>
      <c r="E112" s="95">
        <f>+('DOE25'!L275)+('DOE25'!L294)+('DOE25'!L313)</f>
        <v>5965.24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748948.52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3600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998902.45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472069.92999999993</v>
      </c>
      <c r="D116" s="24" t="s">
        <v>312</v>
      </c>
      <c r="E116" s="95">
        <f>+('DOE25'!L279)+('DOE25'!L298)+('DOE25'!L317)</f>
        <v>4700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119176.09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354864.6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4013944.4099999992</v>
      </c>
      <c r="D120" s="86">
        <f>SUM(D110:D119)</f>
        <v>354864.6</v>
      </c>
      <c r="E120" s="86">
        <f>SUM(E110:E119)</f>
        <v>58321.439999999995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773766.66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64102.5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75300</v>
      </c>
    </row>
    <row r="127" spans="1:7" x14ac:dyDescent="0.2">
      <c r="A127" t="s">
        <v>256</v>
      </c>
      <c r="B127" s="32" t="s">
        <v>257</v>
      </c>
      <c r="C127" s="95">
        <f>'DOE25'!L255</f>
        <v>42532.24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2.2400000000000002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50035.310000000005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-37.55000000000291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10900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941301.4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75300</v>
      </c>
    </row>
    <row r="137" spans="1:9" ht="12.75" thickTop="1" thickBot="1" x14ac:dyDescent="0.25">
      <c r="A137" s="33" t="s">
        <v>267</v>
      </c>
      <c r="C137" s="86">
        <f>(C107+C120+C136)</f>
        <v>12578883.119999999</v>
      </c>
      <c r="D137" s="86">
        <f>(D107+D120+D136)</f>
        <v>354864.6</v>
      </c>
      <c r="E137" s="86">
        <f>(E107+E120+E136)</f>
        <v>545879.56999999995</v>
      </c>
      <c r="F137" s="86">
        <f>(F107+F120+F136)</f>
        <v>0</v>
      </c>
      <c r="G137" s="86">
        <f>(G107+G120+G136)</f>
        <v>75300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20</v>
      </c>
      <c r="D143" s="153">
        <f>'DOE25'!H480</f>
        <v>15</v>
      </c>
      <c r="E143" s="153">
        <f>'DOE25'!I480</f>
        <v>15</v>
      </c>
      <c r="F143" s="153">
        <f>'DOE25'!J480</f>
        <v>10</v>
      </c>
      <c r="G143" s="24" t="s">
        <v>312</v>
      </c>
    </row>
    <row r="144" spans="1:9" x14ac:dyDescent="0.2">
      <c r="A144" s="136" t="s">
        <v>28</v>
      </c>
      <c r="B144" s="152" t="str">
        <f>'DOE25'!F481</f>
        <v>02/92</v>
      </c>
      <c r="C144" s="152" t="str">
        <f>'DOE25'!G481</f>
        <v>7/91</v>
      </c>
      <c r="D144" s="152" t="str">
        <f>'DOE25'!H481</f>
        <v>08/21/03</v>
      </c>
      <c r="E144" s="152" t="str">
        <f>'DOE25'!I481</f>
        <v>7/6/2005</v>
      </c>
      <c r="F144" s="152" t="str">
        <f>'DOE25'!J481</f>
        <v>3/2/2009</v>
      </c>
      <c r="G144" s="24" t="s">
        <v>312</v>
      </c>
    </row>
    <row r="145" spans="1:7" x14ac:dyDescent="0.2">
      <c r="A145" s="136" t="s">
        <v>29</v>
      </c>
      <c r="B145" s="152" t="str">
        <f>'DOE25'!F482</f>
        <v>8/2011</v>
      </c>
      <c r="C145" s="152" t="str">
        <f>'DOE25'!G482</f>
        <v>1/2011</v>
      </c>
      <c r="D145" s="152" t="str">
        <f>'DOE25'!H482</f>
        <v>08/21/2018</v>
      </c>
      <c r="E145" s="152" t="str">
        <f>'DOE25'!I482</f>
        <v>7/5/2021</v>
      </c>
      <c r="F145" s="152" t="str">
        <f>'DOE25'!J482</f>
        <v>3/1/2019</v>
      </c>
      <c r="G145" s="24" t="s">
        <v>312</v>
      </c>
    </row>
    <row r="146" spans="1:7" x14ac:dyDescent="0.2">
      <c r="A146" s="136" t="s">
        <v>30</v>
      </c>
      <c r="B146" s="137">
        <f>'DOE25'!F483</f>
        <v>2475000</v>
      </c>
      <c r="C146" s="137">
        <f>'DOE25'!G483</f>
        <v>3000000</v>
      </c>
      <c r="D146" s="137">
        <f>'DOE25'!H483</f>
        <v>500000</v>
      </c>
      <c r="E146" s="137">
        <f>'DOE25'!I483</f>
        <v>1694000</v>
      </c>
      <c r="F146" s="137">
        <f>'DOE25'!J483</f>
        <v>605000</v>
      </c>
      <c r="G146" s="24" t="s">
        <v>312</v>
      </c>
    </row>
    <row r="147" spans="1:7" x14ac:dyDescent="0.2">
      <c r="A147" s="136" t="s">
        <v>31</v>
      </c>
      <c r="B147" s="137">
        <f>'DOE25'!F484</f>
        <v>6.86</v>
      </c>
      <c r="C147" s="137">
        <f>'DOE25'!G484</f>
        <v>6.75</v>
      </c>
      <c r="D147" s="137">
        <f>'DOE25'!H484</f>
        <v>0</v>
      </c>
      <c r="E147" s="137">
        <f>'DOE25'!I484</f>
        <v>0</v>
      </c>
      <c r="F147" s="137">
        <f>'DOE25'!J484</f>
        <v>4.5</v>
      </c>
      <c r="G147" s="24" t="s">
        <v>312</v>
      </c>
    </row>
    <row r="148" spans="1:7" x14ac:dyDescent="0.2">
      <c r="A148" s="22" t="s">
        <v>32</v>
      </c>
      <c r="B148" s="137">
        <f>'DOE25'!F485</f>
        <v>415000</v>
      </c>
      <c r="C148" s="137">
        <f>'DOE25'!G485</f>
        <v>260000</v>
      </c>
      <c r="D148" s="137">
        <f>'DOE25'!H485</f>
        <v>299999.97000000003</v>
      </c>
      <c r="E148" s="137">
        <f>'DOE25'!I485</f>
        <v>1242266.6300000001</v>
      </c>
      <c r="F148" s="137">
        <f>'DOE25'!J485</f>
        <v>484000</v>
      </c>
      <c r="G148" s="138">
        <f>SUM(B148:F148)</f>
        <v>2701266.6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200000</v>
      </c>
      <c r="C150" s="137">
        <f>'DOE25'!G487</f>
        <v>260000</v>
      </c>
      <c r="D150" s="137">
        <f>'DOE25'!H487</f>
        <v>33333.33</v>
      </c>
      <c r="E150" s="137">
        <f>'DOE25'!I487</f>
        <v>112933.33</v>
      </c>
      <c r="F150" s="137">
        <f>'DOE25'!J487</f>
        <v>60500</v>
      </c>
      <c r="G150" s="138">
        <f t="shared" si="0"/>
        <v>666766.66</v>
      </c>
    </row>
    <row r="151" spans="1:7" x14ac:dyDescent="0.2">
      <c r="A151" s="22" t="s">
        <v>35</v>
      </c>
      <c r="B151" s="137">
        <f>'DOE25'!F488</f>
        <v>215000</v>
      </c>
      <c r="C151" s="137">
        <f>'DOE25'!G488</f>
        <v>0</v>
      </c>
      <c r="D151" s="137">
        <f>'DOE25'!H488</f>
        <v>266666.64</v>
      </c>
      <c r="E151" s="137">
        <f>'DOE25'!I488</f>
        <v>1129333.3</v>
      </c>
      <c r="F151" s="137">
        <f>'DOE25'!J488</f>
        <v>423500</v>
      </c>
      <c r="G151" s="138">
        <f t="shared" si="0"/>
        <v>2034499.94</v>
      </c>
    </row>
    <row r="152" spans="1:7" x14ac:dyDescent="0.2">
      <c r="A152" s="22" t="s">
        <v>36</v>
      </c>
      <c r="B152" s="137">
        <f>'DOE25'!F489</f>
        <v>7525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98099.51</v>
      </c>
      <c r="G152" s="138">
        <f t="shared" si="0"/>
        <v>105624.51</v>
      </c>
    </row>
    <row r="153" spans="1:7" x14ac:dyDescent="0.2">
      <c r="A153" s="22" t="s">
        <v>37</v>
      </c>
      <c r="B153" s="137">
        <f>'DOE25'!F490</f>
        <v>222525</v>
      </c>
      <c r="C153" s="137">
        <f>'DOE25'!G490</f>
        <v>0</v>
      </c>
      <c r="D153" s="137">
        <f>'DOE25'!H490</f>
        <v>266666.64</v>
      </c>
      <c r="E153" s="137">
        <f>'DOE25'!I490</f>
        <v>1129333.3</v>
      </c>
      <c r="F153" s="137">
        <f>'DOE25'!J490</f>
        <v>521599.51</v>
      </c>
      <c r="G153" s="138">
        <f t="shared" si="0"/>
        <v>2140124.4500000002</v>
      </c>
    </row>
    <row r="154" spans="1:7" x14ac:dyDescent="0.2">
      <c r="A154" s="22" t="s">
        <v>38</v>
      </c>
      <c r="B154" s="137">
        <f>'DOE25'!F491</f>
        <v>215000</v>
      </c>
      <c r="C154" s="137">
        <f>'DOE25'!G491</f>
        <v>0</v>
      </c>
      <c r="D154" s="137">
        <f>'DOE25'!H491</f>
        <v>33333.33</v>
      </c>
      <c r="E154" s="137">
        <f>'DOE25'!I491</f>
        <v>112933.33</v>
      </c>
      <c r="F154" s="137">
        <f>'DOE25'!J491</f>
        <v>60500</v>
      </c>
      <c r="G154" s="138">
        <f t="shared" si="0"/>
        <v>421766.66000000003</v>
      </c>
    </row>
    <row r="155" spans="1:7" x14ac:dyDescent="0.2">
      <c r="A155" s="22" t="s">
        <v>39</v>
      </c>
      <c r="B155" s="137">
        <f>'DOE25'!F492</f>
        <v>7525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21839.67</v>
      </c>
      <c r="G155" s="138">
        <f t="shared" si="0"/>
        <v>29364.67</v>
      </c>
    </row>
    <row r="156" spans="1:7" x14ac:dyDescent="0.2">
      <c r="A156" s="22" t="s">
        <v>269</v>
      </c>
      <c r="B156" s="137">
        <f>'DOE25'!F493</f>
        <v>222525</v>
      </c>
      <c r="C156" s="137">
        <f>'DOE25'!G493</f>
        <v>0</v>
      </c>
      <c r="D156" s="137">
        <f>'DOE25'!H493</f>
        <v>33333.33</v>
      </c>
      <c r="E156" s="137">
        <f>'DOE25'!I493</f>
        <v>112933.33</v>
      </c>
      <c r="F156" s="137">
        <f>'DOE25'!J493</f>
        <v>82339.67</v>
      </c>
      <c r="G156" s="138">
        <f t="shared" si="0"/>
        <v>451131.33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287CE-9ABD-47D3-A49B-2B994C8A37EB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771</v>
      </c>
      <c r="B1" s="282"/>
      <c r="C1" s="282"/>
      <c r="D1" s="282"/>
    </row>
    <row r="2" spans="1:4" x14ac:dyDescent="0.2">
      <c r="A2" s="187" t="s">
        <v>748</v>
      </c>
      <c r="B2" s="186" t="str">
        <f>'DOE25'!A2</f>
        <v>HAVERHILL COOPERATIVE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13886</v>
      </c>
    </row>
    <row r="5" spans="1:4" x14ac:dyDescent="0.2">
      <c r="B5" t="s">
        <v>735</v>
      </c>
      <c r="C5" s="179">
        <f>IF('DOE25'!G655+'DOE25'!G660=0,0,ROUND('DOE25'!G662,0))</f>
        <v>14274</v>
      </c>
    </row>
    <row r="6" spans="1:4" x14ac:dyDescent="0.2">
      <c r="B6" t="s">
        <v>62</v>
      </c>
      <c r="C6" s="179">
        <f>IF('DOE25'!H655+'DOE25'!H660=0,0,ROUND('DOE25'!H662,0))</f>
        <v>16568</v>
      </c>
    </row>
    <row r="7" spans="1:4" x14ac:dyDescent="0.2">
      <c r="B7" t="s">
        <v>736</v>
      </c>
      <c r="C7" s="179">
        <f>IF('DOE25'!I655+'DOE25'!I660=0,0,ROUND('DOE25'!I662,0))</f>
        <v>14961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4383366</v>
      </c>
      <c r="D10" s="182">
        <f>ROUND((C10/$C$28)*100,1)</f>
        <v>35.200000000000003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3061119</v>
      </c>
      <c r="D11" s="182">
        <f>ROUND((C11/$C$28)*100,1)</f>
        <v>24.5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251394</v>
      </c>
      <c r="D12" s="182">
        <f>ROUND((C12/$C$28)*100,1)</f>
        <v>2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357845</v>
      </c>
      <c r="D13" s="182">
        <f>ROUND((C13/$C$28)*100,1)</f>
        <v>2.9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843154</v>
      </c>
      <c r="D15" s="182">
        <f t="shared" ref="D15:D27" si="0">ROUND((C15/$C$28)*100,1)</f>
        <v>6.8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342113</v>
      </c>
      <c r="D16" s="182">
        <f t="shared" si="0"/>
        <v>2.7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658778</v>
      </c>
      <c r="D17" s="182">
        <f t="shared" si="0"/>
        <v>5.3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748949</v>
      </c>
      <c r="D18" s="182">
        <f t="shared" si="0"/>
        <v>6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3600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998902</v>
      </c>
      <c r="D20" s="182">
        <f t="shared" si="0"/>
        <v>8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476770</v>
      </c>
      <c r="D21" s="182">
        <f t="shared" si="0"/>
        <v>3.8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57472</v>
      </c>
      <c r="D24" s="182">
        <f t="shared" si="0"/>
        <v>0.5</v>
      </c>
    </row>
    <row r="25" spans="1:4" x14ac:dyDescent="0.2">
      <c r="A25">
        <v>5120</v>
      </c>
      <c r="B25" t="s">
        <v>751</v>
      </c>
      <c r="C25" s="179">
        <f>ROUND('DOE25'!L253+'DOE25'!L334,0)</f>
        <v>64103</v>
      </c>
      <c r="D25" s="182">
        <f t="shared" si="0"/>
        <v>0.5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10900</v>
      </c>
      <c r="D26" s="182">
        <f t="shared" si="0"/>
        <v>0.1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210924.21</v>
      </c>
      <c r="D27" s="182">
        <f t="shared" si="0"/>
        <v>1.7</v>
      </c>
    </row>
    <row r="28" spans="1:4" x14ac:dyDescent="0.2">
      <c r="B28" s="187" t="s">
        <v>754</v>
      </c>
      <c r="C28" s="180">
        <f>SUM(C10:C27)</f>
        <v>12469389.210000001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12469389.210000001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773767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4631992</v>
      </c>
      <c r="D35" s="182">
        <f t="shared" ref="D35:D40" si="1">ROUND((C35/$C$41)*100,1)</f>
        <v>36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1950752.0999999996</v>
      </c>
      <c r="D36" s="182">
        <f t="shared" si="1"/>
        <v>15.2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4620339</v>
      </c>
      <c r="D37" s="182">
        <f t="shared" si="1"/>
        <v>35.9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693568</v>
      </c>
      <c r="D38" s="182">
        <f t="shared" si="1"/>
        <v>5.4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965830</v>
      </c>
      <c r="D39" s="182">
        <f t="shared" si="1"/>
        <v>7.5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12862481.1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-30000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89A3B-DE1D-4050-B732-F6BF65D4C7A1}">
  <sheetPr>
    <tabColor indexed="17"/>
  </sheetPr>
  <dimension ref="A1:IV90"/>
  <sheetViews>
    <sheetView workbookViewId="0">
      <pane ySplit="3" topLeftCell="A4" activePane="bottomLeft" state="frozen"/>
      <selection pane="bottomLeft" activeCell="C18" sqref="C18:M18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2" t="s">
        <v>801</v>
      </c>
      <c r="B1" s="293"/>
      <c r="C1" s="293"/>
      <c r="D1" s="293"/>
      <c r="E1" s="293"/>
      <c r="F1" s="293"/>
      <c r="G1" s="293"/>
      <c r="H1" s="293"/>
      <c r="I1" s="293"/>
      <c r="J1" s="214"/>
      <c r="K1" s="214"/>
      <c r="L1" s="214"/>
      <c r="M1" s="215"/>
    </row>
    <row r="2" spans="1:26" ht="12.75" x14ac:dyDescent="0.2">
      <c r="A2" s="290" t="s">
        <v>798</v>
      </c>
      <c r="B2" s="291"/>
      <c r="C2" s="291"/>
      <c r="D2" s="291"/>
      <c r="E2" s="291"/>
      <c r="F2" s="296" t="str">
        <f>'DOE25'!A2</f>
        <v>HAVERHILL COOPERATIVE</v>
      </c>
      <c r="G2" s="297"/>
      <c r="H2" s="297"/>
      <c r="I2" s="297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4" t="s">
        <v>802</v>
      </c>
      <c r="D3" s="294"/>
      <c r="E3" s="294"/>
      <c r="F3" s="294"/>
      <c r="G3" s="294"/>
      <c r="H3" s="294"/>
      <c r="I3" s="294"/>
      <c r="J3" s="294"/>
      <c r="K3" s="294"/>
      <c r="L3" s="294"/>
      <c r="M3" s="295"/>
    </row>
    <row r="4" spans="1:26" x14ac:dyDescent="0.2">
      <c r="A4" s="219">
        <v>13</v>
      </c>
      <c r="B4" s="220">
        <v>2</v>
      </c>
      <c r="C4" s="289" t="s">
        <v>895</v>
      </c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>
        <v>23</v>
      </c>
      <c r="B6" s="220">
        <v>12</v>
      </c>
      <c r="C6" s="289" t="s">
        <v>896</v>
      </c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>
        <v>10</v>
      </c>
      <c r="B7" s="220">
        <v>4</v>
      </c>
      <c r="C7" s="289" t="s">
        <v>909</v>
      </c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>
        <v>15</v>
      </c>
      <c r="B8" s="271" t="s">
        <v>897</v>
      </c>
      <c r="C8" s="289" t="s">
        <v>898</v>
      </c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73" t="s">
        <v>910</v>
      </c>
      <c r="B10" s="271" t="s">
        <v>912</v>
      </c>
      <c r="C10" s="289" t="s">
        <v>911</v>
      </c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2"/>
      <c r="O29" s="212"/>
      <c r="P29" s="299"/>
      <c r="Q29" s="299"/>
      <c r="R29" s="299"/>
      <c r="S29" s="299"/>
      <c r="T29" s="299"/>
      <c r="U29" s="299"/>
      <c r="V29" s="299"/>
      <c r="W29" s="299"/>
      <c r="X29" s="299"/>
      <c r="Y29" s="299"/>
      <c r="Z29" s="299"/>
      <c r="AA29" s="208"/>
      <c r="AB29" s="208"/>
      <c r="AC29" s="298"/>
      <c r="AD29" s="298"/>
      <c r="AE29" s="298"/>
      <c r="AF29" s="298"/>
      <c r="AG29" s="298"/>
      <c r="AH29" s="298"/>
      <c r="AI29" s="298"/>
      <c r="AJ29" s="298"/>
      <c r="AK29" s="298"/>
      <c r="AL29" s="298"/>
      <c r="AM29" s="298"/>
      <c r="AN29" s="208"/>
      <c r="AO29" s="208"/>
      <c r="AP29" s="298"/>
      <c r="AQ29" s="298"/>
      <c r="AR29" s="298"/>
      <c r="AS29" s="298"/>
      <c r="AT29" s="298"/>
      <c r="AU29" s="298"/>
      <c r="AV29" s="298"/>
      <c r="AW29" s="298"/>
      <c r="AX29" s="298"/>
      <c r="AY29" s="298"/>
      <c r="AZ29" s="298"/>
      <c r="BA29" s="208"/>
      <c r="BB29" s="208"/>
      <c r="BC29" s="298"/>
      <c r="BD29" s="298"/>
      <c r="BE29" s="298"/>
      <c r="BF29" s="298"/>
      <c r="BG29" s="298"/>
      <c r="BH29" s="298"/>
      <c r="BI29" s="298"/>
      <c r="BJ29" s="298"/>
      <c r="BK29" s="298"/>
      <c r="BL29" s="298"/>
      <c r="BM29" s="298"/>
      <c r="BN29" s="208"/>
      <c r="BO29" s="208"/>
      <c r="BP29" s="298"/>
      <c r="BQ29" s="298"/>
      <c r="BR29" s="298"/>
      <c r="BS29" s="298"/>
      <c r="BT29" s="298"/>
      <c r="BU29" s="298"/>
      <c r="BV29" s="298"/>
      <c r="BW29" s="298"/>
      <c r="BX29" s="298"/>
      <c r="BY29" s="298"/>
      <c r="BZ29" s="298"/>
      <c r="CA29" s="208"/>
      <c r="CB29" s="208"/>
      <c r="CC29" s="298"/>
      <c r="CD29" s="298"/>
      <c r="CE29" s="298"/>
      <c r="CF29" s="298"/>
      <c r="CG29" s="298"/>
      <c r="CH29" s="298"/>
      <c r="CI29" s="298"/>
      <c r="CJ29" s="298"/>
      <c r="CK29" s="298"/>
      <c r="CL29" s="298"/>
      <c r="CM29" s="298"/>
      <c r="CN29" s="208"/>
      <c r="CO29" s="208"/>
      <c r="CP29" s="298"/>
      <c r="CQ29" s="298"/>
      <c r="CR29" s="298"/>
      <c r="CS29" s="298"/>
      <c r="CT29" s="298"/>
      <c r="CU29" s="298"/>
      <c r="CV29" s="298"/>
      <c r="CW29" s="298"/>
      <c r="CX29" s="298"/>
      <c r="CY29" s="298"/>
      <c r="CZ29" s="298"/>
      <c r="DA29" s="208"/>
      <c r="DB29" s="208"/>
      <c r="DC29" s="298"/>
      <c r="DD29" s="298"/>
      <c r="DE29" s="298"/>
      <c r="DF29" s="298"/>
      <c r="DG29" s="298"/>
      <c r="DH29" s="298"/>
      <c r="DI29" s="298"/>
      <c r="DJ29" s="298"/>
      <c r="DK29" s="298"/>
      <c r="DL29" s="298"/>
      <c r="DM29" s="298"/>
      <c r="DN29" s="208"/>
      <c r="DO29" s="208"/>
      <c r="DP29" s="298"/>
      <c r="DQ29" s="298"/>
      <c r="DR29" s="298"/>
      <c r="DS29" s="298"/>
      <c r="DT29" s="298"/>
      <c r="DU29" s="298"/>
      <c r="DV29" s="298"/>
      <c r="DW29" s="298"/>
      <c r="DX29" s="298"/>
      <c r="DY29" s="298"/>
      <c r="DZ29" s="298"/>
      <c r="EA29" s="208"/>
      <c r="EB29" s="208"/>
      <c r="EC29" s="298"/>
      <c r="ED29" s="298"/>
      <c r="EE29" s="298"/>
      <c r="EF29" s="298"/>
      <c r="EG29" s="298"/>
      <c r="EH29" s="298"/>
      <c r="EI29" s="298"/>
      <c r="EJ29" s="298"/>
      <c r="EK29" s="298"/>
      <c r="EL29" s="298"/>
      <c r="EM29" s="298"/>
      <c r="EN29" s="208"/>
      <c r="EO29" s="208"/>
      <c r="EP29" s="298"/>
      <c r="EQ29" s="298"/>
      <c r="ER29" s="298"/>
      <c r="ES29" s="298"/>
      <c r="ET29" s="298"/>
      <c r="EU29" s="298"/>
      <c r="EV29" s="298"/>
      <c r="EW29" s="298"/>
      <c r="EX29" s="298"/>
      <c r="EY29" s="298"/>
      <c r="EZ29" s="298"/>
      <c r="FA29" s="208"/>
      <c r="FB29" s="208"/>
      <c r="FC29" s="298"/>
      <c r="FD29" s="298"/>
      <c r="FE29" s="298"/>
      <c r="FF29" s="298"/>
      <c r="FG29" s="298"/>
      <c r="FH29" s="298"/>
      <c r="FI29" s="298"/>
      <c r="FJ29" s="298"/>
      <c r="FK29" s="298"/>
      <c r="FL29" s="298"/>
      <c r="FM29" s="298"/>
      <c r="FN29" s="208"/>
      <c r="FO29" s="208"/>
      <c r="FP29" s="298"/>
      <c r="FQ29" s="298"/>
      <c r="FR29" s="298"/>
      <c r="FS29" s="298"/>
      <c r="FT29" s="298"/>
      <c r="FU29" s="298"/>
      <c r="FV29" s="298"/>
      <c r="FW29" s="298"/>
      <c r="FX29" s="298"/>
      <c r="FY29" s="298"/>
      <c r="FZ29" s="298"/>
      <c r="GA29" s="208"/>
      <c r="GB29" s="208"/>
      <c r="GC29" s="298"/>
      <c r="GD29" s="298"/>
      <c r="GE29" s="298"/>
      <c r="GF29" s="298"/>
      <c r="GG29" s="298"/>
      <c r="GH29" s="298"/>
      <c r="GI29" s="298"/>
      <c r="GJ29" s="298"/>
      <c r="GK29" s="298"/>
      <c r="GL29" s="298"/>
      <c r="GM29" s="298"/>
      <c r="GN29" s="208"/>
      <c r="GO29" s="208"/>
      <c r="GP29" s="298"/>
      <c r="GQ29" s="298"/>
      <c r="GR29" s="298"/>
      <c r="GS29" s="298"/>
      <c r="GT29" s="298"/>
      <c r="GU29" s="298"/>
      <c r="GV29" s="298"/>
      <c r="GW29" s="298"/>
      <c r="GX29" s="298"/>
      <c r="GY29" s="298"/>
      <c r="GZ29" s="298"/>
      <c r="HA29" s="208"/>
      <c r="HB29" s="208"/>
      <c r="HC29" s="298"/>
      <c r="HD29" s="298"/>
      <c r="HE29" s="298"/>
      <c r="HF29" s="298"/>
      <c r="HG29" s="298"/>
      <c r="HH29" s="298"/>
      <c r="HI29" s="298"/>
      <c r="HJ29" s="298"/>
      <c r="HK29" s="298"/>
      <c r="HL29" s="298"/>
      <c r="HM29" s="298"/>
      <c r="HN29" s="208"/>
      <c r="HO29" s="208"/>
      <c r="HP29" s="298"/>
      <c r="HQ29" s="298"/>
      <c r="HR29" s="298"/>
      <c r="HS29" s="298"/>
      <c r="HT29" s="298"/>
      <c r="HU29" s="298"/>
      <c r="HV29" s="298"/>
      <c r="HW29" s="298"/>
      <c r="HX29" s="298"/>
      <c r="HY29" s="298"/>
      <c r="HZ29" s="298"/>
      <c r="IA29" s="208"/>
      <c r="IB29" s="208"/>
      <c r="IC29" s="298"/>
      <c r="ID29" s="298"/>
      <c r="IE29" s="298"/>
      <c r="IF29" s="298"/>
      <c r="IG29" s="298"/>
      <c r="IH29" s="298"/>
      <c r="II29" s="298"/>
      <c r="IJ29" s="298"/>
      <c r="IK29" s="298"/>
      <c r="IL29" s="298"/>
      <c r="IM29" s="298"/>
      <c r="IN29" s="208"/>
      <c r="IO29" s="208"/>
      <c r="IP29" s="298"/>
      <c r="IQ29" s="298"/>
      <c r="IR29" s="298"/>
      <c r="IS29" s="298"/>
      <c r="IT29" s="298"/>
      <c r="IU29" s="298"/>
      <c r="IV29" s="298"/>
    </row>
    <row r="30" spans="1:256" x14ac:dyDescent="0.2">
      <c r="A30" s="219"/>
      <c r="B30" s="220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2"/>
      <c r="O30" s="212"/>
      <c r="P30" s="299"/>
      <c r="Q30" s="299"/>
      <c r="R30" s="299"/>
      <c r="S30" s="299"/>
      <c r="T30" s="299"/>
      <c r="U30" s="299"/>
      <c r="V30" s="299"/>
      <c r="W30" s="299"/>
      <c r="X30" s="299"/>
      <c r="Y30" s="299"/>
      <c r="Z30" s="299"/>
      <c r="AA30" s="208"/>
      <c r="AB30" s="208"/>
      <c r="AC30" s="298"/>
      <c r="AD30" s="298"/>
      <c r="AE30" s="298"/>
      <c r="AF30" s="298"/>
      <c r="AG30" s="298"/>
      <c r="AH30" s="298"/>
      <c r="AI30" s="298"/>
      <c r="AJ30" s="298"/>
      <c r="AK30" s="298"/>
      <c r="AL30" s="298"/>
      <c r="AM30" s="298"/>
      <c r="AN30" s="208"/>
      <c r="AO30" s="208"/>
      <c r="AP30" s="298"/>
      <c r="AQ30" s="298"/>
      <c r="AR30" s="298"/>
      <c r="AS30" s="298"/>
      <c r="AT30" s="298"/>
      <c r="AU30" s="298"/>
      <c r="AV30" s="298"/>
      <c r="AW30" s="298"/>
      <c r="AX30" s="298"/>
      <c r="AY30" s="298"/>
      <c r="AZ30" s="298"/>
      <c r="BA30" s="208"/>
      <c r="BB30" s="208"/>
      <c r="BC30" s="298"/>
      <c r="BD30" s="298"/>
      <c r="BE30" s="298"/>
      <c r="BF30" s="298"/>
      <c r="BG30" s="298"/>
      <c r="BH30" s="298"/>
      <c r="BI30" s="298"/>
      <c r="BJ30" s="298"/>
      <c r="BK30" s="298"/>
      <c r="BL30" s="298"/>
      <c r="BM30" s="298"/>
      <c r="BN30" s="208"/>
      <c r="BO30" s="208"/>
      <c r="BP30" s="298"/>
      <c r="BQ30" s="298"/>
      <c r="BR30" s="298"/>
      <c r="BS30" s="298"/>
      <c r="BT30" s="298"/>
      <c r="BU30" s="298"/>
      <c r="BV30" s="298"/>
      <c r="BW30" s="298"/>
      <c r="BX30" s="298"/>
      <c r="BY30" s="298"/>
      <c r="BZ30" s="298"/>
      <c r="CA30" s="208"/>
      <c r="CB30" s="208"/>
      <c r="CC30" s="298"/>
      <c r="CD30" s="298"/>
      <c r="CE30" s="298"/>
      <c r="CF30" s="298"/>
      <c r="CG30" s="298"/>
      <c r="CH30" s="298"/>
      <c r="CI30" s="298"/>
      <c r="CJ30" s="298"/>
      <c r="CK30" s="298"/>
      <c r="CL30" s="298"/>
      <c r="CM30" s="298"/>
      <c r="CN30" s="208"/>
      <c r="CO30" s="208"/>
      <c r="CP30" s="298"/>
      <c r="CQ30" s="298"/>
      <c r="CR30" s="298"/>
      <c r="CS30" s="298"/>
      <c r="CT30" s="298"/>
      <c r="CU30" s="298"/>
      <c r="CV30" s="298"/>
      <c r="CW30" s="298"/>
      <c r="CX30" s="298"/>
      <c r="CY30" s="298"/>
      <c r="CZ30" s="298"/>
      <c r="DA30" s="208"/>
      <c r="DB30" s="208"/>
      <c r="DC30" s="298"/>
      <c r="DD30" s="298"/>
      <c r="DE30" s="298"/>
      <c r="DF30" s="298"/>
      <c r="DG30" s="298"/>
      <c r="DH30" s="298"/>
      <c r="DI30" s="298"/>
      <c r="DJ30" s="298"/>
      <c r="DK30" s="298"/>
      <c r="DL30" s="298"/>
      <c r="DM30" s="298"/>
      <c r="DN30" s="208"/>
      <c r="DO30" s="208"/>
      <c r="DP30" s="298"/>
      <c r="DQ30" s="298"/>
      <c r="DR30" s="298"/>
      <c r="DS30" s="298"/>
      <c r="DT30" s="298"/>
      <c r="DU30" s="298"/>
      <c r="DV30" s="298"/>
      <c r="DW30" s="298"/>
      <c r="DX30" s="298"/>
      <c r="DY30" s="298"/>
      <c r="DZ30" s="298"/>
      <c r="EA30" s="208"/>
      <c r="EB30" s="208"/>
      <c r="EC30" s="298"/>
      <c r="ED30" s="298"/>
      <c r="EE30" s="298"/>
      <c r="EF30" s="298"/>
      <c r="EG30" s="298"/>
      <c r="EH30" s="298"/>
      <c r="EI30" s="298"/>
      <c r="EJ30" s="298"/>
      <c r="EK30" s="298"/>
      <c r="EL30" s="298"/>
      <c r="EM30" s="298"/>
      <c r="EN30" s="208"/>
      <c r="EO30" s="208"/>
      <c r="EP30" s="298"/>
      <c r="EQ30" s="298"/>
      <c r="ER30" s="298"/>
      <c r="ES30" s="298"/>
      <c r="ET30" s="298"/>
      <c r="EU30" s="298"/>
      <c r="EV30" s="298"/>
      <c r="EW30" s="298"/>
      <c r="EX30" s="298"/>
      <c r="EY30" s="298"/>
      <c r="EZ30" s="298"/>
      <c r="FA30" s="208"/>
      <c r="FB30" s="208"/>
      <c r="FC30" s="298"/>
      <c r="FD30" s="298"/>
      <c r="FE30" s="298"/>
      <c r="FF30" s="298"/>
      <c r="FG30" s="298"/>
      <c r="FH30" s="298"/>
      <c r="FI30" s="298"/>
      <c r="FJ30" s="298"/>
      <c r="FK30" s="298"/>
      <c r="FL30" s="298"/>
      <c r="FM30" s="298"/>
      <c r="FN30" s="208"/>
      <c r="FO30" s="208"/>
      <c r="FP30" s="298"/>
      <c r="FQ30" s="298"/>
      <c r="FR30" s="298"/>
      <c r="FS30" s="298"/>
      <c r="FT30" s="298"/>
      <c r="FU30" s="298"/>
      <c r="FV30" s="298"/>
      <c r="FW30" s="298"/>
      <c r="FX30" s="298"/>
      <c r="FY30" s="298"/>
      <c r="FZ30" s="298"/>
      <c r="GA30" s="208"/>
      <c r="GB30" s="208"/>
      <c r="GC30" s="298"/>
      <c r="GD30" s="298"/>
      <c r="GE30" s="298"/>
      <c r="GF30" s="298"/>
      <c r="GG30" s="298"/>
      <c r="GH30" s="298"/>
      <c r="GI30" s="298"/>
      <c r="GJ30" s="298"/>
      <c r="GK30" s="298"/>
      <c r="GL30" s="298"/>
      <c r="GM30" s="298"/>
      <c r="GN30" s="208"/>
      <c r="GO30" s="208"/>
      <c r="GP30" s="298"/>
      <c r="GQ30" s="298"/>
      <c r="GR30" s="298"/>
      <c r="GS30" s="298"/>
      <c r="GT30" s="298"/>
      <c r="GU30" s="298"/>
      <c r="GV30" s="298"/>
      <c r="GW30" s="298"/>
      <c r="GX30" s="298"/>
      <c r="GY30" s="298"/>
      <c r="GZ30" s="298"/>
      <c r="HA30" s="208"/>
      <c r="HB30" s="208"/>
      <c r="HC30" s="298"/>
      <c r="HD30" s="298"/>
      <c r="HE30" s="298"/>
      <c r="HF30" s="298"/>
      <c r="HG30" s="298"/>
      <c r="HH30" s="298"/>
      <c r="HI30" s="298"/>
      <c r="HJ30" s="298"/>
      <c r="HK30" s="298"/>
      <c r="HL30" s="298"/>
      <c r="HM30" s="298"/>
      <c r="HN30" s="208"/>
      <c r="HO30" s="208"/>
      <c r="HP30" s="298"/>
      <c r="HQ30" s="298"/>
      <c r="HR30" s="298"/>
      <c r="HS30" s="298"/>
      <c r="HT30" s="298"/>
      <c r="HU30" s="298"/>
      <c r="HV30" s="298"/>
      <c r="HW30" s="298"/>
      <c r="HX30" s="298"/>
      <c r="HY30" s="298"/>
      <c r="HZ30" s="298"/>
      <c r="IA30" s="208"/>
      <c r="IB30" s="208"/>
      <c r="IC30" s="298"/>
      <c r="ID30" s="298"/>
      <c r="IE30" s="298"/>
      <c r="IF30" s="298"/>
      <c r="IG30" s="298"/>
      <c r="IH30" s="298"/>
      <c r="II30" s="298"/>
      <c r="IJ30" s="298"/>
      <c r="IK30" s="298"/>
      <c r="IL30" s="298"/>
      <c r="IM30" s="298"/>
      <c r="IN30" s="208"/>
      <c r="IO30" s="208"/>
      <c r="IP30" s="298"/>
      <c r="IQ30" s="298"/>
      <c r="IR30" s="298"/>
      <c r="IS30" s="298"/>
      <c r="IT30" s="298"/>
      <c r="IU30" s="298"/>
      <c r="IV30" s="298"/>
    </row>
    <row r="31" spans="1:256" x14ac:dyDescent="0.2">
      <c r="A31" s="219"/>
      <c r="B31" s="220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2"/>
      <c r="O31" s="212"/>
      <c r="P31" s="299"/>
      <c r="Q31" s="299"/>
      <c r="R31" s="299"/>
      <c r="S31" s="299"/>
      <c r="T31" s="299"/>
      <c r="U31" s="299"/>
      <c r="V31" s="299"/>
      <c r="W31" s="299"/>
      <c r="X31" s="299"/>
      <c r="Y31" s="299"/>
      <c r="Z31" s="299"/>
      <c r="AA31" s="208"/>
      <c r="AB31" s="208"/>
      <c r="AC31" s="298"/>
      <c r="AD31" s="298"/>
      <c r="AE31" s="298"/>
      <c r="AF31" s="298"/>
      <c r="AG31" s="298"/>
      <c r="AH31" s="298"/>
      <c r="AI31" s="298"/>
      <c r="AJ31" s="298"/>
      <c r="AK31" s="298"/>
      <c r="AL31" s="298"/>
      <c r="AM31" s="298"/>
      <c r="AN31" s="208"/>
      <c r="AO31" s="208"/>
      <c r="AP31" s="298"/>
      <c r="AQ31" s="298"/>
      <c r="AR31" s="298"/>
      <c r="AS31" s="298"/>
      <c r="AT31" s="298"/>
      <c r="AU31" s="298"/>
      <c r="AV31" s="298"/>
      <c r="AW31" s="298"/>
      <c r="AX31" s="298"/>
      <c r="AY31" s="298"/>
      <c r="AZ31" s="298"/>
      <c r="BA31" s="208"/>
      <c r="BB31" s="208"/>
      <c r="BC31" s="298"/>
      <c r="BD31" s="298"/>
      <c r="BE31" s="298"/>
      <c r="BF31" s="298"/>
      <c r="BG31" s="298"/>
      <c r="BH31" s="298"/>
      <c r="BI31" s="298"/>
      <c r="BJ31" s="298"/>
      <c r="BK31" s="298"/>
      <c r="BL31" s="298"/>
      <c r="BM31" s="298"/>
      <c r="BN31" s="208"/>
      <c r="BO31" s="208"/>
      <c r="BP31" s="298"/>
      <c r="BQ31" s="298"/>
      <c r="BR31" s="298"/>
      <c r="BS31" s="298"/>
      <c r="BT31" s="298"/>
      <c r="BU31" s="298"/>
      <c r="BV31" s="298"/>
      <c r="BW31" s="298"/>
      <c r="BX31" s="298"/>
      <c r="BY31" s="298"/>
      <c r="BZ31" s="298"/>
      <c r="CA31" s="208"/>
      <c r="CB31" s="208"/>
      <c r="CC31" s="298"/>
      <c r="CD31" s="298"/>
      <c r="CE31" s="298"/>
      <c r="CF31" s="298"/>
      <c r="CG31" s="298"/>
      <c r="CH31" s="298"/>
      <c r="CI31" s="298"/>
      <c r="CJ31" s="298"/>
      <c r="CK31" s="298"/>
      <c r="CL31" s="298"/>
      <c r="CM31" s="298"/>
      <c r="CN31" s="208"/>
      <c r="CO31" s="208"/>
      <c r="CP31" s="298"/>
      <c r="CQ31" s="298"/>
      <c r="CR31" s="298"/>
      <c r="CS31" s="298"/>
      <c r="CT31" s="298"/>
      <c r="CU31" s="298"/>
      <c r="CV31" s="298"/>
      <c r="CW31" s="298"/>
      <c r="CX31" s="298"/>
      <c r="CY31" s="298"/>
      <c r="CZ31" s="298"/>
      <c r="DA31" s="208"/>
      <c r="DB31" s="208"/>
      <c r="DC31" s="298"/>
      <c r="DD31" s="298"/>
      <c r="DE31" s="298"/>
      <c r="DF31" s="298"/>
      <c r="DG31" s="298"/>
      <c r="DH31" s="298"/>
      <c r="DI31" s="298"/>
      <c r="DJ31" s="298"/>
      <c r="DK31" s="298"/>
      <c r="DL31" s="298"/>
      <c r="DM31" s="298"/>
      <c r="DN31" s="208"/>
      <c r="DO31" s="208"/>
      <c r="DP31" s="298"/>
      <c r="DQ31" s="298"/>
      <c r="DR31" s="298"/>
      <c r="DS31" s="298"/>
      <c r="DT31" s="298"/>
      <c r="DU31" s="298"/>
      <c r="DV31" s="298"/>
      <c r="DW31" s="298"/>
      <c r="DX31" s="298"/>
      <c r="DY31" s="298"/>
      <c r="DZ31" s="298"/>
      <c r="EA31" s="208"/>
      <c r="EB31" s="208"/>
      <c r="EC31" s="298"/>
      <c r="ED31" s="298"/>
      <c r="EE31" s="298"/>
      <c r="EF31" s="298"/>
      <c r="EG31" s="298"/>
      <c r="EH31" s="298"/>
      <c r="EI31" s="298"/>
      <c r="EJ31" s="298"/>
      <c r="EK31" s="298"/>
      <c r="EL31" s="298"/>
      <c r="EM31" s="298"/>
      <c r="EN31" s="208"/>
      <c r="EO31" s="208"/>
      <c r="EP31" s="298"/>
      <c r="EQ31" s="298"/>
      <c r="ER31" s="298"/>
      <c r="ES31" s="298"/>
      <c r="ET31" s="298"/>
      <c r="EU31" s="298"/>
      <c r="EV31" s="298"/>
      <c r="EW31" s="298"/>
      <c r="EX31" s="298"/>
      <c r="EY31" s="298"/>
      <c r="EZ31" s="298"/>
      <c r="FA31" s="208"/>
      <c r="FB31" s="208"/>
      <c r="FC31" s="298"/>
      <c r="FD31" s="298"/>
      <c r="FE31" s="298"/>
      <c r="FF31" s="298"/>
      <c r="FG31" s="298"/>
      <c r="FH31" s="298"/>
      <c r="FI31" s="298"/>
      <c r="FJ31" s="298"/>
      <c r="FK31" s="298"/>
      <c r="FL31" s="298"/>
      <c r="FM31" s="298"/>
      <c r="FN31" s="208"/>
      <c r="FO31" s="208"/>
      <c r="FP31" s="298"/>
      <c r="FQ31" s="298"/>
      <c r="FR31" s="298"/>
      <c r="FS31" s="298"/>
      <c r="FT31" s="298"/>
      <c r="FU31" s="298"/>
      <c r="FV31" s="298"/>
      <c r="FW31" s="298"/>
      <c r="FX31" s="298"/>
      <c r="FY31" s="298"/>
      <c r="FZ31" s="298"/>
      <c r="GA31" s="208"/>
      <c r="GB31" s="208"/>
      <c r="GC31" s="298"/>
      <c r="GD31" s="298"/>
      <c r="GE31" s="298"/>
      <c r="GF31" s="298"/>
      <c r="GG31" s="298"/>
      <c r="GH31" s="298"/>
      <c r="GI31" s="298"/>
      <c r="GJ31" s="298"/>
      <c r="GK31" s="298"/>
      <c r="GL31" s="298"/>
      <c r="GM31" s="298"/>
      <c r="GN31" s="208"/>
      <c r="GO31" s="208"/>
      <c r="GP31" s="298"/>
      <c r="GQ31" s="298"/>
      <c r="GR31" s="298"/>
      <c r="GS31" s="298"/>
      <c r="GT31" s="298"/>
      <c r="GU31" s="298"/>
      <c r="GV31" s="298"/>
      <c r="GW31" s="298"/>
      <c r="GX31" s="298"/>
      <c r="GY31" s="298"/>
      <c r="GZ31" s="298"/>
      <c r="HA31" s="208"/>
      <c r="HB31" s="208"/>
      <c r="HC31" s="298"/>
      <c r="HD31" s="298"/>
      <c r="HE31" s="298"/>
      <c r="HF31" s="298"/>
      <c r="HG31" s="298"/>
      <c r="HH31" s="298"/>
      <c r="HI31" s="298"/>
      <c r="HJ31" s="298"/>
      <c r="HK31" s="298"/>
      <c r="HL31" s="298"/>
      <c r="HM31" s="298"/>
      <c r="HN31" s="208"/>
      <c r="HO31" s="208"/>
      <c r="HP31" s="298"/>
      <c r="HQ31" s="298"/>
      <c r="HR31" s="298"/>
      <c r="HS31" s="298"/>
      <c r="HT31" s="298"/>
      <c r="HU31" s="298"/>
      <c r="HV31" s="298"/>
      <c r="HW31" s="298"/>
      <c r="HX31" s="298"/>
      <c r="HY31" s="298"/>
      <c r="HZ31" s="298"/>
      <c r="IA31" s="208"/>
      <c r="IB31" s="208"/>
      <c r="IC31" s="298"/>
      <c r="ID31" s="298"/>
      <c r="IE31" s="298"/>
      <c r="IF31" s="298"/>
      <c r="IG31" s="298"/>
      <c r="IH31" s="298"/>
      <c r="II31" s="298"/>
      <c r="IJ31" s="298"/>
      <c r="IK31" s="298"/>
      <c r="IL31" s="298"/>
      <c r="IM31" s="298"/>
      <c r="IN31" s="208"/>
      <c r="IO31" s="208"/>
      <c r="IP31" s="298"/>
      <c r="IQ31" s="298"/>
      <c r="IR31" s="298"/>
      <c r="IS31" s="298"/>
      <c r="IT31" s="298"/>
      <c r="IU31" s="298"/>
      <c r="IV31" s="298"/>
    </row>
    <row r="32" spans="1:256" x14ac:dyDescent="0.2">
      <c r="A32" s="219"/>
      <c r="B32" s="220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4"/>
      <c r="O32" s="224"/>
      <c r="P32" s="300"/>
      <c r="Q32" s="300"/>
      <c r="R32" s="300"/>
      <c r="S32" s="300"/>
      <c r="T32" s="300"/>
      <c r="U32" s="300"/>
      <c r="V32" s="300"/>
      <c r="W32" s="300"/>
      <c r="X32" s="300"/>
      <c r="Y32" s="300"/>
      <c r="Z32" s="301"/>
      <c r="AA32" s="219"/>
      <c r="AB32" s="220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9"/>
      <c r="AO32" s="220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9"/>
      <c r="BB32" s="220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9"/>
      <c r="BO32" s="220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9"/>
      <c r="CB32" s="220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9"/>
      <c r="CO32" s="220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9"/>
      <c r="DB32" s="220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9"/>
      <c r="DO32" s="220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9"/>
      <c r="EB32" s="220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9"/>
      <c r="EO32" s="220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9"/>
      <c r="FB32" s="220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9"/>
      <c r="FO32" s="220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9"/>
      <c r="GB32" s="220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9"/>
      <c r="GO32" s="220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9"/>
      <c r="HB32" s="220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9"/>
      <c r="HO32" s="220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9"/>
      <c r="IB32" s="220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9"/>
      <c r="IO32" s="220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9"/>
      <c r="B33" s="220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2"/>
      <c r="O38" s="212"/>
      <c r="P38" s="299"/>
      <c r="Q38" s="299"/>
      <c r="R38" s="299"/>
      <c r="S38" s="299"/>
      <c r="T38" s="299"/>
      <c r="U38" s="299"/>
      <c r="V38" s="299"/>
      <c r="W38" s="299"/>
      <c r="X38" s="299"/>
      <c r="Y38" s="299"/>
      <c r="Z38" s="299"/>
      <c r="AA38" s="208"/>
      <c r="AB38" s="208"/>
      <c r="AC38" s="298"/>
      <c r="AD38" s="298"/>
      <c r="AE38" s="298"/>
      <c r="AF38" s="298"/>
      <c r="AG38" s="298"/>
      <c r="AH38" s="298"/>
      <c r="AI38" s="298"/>
      <c r="AJ38" s="298"/>
      <c r="AK38" s="298"/>
      <c r="AL38" s="298"/>
      <c r="AM38" s="298"/>
      <c r="AN38" s="208"/>
      <c r="AO38" s="208"/>
      <c r="AP38" s="298"/>
      <c r="AQ38" s="298"/>
      <c r="AR38" s="298"/>
      <c r="AS38" s="298"/>
      <c r="AT38" s="298"/>
      <c r="AU38" s="298"/>
      <c r="AV38" s="298"/>
      <c r="AW38" s="298"/>
      <c r="AX38" s="298"/>
      <c r="AY38" s="298"/>
      <c r="AZ38" s="298"/>
      <c r="BA38" s="208"/>
      <c r="BB38" s="208"/>
      <c r="BC38" s="298"/>
      <c r="BD38" s="298"/>
      <c r="BE38" s="298"/>
      <c r="BF38" s="298"/>
      <c r="BG38" s="298"/>
      <c r="BH38" s="298"/>
      <c r="BI38" s="298"/>
      <c r="BJ38" s="298"/>
      <c r="BK38" s="298"/>
      <c r="BL38" s="298"/>
      <c r="BM38" s="298"/>
      <c r="BN38" s="208"/>
      <c r="BO38" s="208"/>
      <c r="BP38" s="298"/>
      <c r="BQ38" s="298"/>
      <c r="BR38" s="298"/>
      <c r="BS38" s="298"/>
      <c r="BT38" s="298"/>
      <c r="BU38" s="298"/>
      <c r="BV38" s="298"/>
      <c r="BW38" s="298"/>
      <c r="BX38" s="298"/>
      <c r="BY38" s="298"/>
      <c r="BZ38" s="298"/>
      <c r="CA38" s="208"/>
      <c r="CB38" s="208"/>
      <c r="CC38" s="298"/>
      <c r="CD38" s="298"/>
      <c r="CE38" s="298"/>
      <c r="CF38" s="298"/>
      <c r="CG38" s="298"/>
      <c r="CH38" s="298"/>
      <c r="CI38" s="298"/>
      <c r="CJ38" s="298"/>
      <c r="CK38" s="298"/>
      <c r="CL38" s="298"/>
      <c r="CM38" s="298"/>
      <c r="CN38" s="208"/>
      <c r="CO38" s="208"/>
      <c r="CP38" s="298"/>
      <c r="CQ38" s="298"/>
      <c r="CR38" s="298"/>
      <c r="CS38" s="298"/>
      <c r="CT38" s="298"/>
      <c r="CU38" s="298"/>
      <c r="CV38" s="298"/>
      <c r="CW38" s="298"/>
      <c r="CX38" s="298"/>
      <c r="CY38" s="298"/>
      <c r="CZ38" s="298"/>
      <c r="DA38" s="208"/>
      <c r="DB38" s="208"/>
      <c r="DC38" s="298"/>
      <c r="DD38" s="298"/>
      <c r="DE38" s="298"/>
      <c r="DF38" s="298"/>
      <c r="DG38" s="298"/>
      <c r="DH38" s="298"/>
      <c r="DI38" s="298"/>
      <c r="DJ38" s="298"/>
      <c r="DK38" s="298"/>
      <c r="DL38" s="298"/>
      <c r="DM38" s="298"/>
      <c r="DN38" s="208"/>
      <c r="DO38" s="208"/>
      <c r="DP38" s="298"/>
      <c r="DQ38" s="298"/>
      <c r="DR38" s="298"/>
      <c r="DS38" s="298"/>
      <c r="DT38" s="298"/>
      <c r="DU38" s="298"/>
      <c r="DV38" s="298"/>
      <c r="DW38" s="298"/>
      <c r="DX38" s="298"/>
      <c r="DY38" s="298"/>
      <c r="DZ38" s="298"/>
      <c r="EA38" s="208"/>
      <c r="EB38" s="208"/>
      <c r="EC38" s="298"/>
      <c r="ED38" s="298"/>
      <c r="EE38" s="298"/>
      <c r="EF38" s="298"/>
      <c r="EG38" s="298"/>
      <c r="EH38" s="298"/>
      <c r="EI38" s="298"/>
      <c r="EJ38" s="298"/>
      <c r="EK38" s="298"/>
      <c r="EL38" s="298"/>
      <c r="EM38" s="298"/>
      <c r="EN38" s="208"/>
      <c r="EO38" s="208"/>
      <c r="EP38" s="298"/>
      <c r="EQ38" s="298"/>
      <c r="ER38" s="298"/>
      <c r="ES38" s="298"/>
      <c r="ET38" s="298"/>
      <c r="EU38" s="298"/>
      <c r="EV38" s="298"/>
      <c r="EW38" s="298"/>
      <c r="EX38" s="298"/>
      <c r="EY38" s="298"/>
      <c r="EZ38" s="298"/>
      <c r="FA38" s="208"/>
      <c r="FB38" s="208"/>
      <c r="FC38" s="298"/>
      <c r="FD38" s="298"/>
      <c r="FE38" s="298"/>
      <c r="FF38" s="298"/>
      <c r="FG38" s="298"/>
      <c r="FH38" s="298"/>
      <c r="FI38" s="298"/>
      <c r="FJ38" s="298"/>
      <c r="FK38" s="298"/>
      <c r="FL38" s="298"/>
      <c r="FM38" s="298"/>
      <c r="FN38" s="208"/>
      <c r="FO38" s="208"/>
      <c r="FP38" s="298"/>
      <c r="FQ38" s="298"/>
      <c r="FR38" s="298"/>
      <c r="FS38" s="298"/>
      <c r="FT38" s="298"/>
      <c r="FU38" s="298"/>
      <c r="FV38" s="298"/>
      <c r="FW38" s="298"/>
      <c r="FX38" s="298"/>
      <c r="FY38" s="298"/>
      <c r="FZ38" s="298"/>
      <c r="GA38" s="208"/>
      <c r="GB38" s="208"/>
      <c r="GC38" s="298"/>
      <c r="GD38" s="298"/>
      <c r="GE38" s="298"/>
      <c r="GF38" s="298"/>
      <c r="GG38" s="298"/>
      <c r="GH38" s="298"/>
      <c r="GI38" s="298"/>
      <c r="GJ38" s="298"/>
      <c r="GK38" s="298"/>
      <c r="GL38" s="298"/>
      <c r="GM38" s="298"/>
      <c r="GN38" s="208"/>
      <c r="GO38" s="208"/>
      <c r="GP38" s="298"/>
      <c r="GQ38" s="298"/>
      <c r="GR38" s="298"/>
      <c r="GS38" s="298"/>
      <c r="GT38" s="298"/>
      <c r="GU38" s="298"/>
      <c r="GV38" s="298"/>
      <c r="GW38" s="298"/>
      <c r="GX38" s="298"/>
      <c r="GY38" s="298"/>
      <c r="GZ38" s="298"/>
      <c r="HA38" s="208"/>
      <c r="HB38" s="208"/>
      <c r="HC38" s="298"/>
      <c r="HD38" s="298"/>
      <c r="HE38" s="298"/>
      <c r="HF38" s="298"/>
      <c r="HG38" s="298"/>
      <c r="HH38" s="298"/>
      <c r="HI38" s="298"/>
      <c r="HJ38" s="298"/>
      <c r="HK38" s="298"/>
      <c r="HL38" s="298"/>
      <c r="HM38" s="298"/>
      <c r="HN38" s="208"/>
      <c r="HO38" s="208"/>
      <c r="HP38" s="298"/>
      <c r="HQ38" s="298"/>
      <c r="HR38" s="298"/>
      <c r="HS38" s="298"/>
      <c r="HT38" s="298"/>
      <c r="HU38" s="298"/>
      <c r="HV38" s="298"/>
      <c r="HW38" s="298"/>
      <c r="HX38" s="298"/>
      <c r="HY38" s="298"/>
      <c r="HZ38" s="298"/>
      <c r="IA38" s="208"/>
      <c r="IB38" s="208"/>
      <c r="IC38" s="298"/>
      <c r="ID38" s="298"/>
      <c r="IE38" s="298"/>
      <c r="IF38" s="298"/>
      <c r="IG38" s="298"/>
      <c r="IH38" s="298"/>
      <c r="II38" s="298"/>
      <c r="IJ38" s="298"/>
      <c r="IK38" s="298"/>
      <c r="IL38" s="298"/>
      <c r="IM38" s="298"/>
      <c r="IN38" s="208"/>
      <c r="IO38" s="208"/>
      <c r="IP38" s="298"/>
      <c r="IQ38" s="298"/>
      <c r="IR38" s="298"/>
      <c r="IS38" s="298"/>
      <c r="IT38" s="298"/>
      <c r="IU38" s="298"/>
      <c r="IV38" s="298"/>
    </row>
    <row r="39" spans="1:256" x14ac:dyDescent="0.2">
      <c r="A39" s="219"/>
      <c r="B39" s="220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2"/>
      <c r="O39" s="212"/>
      <c r="P39" s="299"/>
      <c r="Q39" s="299"/>
      <c r="R39" s="299"/>
      <c r="S39" s="299"/>
      <c r="T39" s="299"/>
      <c r="U39" s="299"/>
      <c r="V39" s="299"/>
      <c r="W39" s="299"/>
      <c r="X39" s="299"/>
      <c r="Y39" s="299"/>
      <c r="Z39" s="299"/>
      <c r="AA39" s="208"/>
      <c r="AB39" s="208"/>
      <c r="AC39" s="298"/>
      <c r="AD39" s="298"/>
      <c r="AE39" s="298"/>
      <c r="AF39" s="298"/>
      <c r="AG39" s="298"/>
      <c r="AH39" s="298"/>
      <c r="AI39" s="298"/>
      <c r="AJ39" s="298"/>
      <c r="AK39" s="298"/>
      <c r="AL39" s="298"/>
      <c r="AM39" s="298"/>
      <c r="AN39" s="208"/>
      <c r="AO39" s="208"/>
      <c r="AP39" s="298"/>
      <c r="AQ39" s="298"/>
      <c r="AR39" s="298"/>
      <c r="AS39" s="298"/>
      <c r="AT39" s="298"/>
      <c r="AU39" s="298"/>
      <c r="AV39" s="298"/>
      <c r="AW39" s="298"/>
      <c r="AX39" s="298"/>
      <c r="AY39" s="298"/>
      <c r="AZ39" s="298"/>
      <c r="BA39" s="208"/>
      <c r="BB39" s="208"/>
      <c r="BC39" s="298"/>
      <c r="BD39" s="298"/>
      <c r="BE39" s="298"/>
      <c r="BF39" s="298"/>
      <c r="BG39" s="298"/>
      <c r="BH39" s="298"/>
      <c r="BI39" s="298"/>
      <c r="BJ39" s="298"/>
      <c r="BK39" s="298"/>
      <c r="BL39" s="298"/>
      <c r="BM39" s="298"/>
      <c r="BN39" s="208"/>
      <c r="BO39" s="208"/>
      <c r="BP39" s="298"/>
      <c r="BQ39" s="298"/>
      <c r="BR39" s="298"/>
      <c r="BS39" s="298"/>
      <c r="BT39" s="298"/>
      <c r="BU39" s="298"/>
      <c r="BV39" s="298"/>
      <c r="BW39" s="298"/>
      <c r="BX39" s="298"/>
      <c r="BY39" s="298"/>
      <c r="BZ39" s="298"/>
      <c r="CA39" s="208"/>
      <c r="CB39" s="208"/>
      <c r="CC39" s="298"/>
      <c r="CD39" s="298"/>
      <c r="CE39" s="298"/>
      <c r="CF39" s="298"/>
      <c r="CG39" s="298"/>
      <c r="CH39" s="298"/>
      <c r="CI39" s="298"/>
      <c r="CJ39" s="298"/>
      <c r="CK39" s="298"/>
      <c r="CL39" s="298"/>
      <c r="CM39" s="298"/>
      <c r="CN39" s="208"/>
      <c r="CO39" s="208"/>
      <c r="CP39" s="298"/>
      <c r="CQ39" s="298"/>
      <c r="CR39" s="298"/>
      <c r="CS39" s="298"/>
      <c r="CT39" s="298"/>
      <c r="CU39" s="298"/>
      <c r="CV39" s="298"/>
      <c r="CW39" s="298"/>
      <c r="CX39" s="298"/>
      <c r="CY39" s="298"/>
      <c r="CZ39" s="298"/>
      <c r="DA39" s="208"/>
      <c r="DB39" s="208"/>
      <c r="DC39" s="298"/>
      <c r="DD39" s="298"/>
      <c r="DE39" s="298"/>
      <c r="DF39" s="298"/>
      <c r="DG39" s="298"/>
      <c r="DH39" s="298"/>
      <c r="DI39" s="298"/>
      <c r="DJ39" s="298"/>
      <c r="DK39" s="298"/>
      <c r="DL39" s="298"/>
      <c r="DM39" s="298"/>
      <c r="DN39" s="208"/>
      <c r="DO39" s="208"/>
      <c r="DP39" s="298"/>
      <c r="DQ39" s="298"/>
      <c r="DR39" s="298"/>
      <c r="DS39" s="298"/>
      <c r="DT39" s="298"/>
      <c r="DU39" s="298"/>
      <c r="DV39" s="298"/>
      <c r="DW39" s="298"/>
      <c r="DX39" s="298"/>
      <c r="DY39" s="298"/>
      <c r="DZ39" s="298"/>
      <c r="EA39" s="208"/>
      <c r="EB39" s="208"/>
      <c r="EC39" s="298"/>
      <c r="ED39" s="298"/>
      <c r="EE39" s="298"/>
      <c r="EF39" s="298"/>
      <c r="EG39" s="298"/>
      <c r="EH39" s="298"/>
      <c r="EI39" s="298"/>
      <c r="EJ39" s="298"/>
      <c r="EK39" s="298"/>
      <c r="EL39" s="298"/>
      <c r="EM39" s="298"/>
      <c r="EN39" s="208"/>
      <c r="EO39" s="208"/>
      <c r="EP39" s="298"/>
      <c r="EQ39" s="298"/>
      <c r="ER39" s="298"/>
      <c r="ES39" s="298"/>
      <c r="ET39" s="298"/>
      <c r="EU39" s="298"/>
      <c r="EV39" s="298"/>
      <c r="EW39" s="298"/>
      <c r="EX39" s="298"/>
      <c r="EY39" s="298"/>
      <c r="EZ39" s="298"/>
      <c r="FA39" s="208"/>
      <c r="FB39" s="208"/>
      <c r="FC39" s="298"/>
      <c r="FD39" s="298"/>
      <c r="FE39" s="298"/>
      <c r="FF39" s="298"/>
      <c r="FG39" s="298"/>
      <c r="FH39" s="298"/>
      <c r="FI39" s="298"/>
      <c r="FJ39" s="298"/>
      <c r="FK39" s="298"/>
      <c r="FL39" s="298"/>
      <c r="FM39" s="298"/>
      <c r="FN39" s="208"/>
      <c r="FO39" s="208"/>
      <c r="FP39" s="298"/>
      <c r="FQ39" s="298"/>
      <c r="FR39" s="298"/>
      <c r="FS39" s="298"/>
      <c r="FT39" s="298"/>
      <c r="FU39" s="298"/>
      <c r="FV39" s="298"/>
      <c r="FW39" s="298"/>
      <c r="FX39" s="298"/>
      <c r="FY39" s="298"/>
      <c r="FZ39" s="298"/>
      <c r="GA39" s="208"/>
      <c r="GB39" s="208"/>
      <c r="GC39" s="298"/>
      <c r="GD39" s="298"/>
      <c r="GE39" s="298"/>
      <c r="GF39" s="298"/>
      <c r="GG39" s="298"/>
      <c r="GH39" s="298"/>
      <c r="GI39" s="298"/>
      <c r="GJ39" s="298"/>
      <c r="GK39" s="298"/>
      <c r="GL39" s="298"/>
      <c r="GM39" s="298"/>
      <c r="GN39" s="208"/>
      <c r="GO39" s="208"/>
      <c r="GP39" s="298"/>
      <c r="GQ39" s="298"/>
      <c r="GR39" s="298"/>
      <c r="GS39" s="298"/>
      <c r="GT39" s="298"/>
      <c r="GU39" s="298"/>
      <c r="GV39" s="298"/>
      <c r="GW39" s="298"/>
      <c r="GX39" s="298"/>
      <c r="GY39" s="298"/>
      <c r="GZ39" s="298"/>
      <c r="HA39" s="208"/>
      <c r="HB39" s="208"/>
      <c r="HC39" s="298"/>
      <c r="HD39" s="298"/>
      <c r="HE39" s="298"/>
      <c r="HF39" s="298"/>
      <c r="HG39" s="298"/>
      <c r="HH39" s="298"/>
      <c r="HI39" s="298"/>
      <c r="HJ39" s="298"/>
      <c r="HK39" s="298"/>
      <c r="HL39" s="298"/>
      <c r="HM39" s="298"/>
      <c r="HN39" s="208"/>
      <c r="HO39" s="208"/>
      <c r="HP39" s="298"/>
      <c r="HQ39" s="298"/>
      <c r="HR39" s="298"/>
      <c r="HS39" s="298"/>
      <c r="HT39" s="298"/>
      <c r="HU39" s="298"/>
      <c r="HV39" s="298"/>
      <c r="HW39" s="298"/>
      <c r="HX39" s="298"/>
      <c r="HY39" s="298"/>
      <c r="HZ39" s="298"/>
      <c r="IA39" s="208"/>
      <c r="IB39" s="208"/>
      <c r="IC39" s="298"/>
      <c r="ID39" s="298"/>
      <c r="IE39" s="298"/>
      <c r="IF39" s="298"/>
      <c r="IG39" s="298"/>
      <c r="IH39" s="298"/>
      <c r="II39" s="298"/>
      <c r="IJ39" s="298"/>
      <c r="IK39" s="298"/>
      <c r="IL39" s="298"/>
      <c r="IM39" s="298"/>
      <c r="IN39" s="208"/>
      <c r="IO39" s="208"/>
      <c r="IP39" s="298"/>
      <c r="IQ39" s="298"/>
      <c r="IR39" s="298"/>
      <c r="IS39" s="298"/>
      <c r="IT39" s="298"/>
      <c r="IU39" s="298"/>
      <c r="IV39" s="298"/>
    </row>
    <row r="40" spans="1:256" x14ac:dyDescent="0.2">
      <c r="A40" s="219"/>
      <c r="B40" s="220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2"/>
      <c r="O40" s="212"/>
      <c r="P40" s="299"/>
      <c r="Q40" s="299"/>
      <c r="R40" s="299"/>
      <c r="S40" s="299"/>
      <c r="T40" s="299"/>
      <c r="U40" s="299"/>
      <c r="V40" s="299"/>
      <c r="W40" s="299"/>
      <c r="X40" s="299"/>
      <c r="Y40" s="299"/>
      <c r="Z40" s="299"/>
      <c r="AA40" s="208"/>
      <c r="AB40" s="208"/>
      <c r="AC40" s="298"/>
      <c r="AD40" s="298"/>
      <c r="AE40" s="298"/>
      <c r="AF40" s="298"/>
      <c r="AG40" s="298"/>
      <c r="AH40" s="298"/>
      <c r="AI40" s="298"/>
      <c r="AJ40" s="298"/>
      <c r="AK40" s="298"/>
      <c r="AL40" s="298"/>
      <c r="AM40" s="298"/>
      <c r="AN40" s="208"/>
      <c r="AO40" s="208"/>
      <c r="AP40" s="298"/>
      <c r="AQ40" s="298"/>
      <c r="AR40" s="298"/>
      <c r="AS40" s="298"/>
      <c r="AT40" s="298"/>
      <c r="AU40" s="298"/>
      <c r="AV40" s="298"/>
      <c r="AW40" s="298"/>
      <c r="AX40" s="298"/>
      <c r="AY40" s="298"/>
      <c r="AZ40" s="298"/>
      <c r="BA40" s="208"/>
      <c r="BB40" s="208"/>
      <c r="BC40" s="298"/>
      <c r="BD40" s="298"/>
      <c r="BE40" s="298"/>
      <c r="BF40" s="298"/>
      <c r="BG40" s="298"/>
      <c r="BH40" s="298"/>
      <c r="BI40" s="298"/>
      <c r="BJ40" s="298"/>
      <c r="BK40" s="298"/>
      <c r="BL40" s="298"/>
      <c r="BM40" s="298"/>
      <c r="BN40" s="208"/>
      <c r="BO40" s="208"/>
      <c r="BP40" s="298"/>
      <c r="BQ40" s="298"/>
      <c r="BR40" s="298"/>
      <c r="BS40" s="298"/>
      <c r="BT40" s="298"/>
      <c r="BU40" s="298"/>
      <c r="BV40" s="298"/>
      <c r="BW40" s="298"/>
      <c r="BX40" s="298"/>
      <c r="BY40" s="298"/>
      <c r="BZ40" s="298"/>
      <c r="CA40" s="208"/>
      <c r="CB40" s="208"/>
      <c r="CC40" s="298"/>
      <c r="CD40" s="298"/>
      <c r="CE40" s="298"/>
      <c r="CF40" s="298"/>
      <c r="CG40" s="298"/>
      <c r="CH40" s="298"/>
      <c r="CI40" s="298"/>
      <c r="CJ40" s="298"/>
      <c r="CK40" s="298"/>
      <c r="CL40" s="298"/>
      <c r="CM40" s="298"/>
      <c r="CN40" s="208"/>
      <c r="CO40" s="208"/>
      <c r="CP40" s="298"/>
      <c r="CQ40" s="298"/>
      <c r="CR40" s="298"/>
      <c r="CS40" s="298"/>
      <c r="CT40" s="298"/>
      <c r="CU40" s="298"/>
      <c r="CV40" s="298"/>
      <c r="CW40" s="298"/>
      <c r="CX40" s="298"/>
      <c r="CY40" s="298"/>
      <c r="CZ40" s="298"/>
      <c r="DA40" s="208"/>
      <c r="DB40" s="208"/>
      <c r="DC40" s="298"/>
      <c r="DD40" s="298"/>
      <c r="DE40" s="298"/>
      <c r="DF40" s="298"/>
      <c r="DG40" s="298"/>
      <c r="DH40" s="298"/>
      <c r="DI40" s="298"/>
      <c r="DJ40" s="298"/>
      <c r="DK40" s="298"/>
      <c r="DL40" s="298"/>
      <c r="DM40" s="298"/>
      <c r="DN40" s="208"/>
      <c r="DO40" s="208"/>
      <c r="DP40" s="298"/>
      <c r="DQ40" s="298"/>
      <c r="DR40" s="298"/>
      <c r="DS40" s="298"/>
      <c r="DT40" s="298"/>
      <c r="DU40" s="298"/>
      <c r="DV40" s="298"/>
      <c r="DW40" s="298"/>
      <c r="DX40" s="298"/>
      <c r="DY40" s="298"/>
      <c r="DZ40" s="298"/>
      <c r="EA40" s="208"/>
      <c r="EB40" s="208"/>
      <c r="EC40" s="298"/>
      <c r="ED40" s="298"/>
      <c r="EE40" s="298"/>
      <c r="EF40" s="298"/>
      <c r="EG40" s="298"/>
      <c r="EH40" s="298"/>
      <c r="EI40" s="298"/>
      <c r="EJ40" s="298"/>
      <c r="EK40" s="298"/>
      <c r="EL40" s="298"/>
      <c r="EM40" s="298"/>
      <c r="EN40" s="208"/>
      <c r="EO40" s="208"/>
      <c r="EP40" s="298"/>
      <c r="EQ40" s="298"/>
      <c r="ER40" s="298"/>
      <c r="ES40" s="298"/>
      <c r="ET40" s="298"/>
      <c r="EU40" s="298"/>
      <c r="EV40" s="298"/>
      <c r="EW40" s="298"/>
      <c r="EX40" s="298"/>
      <c r="EY40" s="298"/>
      <c r="EZ40" s="298"/>
      <c r="FA40" s="208"/>
      <c r="FB40" s="208"/>
      <c r="FC40" s="298"/>
      <c r="FD40" s="298"/>
      <c r="FE40" s="298"/>
      <c r="FF40" s="298"/>
      <c r="FG40" s="298"/>
      <c r="FH40" s="298"/>
      <c r="FI40" s="298"/>
      <c r="FJ40" s="298"/>
      <c r="FK40" s="298"/>
      <c r="FL40" s="298"/>
      <c r="FM40" s="298"/>
      <c r="FN40" s="208"/>
      <c r="FO40" s="208"/>
      <c r="FP40" s="298"/>
      <c r="FQ40" s="298"/>
      <c r="FR40" s="298"/>
      <c r="FS40" s="298"/>
      <c r="FT40" s="298"/>
      <c r="FU40" s="298"/>
      <c r="FV40" s="298"/>
      <c r="FW40" s="298"/>
      <c r="FX40" s="298"/>
      <c r="FY40" s="298"/>
      <c r="FZ40" s="298"/>
      <c r="GA40" s="208"/>
      <c r="GB40" s="208"/>
      <c r="GC40" s="298"/>
      <c r="GD40" s="298"/>
      <c r="GE40" s="298"/>
      <c r="GF40" s="298"/>
      <c r="GG40" s="298"/>
      <c r="GH40" s="298"/>
      <c r="GI40" s="298"/>
      <c r="GJ40" s="298"/>
      <c r="GK40" s="298"/>
      <c r="GL40" s="298"/>
      <c r="GM40" s="298"/>
      <c r="GN40" s="208"/>
      <c r="GO40" s="208"/>
      <c r="GP40" s="298"/>
      <c r="GQ40" s="298"/>
      <c r="GR40" s="298"/>
      <c r="GS40" s="298"/>
      <c r="GT40" s="298"/>
      <c r="GU40" s="298"/>
      <c r="GV40" s="298"/>
      <c r="GW40" s="298"/>
      <c r="GX40" s="298"/>
      <c r="GY40" s="298"/>
      <c r="GZ40" s="298"/>
      <c r="HA40" s="208"/>
      <c r="HB40" s="208"/>
      <c r="HC40" s="298"/>
      <c r="HD40" s="298"/>
      <c r="HE40" s="298"/>
      <c r="HF40" s="298"/>
      <c r="HG40" s="298"/>
      <c r="HH40" s="298"/>
      <c r="HI40" s="298"/>
      <c r="HJ40" s="298"/>
      <c r="HK40" s="298"/>
      <c r="HL40" s="298"/>
      <c r="HM40" s="298"/>
      <c r="HN40" s="208"/>
      <c r="HO40" s="208"/>
      <c r="HP40" s="298"/>
      <c r="HQ40" s="298"/>
      <c r="HR40" s="298"/>
      <c r="HS40" s="298"/>
      <c r="HT40" s="298"/>
      <c r="HU40" s="298"/>
      <c r="HV40" s="298"/>
      <c r="HW40" s="298"/>
      <c r="HX40" s="298"/>
      <c r="HY40" s="298"/>
      <c r="HZ40" s="298"/>
      <c r="IA40" s="208"/>
      <c r="IB40" s="208"/>
      <c r="IC40" s="298"/>
      <c r="ID40" s="298"/>
      <c r="IE40" s="298"/>
      <c r="IF40" s="298"/>
      <c r="IG40" s="298"/>
      <c r="IH40" s="298"/>
      <c r="II40" s="298"/>
      <c r="IJ40" s="298"/>
      <c r="IK40" s="298"/>
      <c r="IL40" s="298"/>
      <c r="IM40" s="298"/>
      <c r="IN40" s="208"/>
      <c r="IO40" s="208"/>
      <c r="IP40" s="298"/>
      <c r="IQ40" s="298"/>
      <c r="IR40" s="298"/>
      <c r="IS40" s="298"/>
      <c r="IT40" s="298"/>
      <c r="IU40" s="298"/>
      <c r="IV40" s="298"/>
    </row>
    <row r="41" spans="1:256" x14ac:dyDescent="0.2">
      <c r="A41" s="219"/>
      <c r="B41" s="220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9"/>
      <c r="B60" s="220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9"/>
      <c r="B61" s="220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9"/>
      <c r="B62" s="220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9"/>
      <c r="B63" s="220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9"/>
      <c r="B64" s="220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9"/>
      <c r="B65" s="220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9"/>
      <c r="B66" s="220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9"/>
      <c r="B67" s="220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9"/>
      <c r="B68" s="220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9"/>
      <c r="B69" s="220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1"/>
      <c r="B70" s="222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8" t="s">
        <v>879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2"/>
      <c r="B74" s="212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2"/>
      <c r="B75" s="212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2"/>
      <c r="B76" s="212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2"/>
      <c r="B77" s="212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2"/>
      <c r="B78" s="212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2"/>
      <c r="B79" s="212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2"/>
      <c r="B80" s="212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2"/>
      <c r="B81" s="212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2"/>
      <c r="B82" s="212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2"/>
      <c r="B83" s="212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2"/>
      <c r="B84" s="212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2"/>
      <c r="B85" s="212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2"/>
      <c r="B86" s="212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2"/>
      <c r="B87" s="212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2"/>
      <c r="B88" s="212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2"/>
      <c r="B89" s="212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2"/>
      <c r="B90" s="212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FP40:FZ40"/>
    <mergeCell ref="CC40:CM40"/>
    <mergeCell ref="CP40:CZ40"/>
    <mergeCell ref="DC40:DM40"/>
    <mergeCell ref="EP40:EZ40"/>
    <mergeCell ref="DP40:DZ40"/>
    <mergeCell ref="IC40:IM40"/>
    <mergeCell ref="C44:M44"/>
    <mergeCell ref="BC40:BM40"/>
    <mergeCell ref="BP40:BZ40"/>
    <mergeCell ref="FC40:FM40"/>
    <mergeCell ref="C43:M43"/>
    <mergeCell ref="AP40:AZ40"/>
    <mergeCell ref="C40:M40"/>
    <mergeCell ref="P40:Z40"/>
    <mergeCell ref="AC40:AM40"/>
    <mergeCell ref="C42:M42"/>
    <mergeCell ref="DP39:DZ39"/>
    <mergeCell ref="EC39:EM39"/>
    <mergeCell ref="P39:Z39"/>
    <mergeCell ref="AC39:AM39"/>
    <mergeCell ref="AP39:AZ39"/>
    <mergeCell ref="CC39:CM39"/>
    <mergeCell ref="CP39:CZ39"/>
    <mergeCell ref="BP39:BZ39"/>
    <mergeCell ref="IC38:IM38"/>
    <mergeCell ref="IP38:IV38"/>
    <mergeCell ref="IP39:IV39"/>
    <mergeCell ref="EP39:EZ39"/>
    <mergeCell ref="FC39:FM39"/>
    <mergeCell ref="FP39:FZ39"/>
    <mergeCell ref="IC39:IM39"/>
    <mergeCell ref="HC39:HM39"/>
    <mergeCell ref="HP39:HZ39"/>
    <mergeCell ref="GC39:GM39"/>
    <mergeCell ref="GP39:GZ39"/>
    <mergeCell ref="GP38:GZ38"/>
    <mergeCell ref="HC38:HM38"/>
    <mergeCell ref="HP38:HZ38"/>
    <mergeCell ref="CC38:CM38"/>
    <mergeCell ref="EC38:EM38"/>
    <mergeCell ref="EP38:EZ38"/>
    <mergeCell ref="CP38:CZ38"/>
    <mergeCell ref="DC38:DM38"/>
    <mergeCell ref="DP38:DZ38"/>
    <mergeCell ref="EP32:EZ32"/>
    <mergeCell ref="GC38:GM38"/>
    <mergeCell ref="FC38:FM38"/>
    <mergeCell ref="FP38:FZ38"/>
    <mergeCell ref="HP32:HZ32"/>
    <mergeCell ref="FP32:FZ32"/>
    <mergeCell ref="GC32:GM32"/>
    <mergeCell ref="HC32:HM32"/>
    <mergeCell ref="HC31:HM31"/>
    <mergeCell ref="CP32:CZ32"/>
    <mergeCell ref="DP31:DZ31"/>
    <mergeCell ref="EP31:EZ31"/>
    <mergeCell ref="FC31:FM31"/>
    <mergeCell ref="FC32:FM32"/>
    <mergeCell ref="GP32:GZ32"/>
    <mergeCell ref="DC32:DM32"/>
    <mergeCell ref="DP32:DZ32"/>
    <mergeCell ref="EC32:EM32"/>
    <mergeCell ref="IC32:IM32"/>
    <mergeCell ref="IP32:IV32"/>
    <mergeCell ref="IC31:IM31"/>
    <mergeCell ref="FP31:FZ31"/>
    <mergeCell ref="GC31:GM31"/>
    <mergeCell ref="IC30:IM30"/>
    <mergeCell ref="HP31:HZ31"/>
    <mergeCell ref="IP30:IV30"/>
    <mergeCell ref="FP30:FZ30"/>
    <mergeCell ref="GC30:GM30"/>
    <mergeCell ref="BC32:BM32"/>
    <mergeCell ref="BC39:BM39"/>
    <mergeCell ref="BP31:BZ31"/>
    <mergeCell ref="CC31:CM31"/>
    <mergeCell ref="CP31:CZ31"/>
    <mergeCell ref="DC31:DM31"/>
    <mergeCell ref="CC32:CM32"/>
    <mergeCell ref="DC39:DM39"/>
    <mergeCell ref="DC30:DM30"/>
    <mergeCell ref="DP30:DZ30"/>
    <mergeCell ref="EC30:EM30"/>
    <mergeCell ref="EP30:EZ30"/>
    <mergeCell ref="IP31:IV31"/>
    <mergeCell ref="BC31:BM31"/>
    <mergeCell ref="GP30:GZ30"/>
    <mergeCell ref="HC30:HM30"/>
    <mergeCell ref="HP30:HZ30"/>
    <mergeCell ref="GP31:GZ31"/>
    <mergeCell ref="P32:Z32"/>
    <mergeCell ref="AC32:AM32"/>
    <mergeCell ref="AP32:AZ32"/>
    <mergeCell ref="P38:Z38"/>
    <mergeCell ref="AC38:AM38"/>
    <mergeCell ref="AP38:AZ38"/>
    <mergeCell ref="HC29:HM29"/>
    <mergeCell ref="HP29:HZ29"/>
    <mergeCell ref="IC29:IM29"/>
    <mergeCell ref="IP29:IV29"/>
    <mergeCell ref="BP32:BZ32"/>
    <mergeCell ref="BC38:BM38"/>
    <mergeCell ref="BP38:BZ38"/>
    <mergeCell ref="FC30:FM30"/>
    <mergeCell ref="CC30:CM30"/>
    <mergeCell ref="CP30:CZ30"/>
    <mergeCell ref="FP29:FZ29"/>
    <mergeCell ref="C41:M41"/>
    <mergeCell ref="C33:M33"/>
    <mergeCell ref="AP31:AZ31"/>
    <mergeCell ref="C37:M37"/>
    <mergeCell ref="C38:M38"/>
    <mergeCell ref="C39:M39"/>
    <mergeCell ref="C31:M31"/>
    <mergeCell ref="P31:Z31"/>
    <mergeCell ref="AC31:AM31"/>
    <mergeCell ref="AP30:AZ30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FC29:FM29"/>
    <mergeCell ref="EC31:EM31"/>
    <mergeCell ref="EP29:EZ29"/>
    <mergeCell ref="P29:Z29"/>
    <mergeCell ref="AC29:AM29"/>
    <mergeCell ref="AP29:AZ29"/>
    <mergeCell ref="BC30:BM30"/>
    <mergeCell ref="EC29:EM29"/>
    <mergeCell ref="BP30:BZ30"/>
    <mergeCell ref="P30:Z30"/>
    <mergeCell ref="AC30:AM30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8:M18"/>
    <mergeCell ref="C19:M19"/>
    <mergeCell ref="C9:M9"/>
    <mergeCell ref="C10:M10"/>
    <mergeCell ref="C11:M11"/>
    <mergeCell ref="C12:M12"/>
    <mergeCell ref="C32:M32"/>
    <mergeCell ref="C30:M30"/>
    <mergeCell ref="C13:M13"/>
    <mergeCell ref="C34:M34"/>
    <mergeCell ref="C35:M35"/>
    <mergeCell ref="C36:M36"/>
    <mergeCell ref="C14:M14"/>
    <mergeCell ref="C15:M15"/>
    <mergeCell ref="C16:M16"/>
    <mergeCell ref="C17:M17"/>
    <mergeCell ref="C23:M23"/>
    <mergeCell ref="C24:M24"/>
    <mergeCell ref="C70:M70"/>
    <mergeCell ref="A72:E72"/>
    <mergeCell ref="C27:M27"/>
    <mergeCell ref="C28:M28"/>
    <mergeCell ref="C62:M62"/>
    <mergeCell ref="C63:M63"/>
    <mergeCell ref="C64:M64"/>
    <mergeCell ref="C65:M65"/>
    <mergeCell ref="C66:M66"/>
    <mergeCell ref="C67:M67"/>
    <mergeCell ref="C68:M68"/>
    <mergeCell ref="C69:M69"/>
    <mergeCell ref="C20:M20"/>
    <mergeCell ref="C29:M29"/>
    <mergeCell ref="C25:M25"/>
    <mergeCell ref="C26:M26"/>
    <mergeCell ref="C21:M21"/>
    <mergeCell ref="C22:M22"/>
    <mergeCell ref="C87:M87"/>
    <mergeCell ref="C88:M88"/>
    <mergeCell ref="C77:M77"/>
    <mergeCell ref="C78:M78"/>
    <mergeCell ref="C73:M73"/>
    <mergeCell ref="C74:M74"/>
    <mergeCell ref="C75:M75"/>
    <mergeCell ref="C76:M76"/>
    <mergeCell ref="C79:M79"/>
    <mergeCell ref="C80:M80"/>
    <mergeCell ref="C81:M81"/>
    <mergeCell ref="C82:M82"/>
    <mergeCell ref="C89:M89"/>
    <mergeCell ref="C90:M90"/>
    <mergeCell ref="C83:M83"/>
    <mergeCell ref="C84:M84"/>
    <mergeCell ref="C85:M85"/>
    <mergeCell ref="C86:M86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2011-11-04T17:52:24Z</cp:lastPrinted>
  <dcterms:created xsi:type="dcterms:W3CDTF">1997-12-04T19:04:30Z</dcterms:created>
  <dcterms:modified xsi:type="dcterms:W3CDTF">2025-01-10T19:51:23Z</dcterms:modified>
</cp:coreProperties>
</file>