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EC206EB8-CF61-454A-B921-082241158302}" xr6:coauthVersionLast="47" xr6:coauthVersionMax="47" xr10:uidLastSave="{00000000-0000-0000-0000-000000000000}"/>
  <workbookProtection workbookPassword="B30A" lockStructure="1"/>
  <bookViews>
    <workbookView xWindow="30360" yWindow="1560" windowWidth="21600" windowHeight="11505" tabRatio="855" xr2:uid="{6211121B-629C-49FD-9106-86ABE1469B2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2" l="1"/>
  <c r="C11" i="12"/>
  <c r="C10" i="12"/>
  <c r="B12" i="12"/>
  <c r="B11" i="12"/>
  <c r="B10" i="12"/>
  <c r="C36" i="12"/>
  <c r="C37" i="12" s="1"/>
  <c r="C40" i="12" s="1"/>
  <c r="B36" i="12"/>
  <c r="A40" i="12" s="1"/>
  <c r="F455" i="1"/>
  <c r="H455" i="1"/>
  <c r="F23" i="1"/>
  <c r="H31" i="1"/>
  <c r="H37" i="1"/>
  <c r="H533" i="1"/>
  <c r="H532" i="1"/>
  <c r="J585" i="1"/>
  <c r="H582" i="1"/>
  <c r="H531" i="1"/>
  <c r="L531" i="1" s="1"/>
  <c r="H585" i="1"/>
  <c r="K585" i="1" s="1"/>
  <c r="F489" i="1"/>
  <c r="B152" i="2" s="1"/>
  <c r="G152" i="2" s="1"/>
  <c r="H359" i="1"/>
  <c r="H361" i="1" s="1"/>
  <c r="G359" i="1"/>
  <c r="F359" i="1"/>
  <c r="I359" i="1" s="1"/>
  <c r="I361" i="1" s="1"/>
  <c r="H624" i="1" s="1"/>
  <c r="F352" i="1"/>
  <c r="L352" i="1" s="1"/>
  <c r="H651" i="1" s="1"/>
  <c r="F351" i="1"/>
  <c r="L351" i="1" s="1"/>
  <c r="F350" i="1"/>
  <c r="H146" i="1"/>
  <c r="H147" i="1"/>
  <c r="F111" i="1"/>
  <c r="F109" i="1"/>
  <c r="C37" i="10" s="1"/>
  <c r="F60" i="1"/>
  <c r="F71" i="1" s="1"/>
  <c r="C49" i="2" s="1"/>
  <c r="C54" i="2" s="1"/>
  <c r="F49" i="1"/>
  <c r="F52" i="1" s="1"/>
  <c r="F110" i="1"/>
  <c r="C59" i="2" s="1"/>
  <c r="F125" i="1"/>
  <c r="F13" i="1"/>
  <c r="F9" i="1"/>
  <c r="F233" i="1"/>
  <c r="F215" i="1"/>
  <c r="F197" i="1"/>
  <c r="C60" i="2"/>
  <c r="B2" i="13"/>
  <c r="F8" i="13"/>
  <c r="G8" i="13"/>
  <c r="L196" i="1"/>
  <c r="E8" i="13" s="1"/>
  <c r="L214" i="1"/>
  <c r="C17" i="10" s="1"/>
  <c r="L232" i="1"/>
  <c r="D39" i="13"/>
  <c r="F13" i="13"/>
  <c r="G13" i="13"/>
  <c r="L198" i="1"/>
  <c r="L216" i="1"/>
  <c r="L234" i="1"/>
  <c r="F16" i="13"/>
  <c r="L219" i="1"/>
  <c r="L237" i="1"/>
  <c r="F5" i="13"/>
  <c r="D5" i="13" s="1"/>
  <c r="G5" i="13"/>
  <c r="L189" i="1"/>
  <c r="L190" i="1"/>
  <c r="L191" i="1"/>
  <c r="L192" i="1"/>
  <c r="L207" i="1"/>
  <c r="L208" i="1"/>
  <c r="L209" i="1"/>
  <c r="L210" i="1"/>
  <c r="L225" i="1"/>
  <c r="C10" i="10" s="1"/>
  <c r="L226" i="1"/>
  <c r="C11" i="10" s="1"/>
  <c r="L227" i="1"/>
  <c r="C12" i="10" s="1"/>
  <c r="L228" i="1"/>
  <c r="C13" i="10" s="1"/>
  <c r="F6" i="13"/>
  <c r="G6" i="13"/>
  <c r="L194" i="1"/>
  <c r="C15" i="10" s="1"/>
  <c r="L212" i="1"/>
  <c r="L230" i="1"/>
  <c r="F7" i="13"/>
  <c r="G7" i="13"/>
  <c r="L195" i="1"/>
  <c r="L213" i="1"/>
  <c r="D7" i="13" s="1"/>
  <c r="C7" i="13" s="1"/>
  <c r="L231" i="1"/>
  <c r="F12" i="13"/>
  <c r="D12" i="13" s="1"/>
  <c r="C12" i="13" s="1"/>
  <c r="G12" i="13"/>
  <c r="L197" i="1"/>
  <c r="L215" i="1"/>
  <c r="L233" i="1"/>
  <c r="F14" i="13"/>
  <c r="G14" i="13"/>
  <c r="L199" i="1"/>
  <c r="L217" i="1"/>
  <c r="L235" i="1"/>
  <c r="F15" i="13"/>
  <c r="G15" i="13"/>
  <c r="L200" i="1"/>
  <c r="H637" i="1" s="1"/>
  <c r="L218" i="1"/>
  <c r="G640" i="1" s="1"/>
  <c r="J640" i="1" s="1"/>
  <c r="L236" i="1"/>
  <c r="F17" i="13"/>
  <c r="G17" i="13"/>
  <c r="L243" i="1"/>
  <c r="D17" i="13" s="1"/>
  <c r="C17" i="13" s="1"/>
  <c r="F18" i="13"/>
  <c r="G18" i="13"/>
  <c r="L244" i="1"/>
  <c r="F19" i="13"/>
  <c r="G19" i="13"/>
  <c r="L245" i="1"/>
  <c r="C106" i="2" s="1"/>
  <c r="D19" i="13"/>
  <c r="C19" i="13" s="1"/>
  <c r="F29" i="13"/>
  <c r="G29" i="13"/>
  <c r="L350" i="1"/>
  <c r="J282" i="1"/>
  <c r="J301" i="1"/>
  <c r="J330" i="1" s="1"/>
  <c r="J344" i="1" s="1"/>
  <c r="J320" i="1"/>
  <c r="K282" i="1"/>
  <c r="K330" i="1" s="1"/>
  <c r="K344" i="1" s="1"/>
  <c r="K301" i="1"/>
  <c r="K320" i="1"/>
  <c r="L268" i="1"/>
  <c r="L269" i="1"/>
  <c r="L270" i="1"/>
  <c r="L271" i="1"/>
  <c r="L273" i="1"/>
  <c r="L274" i="1"/>
  <c r="L275" i="1"/>
  <c r="L276" i="1"/>
  <c r="L282" i="1" s="1"/>
  <c r="L277" i="1"/>
  <c r="E114" i="2" s="1"/>
  <c r="E120" i="2" s="1"/>
  <c r="L278" i="1"/>
  <c r="E115" i="2" s="1"/>
  <c r="L279" i="1"/>
  <c r="E116" i="2" s="1"/>
  <c r="L280" i="1"/>
  <c r="L287" i="1"/>
  <c r="L288" i="1"/>
  <c r="L289" i="1"/>
  <c r="L290" i="1"/>
  <c r="L292" i="1"/>
  <c r="L293" i="1"/>
  <c r="L294" i="1"/>
  <c r="L295" i="1"/>
  <c r="L301" i="1" s="1"/>
  <c r="L296" i="1"/>
  <c r="L297" i="1"/>
  <c r="L298" i="1"/>
  <c r="L299" i="1"/>
  <c r="L306" i="1"/>
  <c r="L307" i="1"/>
  <c r="L308" i="1"/>
  <c r="L309" i="1"/>
  <c r="L311" i="1"/>
  <c r="L312" i="1"/>
  <c r="L313" i="1"/>
  <c r="L320" i="1" s="1"/>
  <c r="L314" i="1"/>
  <c r="L315" i="1"/>
  <c r="L316" i="1"/>
  <c r="C20" i="10" s="1"/>
  <c r="L317" i="1"/>
  <c r="L318" i="1"/>
  <c r="L325" i="1"/>
  <c r="L326" i="1"/>
  <c r="L327" i="1"/>
  <c r="L252" i="1"/>
  <c r="L253" i="1"/>
  <c r="L333" i="1"/>
  <c r="L334" i="1"/>
  <c r="C25" i="10" s="1"/>
  <c r="L247" i="1"/>
  <c r="F22" i="13" s="1"/>
  <c r="C22" i="13" s="1"/>
  <c r="L328" i="1"/>
  <c r="C11" i="13"/>
  <c r="C10" i="13"/>
  <c r="C9" i="13"/>
  <c r="L353" i="1"/>
  <c r="B4" i="12"/>
  <c r="B40" i="12"/>
  <c r="B27" i="12"/>
  <c r="C27" i="12"/>
  <c r="B31" i="12"/>
  <c r="C31" i="12"/>
  <c r="A31" i="12" s="1"/>
  <c r="B9" i="12"/>
  <c r="A13" i="12" s="1"/>
  <c r="B13" i="12"/>
  <c r="C9" i="12"/>
  <c r="C13" i="12"/>
  <c r="B18" i="12"/>
  <c r="B22" i="12"/>
  <c r="C18" i="12"/>
  <c r="C22" i="12"/>
  <c r="B1" i="12"/>
  <c r="L379" i="1"/>
  <c r="L380" i="1"/>
  <c r="L381" i="1"/>
  <c r="L385" i="1" s="1"/>
  <c r="L382" i="1"/>
  <c r="L383" i="1"/>
  <c r="L384" i="1"/>
  <c r="L387" i="1"/>
  <c r="L388" i="1"/>
  <c r="L389" i="1"/>
  <c r="L390" i="1"/>
  <c r="L391" i="1"/>
  <c r="L392" i="1"/>
  <c r="L395" i="1"/>
  <c r="L396" i="1"/>
  <c r="L397" i="1"/>
  <c r="L398" i="1"/>
  <c r="L399" i="1" s="1"/>
  <c r="C132" i="2" s="1"/>
  <c r="L258" i="1"/>
  <c r="J52" i="1"/>
  <c r="G48" i="2" s="1"/>
  <c r="G55" i="2" s="1"/>
  <c r="G51" i="2"/>
  <c r="G54" i="2" s="1"/>
  <c r="G53" i="2"/>
  <c r="F2" i="11"/>
  <c r="L603" i="1"/>
  <c r="H653" i="1"/>
  <c r="L602" i="1"/>
  <c r="G653" i="1"/>
  <c r="L601" i="1"/>
  <c r="L604" i="1" s="1"/>
  <c r="F653" i="1"/>
  <c r="I653" i="1" s="1"/>
  <c r="C40" i="10"/>
  <c r="G52" i="1"/>
  <c r="H52" i="1"/>
  <c r="E48" i="2" s="1"/>
  <c r="I52" i="1"/>
  <c r="F86" i="1"/>
  <c r="C50" i="2" s="1"/>
  <c r="F103" i="1"/>
  <c r="G103" i="1"/>
  <c r="H71" i="1"/>
  <c r="E49" i="2" s="1"/>
  <c r="E54" i="2" s="1"/>
  <c r="H86" i="1"/>
  <c r="H103" i="1"/>
  <c r="I103" i="1"/>
  <c r="I104" i="1" s="1"/>
  <c r="J103" i="1"/>
  <c r="F128" i="1"/>
  <c r="G113" i="1"/>
  <c r="G132" i="1" s="1"/>
  <c r="G128" i="1"/>
  <c r="H113" i="1"/>
  <c r="H128" i="1"/>
  <c r="I113" i="1"/>
  <c r="I128" i="1"/>
  <c r="J113" i="1"/>
  <c r="J132" i="1" s="1"/>
  <c r="J128" i="1"/>
  <c r="F139" i="1"/>
  <c r="F154" i="1"/>
  <c r="F161" i="1"/>
  <c r="C39" i="10" s="1"/>
  <c r="G139" i="1"/>
  <c r="G161" i="1" s="1"/>
  <c r="G154" i="1"/>
  <c r="H139" i="1"/>
  <c r="E77" i="2" s="1"/>
  <c r="E83" i="2" s="1"/>
  <c r="I139" i="1"/>
  <c r="I161" i="1" s="1"/>
  <c r="I154" i="1"/>
  <c r="L242" i="1"/>
  <c r="L324" i="1"/>
  <c r="E105" i="2" s="1"/>
  <c r="L246" i="1"/>
  <c r="C116" i="2"/>
  <c r="L260" i="1"/>
  <c r="C134" i="2" s="1"/>
  <c r="L261" i="1"/>
  <c r="L341" i="1"/>
  <c r="L342" i="1"/>
  <c r="I655" i="1"/>
  <c r="I660" i="1"/>
  <c r="I659" i="1"/>
  <c r="C42" i="10"/>
  <c r="L366" i="1"/>
  <c r="L367" i="1"/>
  <c r="L368" i="1"/>
  <c r="L369" i="1"/>
  <c r="L370" i="1"/>
  <c r="L371" i="1"/>
  <c r="L372" i="1"/>
  <c r="B2" i="10"/>
  <c r="L336" i="1"/>
  <c r="E126" i="2" s="1"/>
  <c r="L337" i="1"/>
  <c r="L338" i="1"/>
  <c r="E129" i="2" s="1"/>
  <c r="L339" i="1"/>
  <c r="K343" i="1"/>
  <c r="L511" i="1"/>
  <c r="F539" i="1" s="1"/>
  <c r="L512" i="1"/>
  <c r="F540" i="1" s="1"/>
  <c r="K540" i="1" s="1"/>
  <c r="L513" i="1"/>
  <c r="F541" i="1"/>
  <c r="L516" i="1"/>
  <c r="G539" i="1"/>
  <c r="G542" i="1" s="1"/>
  <c r="L517" i="1"/>
  <c r="G540" i="1"/>
  <c r="L518" i="1"/>
  <c r="G541" i="1"/>
  <c r="L521" i="1"/>
  <c r="H539" i="1" s="1"/>
  <c r="L522" i="1"/>
  <c r="H540" i="1" s="1"/>
  <c r="L523" i="1"/>
  <c r="H541" i="1"/>
  <c r="L526" i="1"/>
  <c r="I539" i="1"/>
  <c r="I542" i="1" s="1"/>
  <c r="L527" i="1"/>
  <c r="I540" i="1"/>
  <c r="L528" i="1"/>
  <c r="I541" i="1"/>
  <c r="L532" i="1"/>
  <c r="J540" i="1" s="1"/>
  <c r="L533" i="1"/>
  <c r="J541" i="1" s="1"/>
  <c r="K541" i="1" s="1"/>
  <c r="E123" i="2"/>
  <c r="K262" i="1"/>
  <c r="J262" i="1"/>
  <c r="I262" i="1"/>
  <c r="H262" i="1"/>
  <c r="L262" i="1" s="1"/>
  <c r="G262" i="1"/>
  <c r="F262" i="1"/>
  <c r="C124" i="2"/>
  <c r="C123" i="2"/>
  <c r="A1" i="2"/>
  <c r="A2" i="2"/>
  <c r="C9" i="2"/>
  <c r="D9" i="2"/>
  <c r="E9" i="2"/>
  <c r="E19" i="2" s="1"/>
  <c r="F9" i="2"/>
  <c r="I431" i="1"/>
  <c r="J9" i="1"/>
  <c r="G9" i="2" s="1"/>
  <c r="C10" i="2"/>
  <c r="D10" i="2"/>
  <c r="E10" i="2"/>
  <c r="F10" i="2"/>
  <c r="I432" i="1"/>
  <c r="J10" i="1"/>
  <c r="G10" i="2" s="1"/>
  <c r="C11" i="2"/>
  <c r="C12" i="2"/>
  <c r="C19" i="2" s="1"/>
  <c r="D12" i="2"/>
  <c r="D19" i="2" s="1"/>
  <c r="E12" i="2"/>
  <c r="F12" i="2"/>
  <c r="I433" i="1"/>
  <c r="J12" i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I438" i="1" s="1"/>
  <c r="G632" i="1" s="1"/>
  <c r="C22" i="2"/>
  <c r="D22" i="2"/>
  <c r="E22" i="2"/>
  <c r="F22" i="2"/>
  <c r="I440" i="1"/>
  <c r="J23" i="1"/>
  <c r="C23" i="2"/>
  <c r="D23" i="2"/>
  <c r="E23" i="2"/>
  <c r="E32" i="2" s="1"/>
  <c r="F23" i="2"/>
  <c r="I441" i="1"/>
  <c r="I444" i="1" s="1"/>
  <c r="J24" i="1"/>
  <c r="G23" i="2" s="1"/>
  <c r="C24" i="2"/>
  <c r="D24" i="2"/>
  <c r="E24" i="2"/>
  <c r="F24" i="2"/>
  <c r="I442" i="1"/>
  <c r="J25" i="1" s="1"/>
  <c r="C25" i="2"/>
  <c r="C32" i="2" s="1"/>
  <c r="D25" i="2"/>
  <c r="D32" i="2" s="1"/>
  <c r="E25" i="2"/>
  <c r="F25" i="2"/>
  <c r="F32" i="2" s="1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/>
  <c r="C38" i="2"/>
  <c r="D38" i="2"/>
  <c r="E38" i="2"/>
  <c r="F38" i="2"/>
  <c r="F42" i="2" s="1"/>
  <c r="F43" i="2" s="1"/>
  <c r="I448" i="1"/>
  <c r="J40" i="1"/>
  <c r="G39" i="2" s="1"/>
  <c r="C40" i="2"/>
  <c r="F40" i="2"/>
  <c r="I449" i="1"/>
  <c r="J41" i="1" s="1"/>
  <c r="G40" i="2" s="1"/>
  <c r="D41" i="2"/>
  <c r="E41" i="2"/>
  <c r="F41" i="2"/>
  <c r="D48" i="2"/>
  <c r="D55" i="2" s="1"/>
  <c r="F48" i="2"/>
  <c r="E50" i="2"/>
  <c r="C51" i="2"/>
  <c r="D51" i="2"/>
  <c r="E51" i="2"/>
  <c r="F51" i="2"/>
  <c r="D52" i="2"/>
  <c r="D54" i="2" s="1"/>
  <c r="C53" i="2"/>
  <c r="D53" i="2"/>
  <c r="E53" i="2"/>
  <c r="F53" i="2"/>
  <c r="C61" i="2"/>
  <c r="D61" i="2"/>
  <c r="D62" i="2" s="1"/>
  <c r="E61" i="2"/>
  <c r="E62" i="2" s="1"/>
  <c r="F61" i="2"/>
  <c r="F62" i="2"/>
  <c r="G61" i="2"/>
  <c r="G62" i="2" s="1"/>
  <c r="C64" i="2"/>
  <c r="C70" i="2" s="1"/>
  <c r="F64" i="2"/>
  <c r="C65" i="2"/>
  <c r="F65" i="2"/>
  <c r="C66" i="2"/>
  <c r="C67" i="2"/>
  <c r="C68" i="2"/>
  <c r="E68" i="2"/>
  <c r="F68" i="2"/>
  <c r="C69" i="2"/>
  <c r="D69" i="2"/>
  <c r="D70" i="2" s="1"/>
  <c r="D73" i="2" s="1"/>
  <c r="E69" i="2"/>
  <c r="E70" i="2" s="1"/>
  <c r="F69" i="2"/>
  <c r="G69" i="2"/>
  <c r="G70" i="2" s="1"/>
  <c r="G73" i="2" s="1"/>
  <c r="C71" i="2"/>
  <c r="D71" i="2"/>
  <c r="E71" i="2"/>
  <c r="C72" i="2"/>
  <c r="E72" i="2"/>
  <c r="C77" i="2"/>
  <c r="C83" i="2" s="1"/>
  <c r="D77" i="2"/>
  <c r="D83" i="2" s="1"/>
  <c r="F77" i="2"/>
  <c r="F83" i="2" s="1"/>
  <c r="C79" i="2"/>
  <c r="E79" i="2"/>
  <c r="F79" i="2"/>
  <c r="C80" i="2"/>
  <c r="D80" i="2"/>
  <c r="F80" i="2"/>
  <c r="C81" i="2"/>
  <c r="D81" i="2"/>
  <c r="E81" i="2"/>
  <c r="F81" i="2"/>
  <c r="C82" i="2"/>
  <c r="C85" i="2"/>
  <c r="F85" i="2"/>
  <c r="F95" i="2" s="1"/>
  <c r="C86" i="2"/>
  <c r="F86" i="2"/>
  <c r="D88" i="2"/>
  <c r="E88" i="2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E95" i="2" s="1"/>
  <c r="F92" i="2"/>
  <c r="C93" i="2"/>
  <c r="D93" i="2"/>
  <c r="E93" i="2"/>
  <c r="F93" i="2"/>
  <c r="C94" i="2"/>
  <c r="D94" i="2"/>
  <c r="E94" i="2"/>
  <c r="F94" i="2"/>
  <c r="C103" i="2"/>
  <c r="C105" i="2"/>
  <c r="D107" i="2"/>
  <c r="F107" i="2"/>
  <c r="G107" i="2"/>
  <c r="C110" i="2"/>
  <c r="E110" i="2"/>
  <c r="E111" i="2"/>
  <c r="E112" i="2"/>
  <c r="C113" i="2"/>
  <c r="E113" i="2"/>
  <c r="C114" i="2"/>
  <c r="C115" i="2"/>
  <c r="E117" i="2"/>
  <c r="F120" i="2"/>
  <c r="G120" i="2"/>
  <c r="E122" i="2"/>
  <c r="F122" i="2"/>
  <c r="F126" i="2"/>
  <c r="D126" i="2"/>
  <c r="D136" i="2"/>
  <c r="K411" i="1"/>
  <c r="K419" i="1"/>
  <c r="K425" i="1"/>
  <c r="L255" i="1"/>
  <c r="C127" i="2"/>
  <c r="E127" i="2"/>
  <c r="L256" i="1"/>
  <c r="C128" i="2" s="1"/>
  <c r="L257" i="1"/>
  <c r="C129" i="2" s="1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C150" i="2"/>
  <c r="G150" i="2" s="1"/>
  <c r="D150" i="2"/>
  <c r="E150" i="2"/>
  <c r="F150" i="2"/>
  <c r="B151" i="2"/>
  <c r="C151" i="2"/>
  <c r="D151" i="2"/>
  <c r="E151" i="2"/>
  <c r="F151" i="2"/>
  <c r="C152" i="2"/>
  <c r="D152" i="2"/>
  <c r="E152" i="2"/>
  <c r="F152" i="2"/>
  <c r="F490" i="1"/>
  <c r="B153" i="2"/>
  <c r="G153" i="2" s="1"/>
  <c r="G490" i="1"/>
  <c r="C153" i="2"/>
  <c r="H490" i="1"/>
  <c r="D153" i="2"/>
  <c r="I490" i="1"/>
  <c r="E153" i="2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/>
  <c r="G493" i="1"/>
  <c r="K493" i="1" s="1"/>
  <c r="C156" i="2"/>
  <c r="G156" i="2" s="1"/>
  <c r="H493" i="1"/>
  <c r="D156" i="2"/>
  <c r="I493" i="1"/>
  <c r="E156" i="2"/>
  <c r="J493" i="1"/>
  <c r="F156" i="2"/>
  <c r="F19" i="1"/>
  <c r="G607" i="1"/>
  <c r="G19" i="1"/>
  <c r="G41" i="1"/>
  <c r="H19" i="1"/>
  <c r="G609" i="1"/>
  <c r="I19" i="1"/>
  <c r="G610" i="1" s="1"/>
  <c r="F33" i="1"/>
  <c r="F42" i="1" s="1"/>
  <c r="G33" i="1"/>
  <c r="H33" i="1"/>
  <c r="I33" i="1"/>
  <c r="I43" i="1"/>
  <c r="F169" i="1"/>
  <c r="I169" i="1"/>
  <c r="F175" i="1"/>
  <c r="G175" i="1"/>
  <c r="G184" i="1" s="1"/>
  <c r="H175" i="1"/>
  <c r="I175" i="1"/>
  <c r="I184" i="1" s="1"/>
  <c r="J175" i="1"/>
  <c r="J184" i="1" s="1"/>
  <c r="F180" i="1"/>
  <c r="G180" i="1"/>
  <c r="H180" i="1"/>
  <c r="I180" i="1"/>
  <c r="F203" i="1"/>
  <c r="G203" i="1"/>
  <c r="H203" i="1"/>
  <c r="H249" i="1" s="1"/>
  <c r="H263" i="1" s="1"/>
  <c r="I203" i="1"/>
  <c r="I249" i="1" s="1"/>
  <c r="I263" i="1" s="1"/>
  <c r="J203" i="1"/>
  <c r="F221" i="1"/>
  <c r="F249" i="1" s="1"/>
  <c r="F263" i="1" s="1"/>
  <c r="G221" i="1"/>
  <c r="H221" i="1"/>
  <c r="I221" i="1"/>
  <c r="J221" i="1"/>
  <c r="K221" i="1"/>
  <c r="F239" i="1"/>
  <c r="G239" i="1"/>
  <c r="H239" i="1"/>
  <c r="I239" i="1"/>
  <c r="J239" i="1"/>
  <c r="J249" i="1" s="1"/>
  <c r="K239" i="1"/>
  <c r="K249" i="1" s="1"/>
  <c r="K263" i="1" s="1"/>
  <c r="F248" i="1"/>
  <c r="L248" i="1" s="1"/>
  <c r="G248" i="1"/>
  <c r="H248" i="1"/>
  <c r="I248" i="1"/>
  <c r="J248" i="1"/>
  <c r="K248" i="1"/>
  <c r="F282" i="1"/>
  <c r="F330" i="1" s="1"/>
  <c r="F344" i="1" s="1"/>
  <c r="G282" i="1"/>
  <c r="G330" i="1" s="1"/>
  <c r="G344" i="1" s="1"/>
  <c r="H282" i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H329" i="1"/>
  <c r="L329" i="1" s="1"/>
  <c r="I329" i="1"/>
  <c r="J329" i="1"/>
  <c r="K329" i="1"/>
  <c r="F354" i="1"/>
  <c r="G354" i="1"/>
  <c r="H354" i="1"/>
  <c r="I354" i="1"/>
  <c r="J354" i="1"/>
  <c r="K354" i="1"/>
  <c r="I360" i="1"/>
  <c r="F361" i="1"/>
  <c r="G361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H393" i="1"/>
  <c r="H400" i="1" s="1"/>
  <c r="H634" i="1" s="1"/>
  <c r="I393" i="1"/>
  <c r="I400" i="1" s="1"/>
  <c r="F399" i="1"/>
  <c r="G399" i="1"/>
  <c r="H399" i="1"/>
  <c r="I399" i="1"/>
  <c r="L405" i="1"/>
  <c r="L406" i="1"/>
  <c r="L407" i="1"/>
  <c r="L408" i="1"/>
  <c r="L409" i="1"/>
  <c r="L410" i="1"/>
  <c r="F411" i="1"/>
  <c r="G411" i="1"/>
  <c r="H411" i="1"/>
  <c r="I411" i="1"/>
  <c r="J411" i="1"/>
  <c r="L413" i="1"/>
  <c r="L414" i="1"/>
  <c r="L415" i="1"/>
  <c r="L419" i="1" s="1"/>
  <c r="L416" i="1"/>
  <c r="L417" i="1"/>
  <c r="L418" i="1"/>
  <c r="F419" i="1"/>
  <c r="F426" i="1" s="1"/>
  <c r="G419" i="1"/>
  <c r="H419" i="1"/>
  <c r="I419" i="1"/>
  <c r="J419" i="1"/>
  <c r="L421" i="1"/>
  <c r="L422" i="1"/>
  <c r="L423" i="1"/>
  <c r="L424" i="1"/>
  <c r="L425" i="1" s="1"/>
  <c r="F425" i="1"/>
  <c r="G425" i="1"/>
  <c r="G426" i="1" s="1"/>
  <c r="H425" i="1"/>
  <c r="H426" i="1" s="1"/>
  <c r="I425" i="1"/>
  <c r="J425" i="1"/>
  <c r="F438" i="1"/>
  <c r="G629" i="1"/>
  <c r="G438" i="1"/>
  <c r="G630" i="1"/>
  <c r="H438" i="1"/>
  <c r="G631" i="1"/>
  <c r="F444" i="1"/>
  <c r="F451" i="1" s="1"/>
  <c r="H629" i="1" s="1"/>
  <c r="J629" i="1" s="1"/>
  <c r="G444" i="1"/>
  <c r="G451" i="1" s="1"/>
  <c r="H630" i="1" s="1"/>
  <c r="J630" i="1" s="1"/>
  <c r="H444" i="1"/>
  <c r="H451" i="1" s="1"/>
  <c r="H631" i="1" s="1"/>
  <c r="J631" i="1" s="1"/>
  <c r="F450" i="1"/>
  <c r="G450" i="1"/>
  <c r="H450" i="1"/>
  <c r="I460" i="1"/>
  <c r="I466" i="1" s="1"/>
  <c r="H615" i="1" s="1"/>
  <c r="J615" i="1" s="1"/>
  <c r="J460" i="1"/>
  <c r="J466" i="1" s="1"/>
  <c r="H616" i="1" s="1"/>
  <c r="I464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G535" i="1" s="1"/>
  <c r="H514" i="1"/>
  <c r="I514" i="1"/>
  <c r="I535" i="1" s="1"/>
  <c r="J514" i="1"/>
  <c r="J535" i="1"/>
  <c r="K514" i="1"/>
  <c r="L514" i="1"/>
  <c r="F519" i="1"/>
  <c r="G519" i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K535" i="1" s="1"/>
  <c r="L529" i="1"/>
  <c r="F534" i="1"/>
  <c r="G534" i="1"/>
  <c r="I534" i="1"/>
  <c r="J534" i="1"/>
  <c r="K534" i="1"/>
  <c r="L547" i="1"/>
  <c r="L548" i="1"/>
  <c r="L549" i="1"/>
  <c r="F550" i="1"/>
  <c r="G550" i="1"/>
  <c r="G561" i="1"/>
  <c r="H550" i="1"/>
  <c r="H561" i="1" s="1"/>
  <c r="I550" i="1"/>
  <c r="I561" i="1" s="1"/>
  <c r="J550" i="1"/>
  <c r="J561" i="1" s="1"/>
  <c r="K550" i="1"/>
  <c r="L552" i="1"/>
  <c r="L553" i="1"/>
  <c r="L554" i="1"/>
  <c r="F555" i="1"/>
  <c r="G555" i="1"/>
  <c r="H555" i="1"/>
  <c r="I555" i="1"/>
  <c r="J555" i="1"/>
  <c r="K555" i="1"/>
  <c r="K561" i="1" s="1"/>
  <c r="L557" i="1"/>
  <c r="L558" i="1"/>
  <c r="L560" i="1" s="1"/>
  <c r="L561" i="1" s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6" i="1"/>
  <c r="K587" i="1"/>
  <c r="I588" i="1"/>
  <c r="H640" i="1" s="1"/>
  <c r="J588" i="1"/>
  <c r="H641" i="1"/>
  <c r="K592" i="1"/>
  <c r="K593" i="1"/>
  <c r="K594" i="1"/>
  <c r="H595" i="1"/>
  <c r="I595" i="1"/>
  <c r="J595" i="1"/>
  <c r="F604" i="1"/>
  <c r="G604" i="1"/>
  <c r="H604" i="1"/>
  <c r="I604" i="1"/>
  <c r="J604" i="1"/>
  <c r="K604" i="1"/>
  <c r="G615" i="1"/>
  <c r="H620" i="1"/>
  <c r="H621" i="1"/>
  <c r="G624" i="1"/>
  <c r="J624" i="1" s="1"/>
  <c r="G626" i="1"/>
  <c r="H626" i="1"/>
  <c r="H627" i="1"/>
  <c r="H628" i="1"/>
  <c r="G633" i="1"/>
  <c r="G634" i="1"/>
  <c r="G641" i="1"/>
  <c r="J641" i="1"/>
  <c r="G642" i="1"/>
  <c r="H642" i="1"/>
  <c r="J642" i="1"/>
  <c r="G643" i="1"/>
  <c r="J643" i="1" s="1"/>
  <c r="H643" i="1"/>
  <c r="G644" i="1"/>
  <c r="J644" i="1" s="1"/>
  <c r="H644" i="1"/>
  <c r="G645" i="1"/>
  <c r="H645" i="1"/>
  <c r="L393" i="1"/>
  <c r="C131" i="2"/>
  <c r="L519" i="1"/>
  <c r="H330" i="1"/>
  <c r="H344" i="1" s="1"/>
  <c r="F31" i="13"/>
  <c r="H104" i="1"/>
  <c r="I44" i="1"/>
  <c r="H610" i="1" s="1"/>
  <c r="E13" i="13"/>
  <c r="C13" i="13"/>
  <c r="A22" i="12"/>
  <c r="G95" i="2"/>
  <c r="C95" i="2"/>
  <c r="F54" i="2"/>
  <c r="L550" i="1"/>
  <c r="F535" i="1"/>
  <c r="L411" i="1"/>
  <c r="K426" i="1"/>
  <c r="G126" i="2"/>
  <c r="G136" i="2"/>
  <c r="G137" i="2"/>
  <c r="K595" i="1"/>
  <c r="G638" i="1" s="1"/>
  <c r="L555" i="1"/>
  <c r="G249" i="1"/>
  <c r="G263" i="1"/>
  <c r="H184" i="1"/>
  <c r="F184" i="1"/>
  <c r="C26" i="10"/>
  <c r="E106" i="2"/>
  <c r="E104" i="2"/>
  <c r="D14" i="13"/>
  <c r="C14" i="13" s="1"/>
  <c r="F19" i="2"/>
  <c r="I132" i="1"/>
  <c r="G104" i="1"/>
  <c r="E103" i="2"/>
  <c r="E101" i="2"/>
  <c r="H652" i="1"/>
  <c r="D95" i="2"/>
  <c r="F55" i="2"/>
  <c r="G151" i="2"/>
  <c r="G149" i="2"/>
  <c r="F70" i="2"/>
  <c r="F73" i="2" s="1"/>
  <c r="D18" i="13"/>
  <c r="C18" i="13" s="1"/>
  <c r="D6" i="13"/>
  <c r="C6" i="13" s="1"/>
  <c r="E102" i="2"/>
  <c r="C24" i="10"/>
  <c r="C16" i="10"/>
  <c r="K203" i="1"/>
  <c r="G16" i="13"/>
  <c r="L201" i="1"/>
  <c r="C117" i="2" s="1"/>
  <c r="L203" i="1"/>
  <c r="F650" i="1" s="1"/>
  <c r="H154" i="1"/>
  <c r="H161" i="1" s="1"/>
  <c r="H185" i="1" s="1"/>
  <c r="E80" i="2"/>
  <c r="J645" i="1"/>
  <c r="J626" i="1"/>
  <c r="F561" i="1"/>
  <c r="I426" i="1"/>
  <c r="F136" i="2"/>
  <c r="F137" i="2"/>
  <c r="C23" i="10"/>
  <c r="H132" i="1"/>
  <c r="C32" i="10"/>
  <c r="J426" i="1"/>
  <c r="G155" i="2"/>
  <c r="D40" i="2"/>
  <c r="D42" i="2"/>
  <c r="G43" i="1"/>
  <c r="G613" i="1" s="1"/>
  <c r="G37" i="2"/>
  <c r="G22" i="2"/>
  <c r="H41" i="1"/>
  <c r="H43" i="1" s="1"/>
  <c r="G608" i="1"/>
  <c r="C5" i="13" l="1"/>
  <c r="C130" i="2"/>
  <c r="L400" i="1"/>
  <c r="E107" i="2"/>
  <c r="J263" i="1"/>
  <c r="H638" i="1"/>
  <c r="E73" i="2"/>
  <c r="G36" i="2"/>
  <c r="G42" i="2" s="1"/>
  <c r="J43" i="1"/>
  <c r="C42" i="2"/>
  <c r="C43" i="2" s="1"/>
  <c r="I185" i="1"/>
  <c r="G620" i="1" s="1"/>
  <c r="J620" i="1" s="1"/>
  <c r="D96" i="2"/>
  <c r="J539" i="1"/>
  <c r="J542" i="1" s="1"/>
  <c r="L534" i="1"/>
  <c r="E136" i="2"/>
  <c r="H44" i="1"/>
  <c r="H609" i="1" s="1"/>
  <c r="J609" i="1" s="1"/>
  <c r="G614" i="1"/>
  <c r="J638" i="1"/>
  <c r="J33" i="1"/>
  <c r="G24" i="2"/>
  <c r="J637" i="1"/>
  <c r="D43" i="2"/>
  <c r="H542" i="1"/>
  <c r="C48" i="2"/>
  <c r="C55" i="2" s="1"/>
  <c r="F104" i="1"/>
  <c r="F185" i="1" s="1"/>
  <c r="C35" i="10"/>
  <c r="L426" i="1"/>
  <c r="G628" i="1" s="1"/>
  <c r="J628" i="1" s="1"/>
  <c r="C41" i="2"/>
  <c r="F43" i="1"/>
  <c r="F542" i="1"/>
  <c r="K539" i="1"/>
  <c r="K542" i="1" s="1"/>
  <c r="G619" i="1"/>
  <c r="H458" i="1"/>
  <c r="L535" i="1"/>
  <c r="J610" i="1"/>
  <c r="G32" i="2"/>
  <c r="E55" i="2"/>
  <c r="E96" i="2" s="1"/>
  <c r="G96" i="2"/>
  <c r="C8" i="13"/>
  <c r="F96" i="2"/>
  <c r="G185" i="1"/>
  <c r="C133" i="2"/>
  <c r="J634" i="1"/>
  <c r="L330" i="1"/>
  <c r="L354" i="1"/>
  <c r="D119" i="2"/>
  <c r="D120" i="2" s="1"/>
  <c r="D137" i="2" s="1"/>
  <c r="F651" i="1"/>
  <c r="D29" i="13"/>
  <c r="C29" i="13" s="1"/>
  <c r="G651" i="1"/>
  <c r="C18" i="10"/>
  <c r="C122" i="2"/>
  <c r="C104" i="2"/>
  <c r="J18" i="1"/>
  <c r="G18" i="2" s="1"/>
  <c r="G19" i="2" s="1"/>
  <c r="G652" i="1"/>
  <c r="H588" i="1"/>
  <c r="H639" i="1" s="1"/>
  <c r="C112" i="2"/>
  <c r="L239" i="1"/>
  <c r="H650" i="1" s="1"/>
  <c r="H654" i="1" s="1"/>
  <c r="G44" i="1"/>
  <c r="H608" i="1" s="1"/>
  <c r="J608" i="1" s="1"/>
  <c r="E16" i="13"/>
  <c r="C16" i="13" s="1"/>
  <c r="C58" i="2"/>
  <c r="C62" i="2" s="1"/>
  <c r="C73" i="2" s="1"/>
  <c r="F33" i="13"/>
  <c r="C101" i="2"/>
  <c r="L221" i="1"/>
  <c r="C21" i="10"/>
  <c r="C102" i="2"/>
  <c r="J104" i="1"/>
  <c r="J185" i="1" s="1"/>
  <c r="C111" i="2"/>
  <c r="C120" i="2" s="1"/>
  <c r="E124" i="2"/>
  <c r="F113" i="1"/>
  <c r="F132" i="1" s="1"/>
  <c r="C38" i="10" s="1"/>
  <c r="G31" i="13"/>
  <c r="G33" i="13" s="1"/>
  <c r="H25" i="13"/>
  <c r="H534" i="1"/>
  <c r="H535" i="1" s="1"/>
  <c r="J19" i="1"/>
  <c r="G611" i="1" s="1"/>
  <c r="F652" i="1"/>
  <c r="I652" i="1" s="1"/>
  <c r="L343" i="1"/>
  <c r="I450" i="1"/>
  <c r="I451" i="1" s="1"/>
  <c r="H632" i="1" s="1"/>
  <c r="J632" i="1" s="1"/>
  <c r="C29" i="10"/>
  <c r="G639" i="1"/>
  <c r="J639" i="1" s="1"/>
  <c r="E40" i="2"/>
  <c r="E42" i="2" s="1"/>
  <c r="E43" i="2" s="1"/>
  <c r="C19" i="10"/>
  <c r="G635" i="1"/>
  <c r="J635" i="1" s="1"/>
  <c r="D15" i="13"/>
  <c r="C15" i="13" s="1"/>
  <c r="C36" i="10" l="1"/>
  <c r="C41" i="10"/>
  <c r="J44" i="1"/>
  <c r="H611" i="1" s="1"/>
  <c r="J611" i="1" s="1"/>
  <c r="G616" i="1"/>
  <c r="J616" i="1" s="1"/>
  <c r="G621" i="1"/>
  <c r="J621" i="1" s="1"/>
  <c r="G636" i="1"/>
  <c r="J636" i="1" s="1"/>
  <c r="F44" i="1"/>
  <c r="H607" i="1" s="1"/>
  <c r="J607" i="1" s="1"/>
  <c r="G612" i="1"/>
  <c r="C136" i="2"/>
  <c r="C96" i="2"/>
  <c r="H33" i="13"/>
  <c r="C25" i="13"/>
  <c r="I651" i="1"/>
  <c r="F654" i="1"/>
  <c r="H619" i="1"/>
  <c r="J619" i="1" s="1"/>
  <c r="H460" i="1"/>
  <c r="G43" i="2"/>
  <c r="G650" i="1"/>
  <c r="L249" i="1"/>
  <c r="L263" i="1" s="1"/>
  <c r="G458" i="1"/>
  <c r="G618" i="1"/>
  <c r="C107" i="2"/>
  <c r="C137" i="2" s="1"/>
  <c r="G627" i="1"/>
  <c r="J627" i="1" s="1"/>
  <c r="H636" i="1"/>
  <c r="D38" i="10"/>
  <c r="H662" i="1"/>
  <c r="C6" i="10" s="1"/>
  <c r="H657" i="1"/>
  <c r="G625" i="1"/>
  <c r="G462" i="1"/>
  <c r="C27" i="10"/>
  <c r="E33" i="13"/>
  <c r="D35" i="13" s="1"/>
  <c r="F458" i="1"/>
  <c r="G617" i="1"/>
  <c r="D31" i="13"/>
  <c r="C31" i="13" s="1"/>
  <c r="L344" i="1"/>
  <c r="E137" i="2"/>
  <c r="H462" i="1" l="1"/>
  <c r="G623" i="1"/>
  <c r="C28" i="10"/>
  <c r="G464" i="1"/>
  <c r="H625" i="1"/>
  <c r="J625" i="1"/>
  <c r="G460" i="1"/>
  <c r="G466" i="1" s="1"/>
  <c r="H613" i="1" s="1"/>
  <c r="J613" i="1" s="1"/>
  <c r="H618" i="1"/>
  <c r="J618" i="1" s="1"/>
  <c r="G622" i="1"/>
  <c r="F462" i="1"/>
  <c r="F460" i="1"/>
  <c r="H617" i="1"/>
  <c r="J617" i="1" s="1"/>
  <c r="D40" i="10"/>
  <c r="D37" i="10"/>
  <c r="D39" i="10"/>
  <c r="D33" i="13"/>
  <c r="D36" i="13" s="1"/>
  <c r="D36" i="10"/>
  <c r="G654" i="1"/>
  <c r="I650" i="1"/>
  <c r="I654" i="1" s="1"/>
  <c r="F662" i="1"/>
  <c r="C4" i="10" s="1"/>
  <c r="F657" i="1"/>
  <c r="D35" i="10"/>
  <c r="H464" i="1" l="1"/>
  <c r="H466" i="1" s="1"/>
  <c r="H614" i="1" s="1"/>
  <c r="J614" i="1" s="1"/>
  <c r="H623" i="1"/>
  <c r="I662" i="1"/>
  <c r="C7" i="10" s="1"/>
  <c r="I657" i="1"/>
  <c r="F464" i="1"/>
  <c r="H622" i="1"/>
  <c r="G657" i="1"/>
  <c r="G662" i="1"/>
  <c r="C5" i="10" s="1"/>
  <c r="J622" i="1"/>
  <c r="D41" i="10"/>
  <c r="C30" i="10"/>
  <c r="D26" i="10"/>
  <c r="D22" i="10"/>
  <c r="D17" i="10"/>
  <c r="D24" i="10"/>
  <c r="D25" i="10"/>
  <c r="D13" i="10"/>
  <c r="D16" i="10"/>
  <c r="D15" i="10"/>
  <c r="D12" i="10"/>
  <c r="D11" i="10"/>
  <c r="D23" i="10"/>
  <c r="D10" i="10"/>
  <c r="D20" i="10"/>
  <c r="D19" i="10"/>
  <c r="D18" i="10"/>
  <c r="D21" i="10"/>
  <c r="F466" i="1"/>
  <c r="H612" i="1" s="1"/>
  <c r="D27" i="10"/>
  <c r="J623" i="1"/>
  <c r="D28" i="10" l="1"/>
  <c r="J612" i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68415B4-37A2-40C1-B4F5-E62B6AB14261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7D99EEB-876C-44C7-A359-9342D00B3076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00B2628-A501-46B3-A1C6-E8C4F59A5CA8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250878B-490F-430F-B86B-D65C130D3F4D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AFC3AE04-D879-4550-94CC-BD9C5DBC2CFA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4501591-E5CA-4643-92EF-0F88E54F1EF8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FC4DF8D8-6537-441A-A7EC-F62F3A1E473E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4B1EED5B-517E-4C66-A425-24C74010D584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A24FF12E-AA5D-40D8-9AF5-684755074DAB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A81A7673-20DA-456D-BAC8-0B71F609260E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3C7641DB-1FE0-46F5-B43D-1C49D4C4CA41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18566BEB-18D4-49A8-9657-EF004E1880FF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<sst xmlns="http://schemas.openxmlformats.org/spreadsheetml/2006/main" count="3865" uniqueCount="902">
  <si>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</si>
  <si>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</si>
  <si>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</si>
  <si>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</si>
  <si>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</si>
  <si>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</si>
  <si>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</si>
  <si>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</si>
  <si>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</si>
  <si>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</si>
  <si>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</si>
  <si>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</si>
  <si>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</si>
  <si>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</si>
  <si>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</si>
  <si>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</si>
  <si>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</si>
  <si>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</si>
  <si>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</si>
  <si>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</si>
  <si>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</si>
  <si>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</si>
  <si>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</si>
  <si>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</si>
  <si>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</si>
  <si>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</si>
  <si>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</si>
  <si>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</si>
  <si>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</si>
  <si>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</si>
  <si>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</si>
  <si>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</si>
  <si>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</si>
  <si>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</si>
  <si>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</si>
  <si>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</si>
  <si>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</si>
  <si>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</si>
  <si>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</si>
  <si>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</si>
  <si>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</si>
  <si>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</si>
  <si>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</si>
  <si>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</si>
  <si>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</si>
  <si>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</si>
  <si>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</si>
  <si>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</si>
  <si>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</si>
  <si>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</si>
  <si>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</si>
  <si>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</si>
  <si>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</si>
  <si>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</si>
  <si>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</si>
  <si>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</si>
  <si>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</si>
  <si>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</si>
  <si>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</si>
  <si>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</si>
  <si>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</si>
  <si>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</si>
  <si>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</si>
  <si>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</si>
  <si>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</si>
  <si>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</si>
  <si>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</si>
  <si>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</si>
  <si>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</si>
  <si>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</si>
  <si>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</si>
  <si>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</si>
  <si>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</si>
  <si>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</si>
  <si>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</si>
  <si>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</si>
  <si>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</si>
  <si>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</si>
  <si>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</si>
  <si>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</si>
  <si>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</si>
  <si>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</si>
  <si>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</si>
  <si>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</si>
  <si>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</si>
  <si>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</si>
  <si>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</si>
  <si>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</si>
  <si>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</si>
  <si>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</si>
  <si>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</si>
  <si>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</si>
  <si>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</si>
  <si>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</si>
  <si>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</si>
  <si>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</si>
  <si>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</si>
  <si>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</si>
  <si>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</si>
  <si>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</si>
  <si>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</si>
  <si>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</si>
  <si>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</si>
  <si>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</si>
  <si>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</si>
  <si>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</si>
  <si>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</si>
  <si>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</si>
  <si>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</si>
  <si>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</si>
  <si>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</si>
  <si>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</si>
  <si>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</si>
  <si>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</si>
  <si>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</si>
  <si>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</si>
  <si>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</si>
  <si>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</si>
  <si>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</si>
  <si>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</si>
  <si>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</si>
  <si>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</si>
  <si>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</si>
  <si>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</si>
  <si>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</si>
  <si>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</si>
  <si>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</si>
  <si>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</si>
  <si>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</si>
  <si>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</si>
  <si>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</si>
  <si>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</si>
  <si>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</si>
  <si>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</si>
  <si>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</si>
  <si>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</si>
  <si>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</si>
  <si>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</si>
  <si>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</si>
  <si>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</si>
  <si>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</si>
  <si>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</si>
  <si>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</si>
  <si>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</si>
  <si>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</si>
  <si>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</si>
  <si>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</si>
  <si>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</si>
  <si>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</si>
  <si>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</si>
  <si>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</si>
  <si>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</si>
  <si>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</si>
  <si>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</si>
  <si>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</si>
  <si>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</si>
  <si>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</si>
  <si>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</si>
  <si>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</si>
  <si>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</si>
  <si>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</si>
  <si>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</si>
  <si>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</si>
  <si>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</si>
  <si>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</si>
  <si>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</si>
  <si>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</si>
  <si>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</si>
  <si>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</si>
  <si>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</si>
  <si>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</si>
  <si>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</si>
  <si>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</si>
  <si>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</si>
  <si>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</si>
  <si>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</si>
  <si>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</si>
  <si>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</si>
  <si>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</si>
  <si>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</si>
  <si>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</si>
  <si>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</si>
  <si>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</si>
  <si>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</si>
  <si>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</si>
  <si>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</si>
  <si>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</si>
  <si>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</si>
  <si>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</si>
  <si>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</si>
  <si>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</si>
  <si>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</si>
  <si>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</si>
  <si>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</si>
  <si>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</si>
  <si>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</si>
  <si>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</si>
  <si>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</si>
  <si>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</si>
  <si>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</si>
  <si>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</si>
  <si>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</si>
  <si>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</si>
  <si>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</si>
  <si>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</si>
  <si>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</si>
  <si>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</si>
  <si>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</si>
  <si>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</si>
  <si>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</si>
  <si>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</si>
  <si>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</si>
  <si>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</si>
  <si>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</si>
  <si>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</si>
  <si>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</si>
  <si>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</si>
  <si>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</si>
  <si>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</si>
  <si>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</si>
  <si>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</si>
  <si>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</si>
  <si>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</si>
  <si>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</si>
  <si>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</si>
  <si>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</si>
  <si>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</si>
  <si>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</si>
  <si>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</si>
  <si>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</si>
  <si>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</si>
  <si>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</si>
  <si>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</si>
  <si>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</si>
  <si>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</si>
  <si>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</si>
  <si>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</si>
  <si>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</si>
  <si>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</si>
  <si>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</si>
  <si>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</si>
  <si>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</si>
  <si>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</si>
  <si>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</si>
  <si>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</si>
  <si>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</si>
  <si>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</si>
  <si>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</si>
  <si>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</si>
  <si>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</si>
  <si>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</si>
  <si>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</si>
  <si>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</si>
  <si>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</si>
  <si>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</si>
  <si>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</si>
  <si>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</si>
  <si>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</si>
  <si>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</si>
  <si>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</si>
  <si>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</si>
  <si>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</si>
  <si>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</si>
  <si>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</si>
  <si>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</si>
  <si>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</si>
  <si>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</si>
  <si>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</si>
  <si>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</si>
  <si>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</si>
  <si>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</si>
  <si>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</si>
  <si>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</si>
  <si>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</si>
  <si>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</si>
  <si>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</si>
  <si>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</si>
  <si>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</si>
  <si>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</si>
  <si>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</si>
  <si>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</si>
  <si>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</si>
  <si>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</si>
  <si>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</si>
  <si>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</si>
  <si>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</si>
  <si>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</si>
  <si>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</si>
  <si>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</si>
  <si>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</si>
  <si>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</si>
  <si>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</si>
  <si>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</si>
  <si>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</si>
  <si>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</si>
  <si>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</si>
  <si>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</si>
  <si>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</si>
  <si>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</si>
  <si>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</si>
  <si>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</si>
  <si>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</si>
  <si>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</si>
  <si>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</si>
  <si>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</si>
  <si>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</si>
  <si>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</si>
  <si>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</si>
  <si>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</si>
  <si>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</si>
  <si>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</si>
  <si>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</si>
  <si>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</si>
  <si>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</si>
  <si>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</si>
  <si>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</si>
  <si>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</si>
  <si>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</si>
  <si>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</si>
  <si>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</si>
  <si>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</si>
  <si>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</si>
  <si>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</si>
  <si>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</si>
  <si>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</si>
  <si>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</si>
  <si>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</si>
  <si>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</si>
  <si>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</si>
  <si>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</si>
  <si>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</si>
  <si>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</si>
  <si>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</si>
  <si>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</si>
  <si>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</si>
  <si>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</si>
  <si>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</si>
  <si>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</si>
  <si>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</si>
  <si>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</si>
  <si>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</si>
  <si>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</si>
  <si>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</si>
  <si>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</si>
  <si>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</si>
  <si>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</si>
  <si>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</si>
  <si>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</si>
  <si>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</si>
  <si>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</si>
  <si>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</si>
  <si>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</si>
  <si>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</si>
  <si>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</si>
  <si>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</si>
  <si>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</si>
  <si>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</si>
  <si>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</si>
  <si>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</si>
  <si>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</si>
  <si>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</si>
  <si>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</si>
  <si>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</si>
  <si>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</si>
  <si>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</si>
  <si>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</si>
  <si>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</si>
  <si>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</si>
  <si>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</si>
  <si>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</si>
  <si>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</si>
  <si>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</si>
  <si>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</si>
  <si>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</si>
  <si>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</si>
  <si>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</si>
  <si>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</si>
  <si>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</si>
  <si>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</si>
  <si>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</si>
  <si>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</si>
  <si>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</si>
  <si>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</si>
  <si>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</si>
  <si>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</si>
  <si>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</si>
  <si>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</si>
  <si>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</si>
  <si>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</si>
  <si>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</si>
  <si>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</si>
  <si>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</si>
  <si>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</si>
  <si>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</si>
  <si>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</si>
  <si>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</si>
  <si>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</si>
  <si>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</si>
  <si>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</si>
  <si>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</si>
  <si>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</si>
  <si>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</si>
  <si>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</si>
  <si>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</si>
  <si>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</si>
  <si>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</si>
  <si>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</si>
  <si>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</si>
  <si>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</si>
  <si>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</si>
  <si>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</si>
  <si>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</si>
  <si>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</si>
  <si>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</si>
  <si>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</si>
  <si>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</si>
  <si>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</si>
  <si>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</si>
  <si>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</si>
  <si>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</si>
  <si>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</si>
  <si>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</si>
  <si>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</si>
  <si>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</si>
  <si>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</si>
  <si>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</si>
  <si>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</si>
  <si>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</si>
  <si>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</si>
  <si>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</si>
  <si>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</si>
  <si>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</si>
  <si>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</si>
  <si>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</si>
  <si>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</si>
  <si>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</si>
  <si>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</si>
  <si>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</si>
  <si>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</si>
  <si>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</si>
  <si>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</si>
  <si>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</si>
  <si>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</si>
  <si>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</si>
  <si>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</si>
  <si>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</si>
  <si>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</si>
  <si>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</si>
  <si>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</si>
  <si>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</si>
  <si>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</si>
  <si>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</si>
  <si>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</si>
  <si>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</si>
  <si>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</si>
  <si>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</si>
  <si>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</si>
  <si>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</si>
  <si>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</si>
  <si>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</si>
  <si>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</si>
  <si>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</si>
  <si>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</si>
  <si>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</si>
  <si>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</si>
  <si>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</si>
  <si>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</si>
  <si>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</si>
  <si>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</si>
  <si>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</si>
  <si>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</si>
  <si>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</si>
  <si>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</si>
  <si>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</si>
  <si>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</si>
  <si>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</si>
  <si>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</si>
  <si>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</si>
  <si>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</si>
  <si>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</si>
  <si>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</si>
  <si>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</si>
  <si>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</si>
  <si>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</si>
  <si>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</si>
  <si>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</si>
  <si>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</si>
  <si>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</si>
  <si>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</si>
  <si>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</si>
  <si>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</si>
  <si>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</si>
  <si>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</si>
  <si>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</si>
  <si>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</si>
  <si>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</si>
  <si>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</si>
  <si>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</si>
  <si>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</si>
  <si>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</si>
  <si>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</si>
  <si>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</si>
  <si>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</si>
  <si>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</si>
  <si>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</si>
  <si>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</si>
  <si>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</si>
  <si>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</si>
  <si>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</si>
  <si>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</si>
  <si>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</si>
  <si>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</si>
  <si>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</si>
  <si>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</si>
  <si>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</si>
  <si>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</si>
  <si>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</si>
  <si>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</si>
  <si>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</si>
  <si>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</si>
  <si>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</si>
  <si>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</si>
  <si>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</si>
  <si>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</si>
  <si>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</si>
  <si>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</si>
  <si>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</si>
  <si>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</si>
  <si>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</si>
  <si>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</si>
  <si>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</si>
  <si>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</si>
  <si>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</si>
  <si>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</si>
  <si>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</si>
  <si>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</si>
  <si>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</si>
  <si>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</si>
  <si>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</si>
  <si>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</si>
  <si>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</si>
  <si>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</si>
  <si>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</si>
  <si>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</si>
  <si>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</si>
  <si>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</si>
  <si>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</si>
  <si>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</si>
  <si>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</si>
  <si>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</si>
  <si>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</si>
  <si>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</si>
  <si>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</si>
  <si>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</si>
  <si>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</si>
  <si>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</si>
  <si>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</si>
  <si>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</si>
  <si>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</si>
  <si>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</si>
  <si>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</si>
  <si>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</si>
  <si>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</si>
  <si>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</si>
  <si>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</si>
  <si>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</si>
  <si>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</si>
  <si>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</si>
  <si>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</si>
  <si>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</si>
  <si>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</si>
  <si>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</si>
  <si>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</si>
  <si>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</si>
  <si>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</si>
  <si>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</si>
  <si>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</si>
  <si>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</si>
  <si>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</si>
  <si>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</si>
  <si>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</si>
  <si>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</si>
  <si>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</si>
  <si>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</si>
  <si>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</si>
  <si>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</si>
  <si>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</si>
  <si>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</si>
  <si>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</si>
  <si>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</si>
  <si>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</si>
  <si>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</si>
  <si>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</si>
  <si>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</si>
  <si>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</si>
  <si>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</si>
  <si>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</si>
  <si>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</si>
  <si>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</si>
  <si>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</si>
  <si>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</si>
  <si>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</si>
  <si>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</si>
  <si>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</si>
  <si>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</si>
  <si>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</si>
  <si>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</si>
  <si>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</si>
  <si>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</si>
  <si>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</si>
  <si>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</si>
  <si>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</si>
  <si>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</si>
  <si>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</si>
  <si>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</si>
  <si>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</si>
  <si>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</si>
  <si>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</si>
  <si>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</si>
  <si>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</si>
  <si>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</si>
  <si>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</si>
  <si>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</si>
  <si>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</si>
  <si>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</si>
  <si>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</si>
  <si>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</si>
  <si>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</si>
  <si>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</si>
  <si>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</si>
  <si>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</si>
  <si>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</si>
  <si>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</si>
  <si>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</si>
  <si>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</si>
  <si>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</si>
  <si>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</si>
  <si>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</si>
  <si>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</si>
  <si>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</si>
  <si>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</si>
  <si>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</si>
  <si>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</si>
  <si>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</si>
  <si>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</si>
  <si>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</si>
  <si>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</si>
  <si>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</si>
  <si>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</si>
  <si>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</si>
  <si>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</si>
  <si>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</si>
  <si>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</si>
  <si>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</si>
  <si>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</si>
  <si>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</si>
  <si>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</si>
  <si>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</si>
  <si>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</si>
  <si>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</si>
  <si>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</si>
  <si>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</si>
  <si>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</si>
  <si>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</si>
  <si>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</si>
  <si>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</si>
  <si>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</si>
  <si>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</si>
  <si>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</si>
  <si>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</si>
  <si>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</si>
  <si>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</si>
  <si>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</si>
  <si>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</si>
  <si>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</si>
  <si>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</si>
  <si>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</si>
  <si>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</si>
  <si>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</si>
  <si>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</si>
  <si>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</si>
  <si>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</si>
  <si>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</si>
  <si>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</si>
  <si>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</si>
  <si>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</si>
  <si>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</si>
  <si>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</si>
  <si>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</si>
  <si>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</si>
  <si>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</si>
  <si>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</si>
  <si>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</si>
  <si>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</si>
  <si>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</si>
  <si>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</si>
  <si>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</si>
  <si>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</si>
  <si>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</si>
  <si>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</si>
  <si>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</si>
  <si>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</si>
  <si>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</si>
  <si>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</si>
  <si>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</si>
  <si>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</si>
  <si>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</si>
  <si>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</si>
  <si>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</si>
  <si>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</si>
  <si>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</si>
  <si>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</si>
  <si>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</si>
  <si>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</si>
  <si>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</si>
  <si>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</si>
  <si>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</si>
  <si>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</si>
  <si>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</si>
  <si>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</si>
  <si>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</si>
  <si>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</si>
  <si>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</si>
  <si>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</si>
  <si>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</si>
  <si>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</si>
  <si>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</si>
  <si>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</si>
  <si>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</si>
  <si>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</si>
  <si>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</si>
  <si>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</si>
  <si>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</si>
  <si>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</si>
  <si>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</si>
  <si>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</si>
  <si>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</si>
  <si>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</si>
  <si>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</si>
  <si>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</si>
  <si>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</si>
  <si>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</si>
  <si>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</si>
  <si>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</si>
  <si>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</si>
  <si>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</si>
  <si>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</si>
  <si>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</si>
  <si>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</si>
  <si>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</si>
  <si>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</si>
  <si>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</si>
  <si>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</si>
  <si>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</si>
  <si>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</si>
  <si>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</si>
  <si>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</si>
  <si>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</si>
  <si>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</si>
  <si>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</si>
  <si>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</si>
  <si>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</si>
  <si>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</si>
  <si>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</si>
  <si>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</si>
  <si>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</si>
  <si>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</si>
  <si>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</si>
  <si>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</si>
  <si>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</si>
  <si>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</si>
  <si>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</si>
  <si>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</si>
  <si>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</si>
  <si>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</si>
  <si>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</si>
  <si>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</si>
  <si>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</si>
  <si>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</si>
  <si>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</si>
  <si>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</si>
  <si>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</si>
  <si>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</si>
  <si>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</si>
  <si>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</si>
  <si>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</si>
  <si>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</si>
  <si>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</si>
  <si>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</si>
  <si>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</si>
  <si>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</si>
  <si>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</si>
  <si>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</si>
  <si>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</si>
  <si>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</si>
  <si>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</si>
  <si>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</si>
  <si>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</si>
  <si>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</si>
  <si>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</si>
  <si>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</si>
  <si>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</si>
  <si>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</si>
  <si>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</si>
  <si>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</si>
  <si>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</si>
  <si>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</si>
  <si>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</si>
  <si>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</si>
  <si>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</si>
  <si>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</si>
  <si>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</si>
  <si>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</si>
  <si>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</si>
  <si>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</si>
  <si>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</si>
  <si>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</si>
  <si>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</si>
  <si>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</si>
  <si>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</si>
  <si>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</si>
  <si>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</si>
  <si>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</si>
  <si>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</si>
  <si>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</si>
  <si>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</si>
  <si>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</si>
  <si>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</si>
  <si>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</si>
  <si>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</si>
  <si>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</si>
  <si>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</si>
  <si>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</si>
  <si>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</si>
  <si>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</si>
  <si>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</si>
  <si>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</si>
  <si>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</si>
  <si>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</si>
  <si>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</si>
  <si>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</si>
  <si>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</si>
  <si>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</si>
  <si>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</si>
  <si>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</si>
  <si>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</si>
  <si>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</si>
  <si>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</si>
  <si>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</si>
  <si>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</si>
  <si>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</si>
  <si>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</si>
  <si>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</si>
  <si>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</si>
  <si>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</si>
  <si>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</si>
  <si>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</si>
  <si>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</si>
  <si>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</si>
  <si>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</si>
  <si>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</si>
  <si>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</si>
  <si>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</si>
  <si>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</si>
  <si>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</si>
  <si>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</si>
  <si>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</si>
  <si>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</si>
  <si>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</si>
  <si>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</si>
  <si>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</si>
  <si>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</si>
  <si>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</si>
  <si>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</si>
  <si>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</si>
  <si>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</si>
  <si>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</si>
  <si>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</si>
  <si>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</si>
  <si>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</si>
  <si>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</si>
  <si>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</si>
  <si>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</si>
  <si>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</si>
  <si>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</si>
  <si>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</si>
  <si>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</si>
  <si>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</si>
  <si>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</si>
  <si>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</si>
  <si>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</si>
  <si>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</si>
  <si>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</si>
  <si>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</si>
  <si>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07/02</t>
  </si>
  <si>
    <t>07/24</t>
  </si>
  <si>
    <t>Hillsboro-Deering Coop SD</t>
  </si>
  <si>
    <t>Sal &amp; Bene</t>
  </si>
  <si>
    <t xml:space="preserve">Vocational Salary &amp; Bene - formula is wrong - this is pulled from Pg 7 for Other Instructional </t>
  </si>
  <si>
    <t xml:space="preserve">   this is not Vocational </t>
  </si>
  <si>
    <t>This is teacher stipends for After School Activity Clubs</t>
  </si>
  <si>
    <t>This amount is also included in Account Code 1400 - it should be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</si>
</sst>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1" fontId="10" fillId="0" borderId="11" xfId="0" applyNumberFormat="1" applyFon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52F-B1B2-41BD-8F62-90238841C7AF}">
  <sheetPr transitionEvaluation="1" transitionEntry="1" codeName="Sheet1">
    <tabColor indexed="56"/>
  </sheetPr>
  <dimension ref="A1:AQ666"/>
  <sheetViews>
    <sheetView tabSelected="1" zoomScale="86" zoomScaleNormal="86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251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356270+350</f>
        <v>356620</v>
      </c>
      <c r="G9" s="18"/>
      <c r="H9" s="18"/>
      <c r="I9" s="18"/>
      <c r="J9" s="67">
        <f>SUM(I431)</f>
        <v>307601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122744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282478+151334+5257</f>
        <v>439069</v>
      </c>
      <c r="G13" s="18">
        <v>56355</v>
      </c>
      <c r="H13" s="18">
        <v>223825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9711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918433</v>
      </c>
      <c r="G19" s="41">
        <f>SUM(G9:G18)</f>
        <v>66066</v>
      </c>
      <c r="H19" s="41">
        <f>SUM(H9:H18)</f>
        <v>223825</v>
      </c>
      <c r="I19" s="41">
        <f>SUM(I9:I18)</f>
        <v>0</v>
      </c>
      <c r="J19" s="41">
        <f>SUM(J9:J18)</f>
        <v>307601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266241-50000</f>
        <v>216241</v>
      </c>
      <c r="G23" s="18">
        <v>96246</v>
      </c>
      <c r="H23" s="18">
        <v>51153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39779</v>
      </c>
      <c r="G31" s="18"/>
      <c r="H31" s="18">
        <f>266241-50000</f>
        <v>216241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256020</v>
      </c>
      <c r="G33" s="41">
        <f>SUM(G23:G32)</f>
        <v>96246</v>
      </c>
      <c r="H33" s="41">
        <f>SUM(H23:H32)</f>
        <v>267394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441129</v>
      </c>
      <c r="G37" s="18">
        <v>18064</v>
      </c>
      <c r="H37" s="18">
        <f>106925</f>
        <v>106925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50000</v>
      </c>
      <c r="G41" s="18">
        <f>G19-G33-G37</f>
        <v>-48244</v>
      </c>
      <c r="H41" s="18">
        <f>H19-H33-H37</f>
        <v>-150494</v>
      </c>
      <c r="I41" s="18"/>
      <c r="J41" s="13">
        <f>SUM(I449)</f>
        <v>307601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F19-F33-F37-F41</f>
        <v>171284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662413</v>
      </c>
      <c r="G43" s="41">
        <f>SUM(G35:G42)</f>
        <v>-30180</v>
      </c>
      <c r="H43" s="41">
        <f>SUM(H35:H42)</f>
        <v>-43569</v>
      </c>
      <c r="I43" s="41">
        <f>SUM(I35:I42)</f>
        <v>0</v>
      </c>
      <c r="J43" s="41">
        <f>SUM(J35:J42)</f>
        <v>307601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918433</v>
      </c>
      <c r="G44" s="41">
        <f>G43+G33</f>
        <v>66066</v>
      </c>
      <c r="H44" s="41">
        <f>H43+H33</f>
        <v>223825</v>
      </c>
      <c r="I44" s="41">
        <f>I43+I33</f>
        <v>0</v>
      </c>
      <c r="J44" s="41">
        <f>J43+J33</f>
        <v>307601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5701501+2434905</f>
        <v>8136406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8136406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1203990+346681+22531-F61</f>
        <v>1537730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35472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1573202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3315</v>
      </c>
      <c r="G88" s="18"/>
      <c r="H88" s="18"/>
      <c r="I88" s="18"/>
      <c r="J88" s="18">
        <v>564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249009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5000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317698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1841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10156</v>
      </c>
      <c r="G103" s="41">
        <f>SUM(G88:G102)</f>
        <v>249009</v>
      </c>
      <c r="H103" s="41">
        <f>SUM(H88:H102)</f>
        <v>317698</v>
      </c>
      <c r="I103" s="41">
        <f>SUM(I88:I102)</f>
        <v>0</v>
      </c>
      <c r="J103" s="41">
        <f>SUM(J88:J102)</f>
        <v>564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9719764</v>
      </c>
      <c r="G104" s="41">
        <f>G52+G103</f>
        <v>249009</v>
      </c>
      <c r="H104" s="41">
        <f>H52+H71+H86+H103</f>
        <v>317698</v>
      </c>
      <c r="I104" s="41">
        <f>I52+I103</f>
        <v>0</v>
      </c>
      <c r="J104" s="41">
        <f>J52+J103</f>
        <v>564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6186649-F111</f>
        <v>5970114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f>1684836</f>
        <v>1684836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f>216205+330</f>
        <v>216535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7871485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368556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264205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18511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6358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f>2400+2805+2250+2400</f>
        <v>9855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661127</v>
      </c>
      <c r="G128" s="41">
        <f>SUM(G115:G127)</f>
        <v>6358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8532612</v>
      </c>
      <c r="G132" s="41">
        <f>G113+SUM(G128:G129)</f>
        <v>6358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224910+293289+36473+980+9792+4456+7880+48593+3019+2964</f>
        <v>632356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1238063-H146</f>
        <v>605707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299750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102235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102235</v>
      </c>
      <c r="G154" s="41">
        <f>SUM(G142:G153)</f>
        <v>299750</v>
      </c>
      <c r="H154" s="41">
        <f>SUM(H142:H153)</f>
        <v>1238063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102235</v>
      </c>
      <c r="G161" s="41">
        <f>G139+G154+SUM(G155:G160)</f>
        <v>299750</v>
      </c>
      <c r="H161" s="41">
        <f>H139+H154+SUM(H155:H160)</f>
        <v>1238063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52638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14809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14809</v>
      </c>
      <c r="G175" s="41">
        <f>SUM(G171:G174)</f>
        <v>52638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14809</v>
      </c>
      <c r="G184" s="41">
        <f>G175+SUM(G180:G183)</f>
        <v>52638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18369420</v>
      </c>
      <c r="G185" s="47">
        <f>G104+G132+G161+G184</f>
        <v>607755</v>
      </c>
      <c r="H185" s="47">
        <f>H104+H132+H161+H184</f>
        <v>1555761</v>
      </c>
      <c r="I185" s="47">
        <f>I104+I132+I161+I184</f>
        <v>0</v>
      </c>
      <c r="J185" s="47">
        <f>J104+J132+J184</f>
        <v>564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1989816</v>
      </c>
      <c r="G189" s="18">
        <v>770249</v>
      </c>
      <c r="H189" s="4"/>
      <c r="I189" s="18">
        <v>78119</v>
      </c>
      <c r="J189" s="18">
        <v>19231</v>
      </c>
      <c r="K189" s="18">
        <v>384</v>
      </c>
      <c r="L189" s="19">
        <f>SUM(F189:K189)</f>
        <v>2857799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780603</v>
      </c>
      <c r="G190" s="18">
        <v>493106</v>
      </c>
      <c r="H190" s="18">
        <v>45067</v>
      </c>
      <c r="I190" s="18">
        <v>5621</v>
      </c>
      <c r="J190" s="18">
        <v>4499</v>
      </c>
      <c r="K190" s="18"/>
      <c r="L190" s="19">
        <f>SUM(F190:K190)</f>
        <v>1328896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4"/>
      <c r="G191" s="4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5175</v>
      </c>
      <c r="G192" s="18">
        <v>574</v>
      </c>
      <c r="H192" s="18"/>
      <c r="I192" s="18"/>
      <c r="J192" s="18"/>
      <c r="K192" s="18"/>
      <c r="L192" s="19">
        <f>SUM(F192:K192)</f>
        <v>5749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446478</v>
      </c>
      <c r="G194" s="18">
        <v>172202</v>
      </c>
      <c r="H194" s="18">
        <v>35225</v>
      </c>
      <c r="I194" s="18">
        <v>3659</v>
      </c>
      <c r="J194" s="18"/>
      <c r="K194" s="18"/>
      <c r="L194" s="19">
        <f t="shared" ref="L194:L200" si="0">SUM(F194:K194)</f>
        <v>657564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153820</v>
      </c>
      <c r="G195" s="18">
        <v>96066</v>
      </c>
      <c r="H195" s="18">
        <v>25376</v>
      </c>
      <c r="I195" s="18">
        <v>50969</v>
      </c>
      <c r="J195" s="18">
        <v>53601</v>
      </c>
      <c r="K195" s="18">
        <v>100</v>
      </c>
      <c r="L195" s="19">
        <f t="shared" si="0"/>
        <v>379932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3630</v>
      </c>
      <c r="G196" s="18">
        <v>18535</v>
      </c>
      <c r="H196" s="18">
        <v>400454</v>
      </c>
      <c r="I196" s="18">
        <v>1074</v>
      </c>
      <c r="J196" s="18"/>
      <c r="K196" s="18">
        <v>6487</v>
      </c>
      <c r="L196" s="19">
        <f t="shared" si="0"/>
        <v>430180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835+208520</f>
        <v>209355</v>
      </c>
      <c r="G197" s="18">
        <v>93166</v>
      </c>
      <c r="H197" s="18">
        <v>4322</v>
      </c>
      <c r="I197" s="18">
        <v>1864</v>
      </c>
      <c r="J197" s="18"/>
      <c r="K197" s="18">
        <v>1377</v>
      </c>
      <c r="L197" s="19">
        <f t="shared" si="0"/>
        <v>310084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>
        <v>4008</v>
      </c>
      <c r="J198" s="18"/>
      <c r="K198" s="18"/>
      <c r="L198" s="19">
        <f t="shared" si="0"/>
        <v>4008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70513</v>
      </c>
      <c r="G199" s="18">
        <v>28049</v>
      </c>
      <c r="H199" s="18">
        <v>451360</v>
      </c>
      <c r="I199" s="18">
        <v>218745</v>
      </c>
      <c r="J199" s="18">
        <v>155</v>
      </c>
      <c r="K199" s="18"/>
      <c r="L199" s="19">
        <f t="shared" si="0"/>
        <v>768822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264507</v>
      </c>
      <c r="I200" s="18"/>
      <c r="J200" s="18"/>
      <c r="K200" s="18"/>
      <c r="L200" s="19">
        <f t="shared" si="0"/>
        <v>264507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3659390</v>
      </c>
      <c r="G203" s="41">
        <f t="shared" si="1"/>
        <v>1671947</v>
      </c>
      <c r="H203" s="41">
        <f t="shared" si="1"/>
        <v>1226311</v>
      </c>
      <c r="I203" s="41">
        <f t="shared" si="1"/>
        <v>364059</v>
      </c>
      <c r="J203" s="41">
        <f>SUM(J189:J202)</f>
        <v>77486</v>
      </c>
      <c r="K203" s="41">
        <f t="shared" si="1"/>
        <v>8348</v>
      </c>
      <c r="L203" s="41">
        <f t="shared" si="1"/>
        <v>7007541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1214137</v>
      </c>
      <c r="G207" s="18">
        <v>511754</v>
      </c>
      <c r="H207" s="18">
        <v>4564</v>
      </c>
      <c r="I207" s="18">
        <v>59838</v>
      </c>
      <c r="J207" s="18">
        <v>13989</v>
      </c>
      <c r="K207" s="18">
        <v>2787</v>
      </c>
      <c r="L207" s="19">
        <f>SUM(F207:K207)</f>
        <v>1807069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438635</v>
      </c>
      <c r="G208" s="18">
        <v>210379</v>
      </c>
      <c r="H208" s="18">
        <v>147552</v>
      </c>
      <c r="I208" s="18">
        <v>1174</v>
      </c>
      <c r="J208" s="18">
        <v>327</v>
      </c>
      <c r="K208" s="18"/>
      <c r="L208" s="19">
        <f>SUM(F208:K208)</f>
        <v>798067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2150</v>
      </c>
      <c r="G210" s="18">
        <v>290</v>
      </c>
      <c r="H210" s="18">
        <v>30000</v>
      </c>
      <c r="I210" s="18"/>
      <c r="J210" s="18"/>
      <c r="K210" s="18">
        <v>368</v>
      </c>
      <c r="L210" s="19">
        <f>SUM(F210:K210)</f>
        <v>32808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189918</v>
      </c>
      <c r="G212" s="18">
        <v>90387</v>
      </c>
      <c r="H212" s="18">
        <v>20477</v>
      </c>
      <c r="I212" s="18">
        <v>3182</v>
      </c>
      <c r="J212" s="18">
        <v>306</v>
      </c>
      <c r="K212" s="4"/>
      <c r="L212" s="19">
        <f>SUM(F212:J212)</f>
        <v>304270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100547</v>
      </c>
      <c r="G213" s="18">
        <v>80804</v>
      </c>
      <c r="H213" s="18">
        <v>14666</v>
      </c>
      <c r="I213" s="18">
        <v>31836</v>
      </c>
      <c r="J213" s="18">
        <v>31824</v>
      </c>
      <c r="K213" s="18">
        <v>57</v>
      </c>
      <c r="L213" s="19">
        <f t="shared" ref="L213:L218" si="2">SUM(F213:K213)</f>
        <v>259734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2057</v>
      </c>
      <c r="G214" s="18">
        <v>10503</v>
      </c>
      <c r="H214" s="18">
        <v>226924</v>
      </c>
      <c r="I214" s="18">
        <v>608</v>
      </c>
      <c r="J214" s="18"/>
      <c r="K214" s="18">
        <v>3676</v>
      </c>
      <c r="L214" s="19">
        <f t="shared" si="2"/>
        <v>243768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473+204439</f>
        <v>204912</v>
      </c>
      <c r="G215" s="18">
        <v>83046</v>
      </c>
      <c r="H215" s="18">
        <v>6855</v>
      </c>
      <c r="I215" s="18">
        <v>3159</v>
      </c>
      <c r="J215" s="18"/>
      <c r="K215" s="18">
        <v>1063</v>
      </c>
      <c r="L215" s="19">
        <f t="shared" si="2"/>
        <v>299035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>
        <v>2271</v>
      </c>
      <c r="J216" s="18"/>
      <c r="K216" s="18"/>
      <c r="L216" s="19">
        <f t="shared" si="2"/>
        <v>2271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39957</v>
      </c>
      <c r="G217" s="18">
        <v>15894</v>
      </c>
      <c r="H217" s="18">
        <v>255771</v>
      </c>
      <c r="I217" s="18">
        <v>123956</v>
      </c>
      <c r="J217" s="18">
        <v>88</v>
      </c>
      <c r="K217" s="18"/>
      <c r="L217" s="19">
        <f t="shared" si="2"/>
        <v>435666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172338</v>
      </c>
      <c r="I218" s="18"/>
      <c r="J218" s="18"/>
      <c r="K218" s="18"/>
      <c r="L218" s="19">
        <f t="shared" si="2"/>
        <v>172338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2192313</v>
      </c>
      <c r="G221" s="41">
        <f>SUM(G207:G220)</f>
        <v>1003057</v>
      </c>
      <c r="H221" s="41">
        <f>SUM(H207:H220)</f>
        <v>879147</v>
      </c>
      <c r="I221" s="41">
        <f>SUM(I207:I220)</f>
        <v>226024</v>
      </c>
      <c r="J221" s="41">
        <f>SUM(J207:J220)</f>
        <v>46534</v>
      </c>
      <c r="K221" s="41">
        <f t="shared" si="3"/>
        <v>7951</v>
      </c>
      <c r="L221" s="41">
        <f t="shared" si="3"/>
        <v>4355026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1721589</v>
      </c>
      <c r="G225" s="18">
        <v>791599</v>
      </c>
      <c r="H225" s="18">
        <v>32105</v>
      </c>
      <c r="I225" s="18">
        <v>76882</v>
      </c>
      <c r="J225" s="18">
        <v>9152</v>
      </c>
      <c r="K225" s="18">
        <v>8145</v>
      </c>
      <c r="L225" s="19">
        <f>SUM(F225:K225)</f>
        <v>2639472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682270</v>
      </c>
      <c r="G226" s="18">
        <v>381092</v>
      </c>
      <c r="H226" s="18">
        <v>430885</v>
      </c>
      <c r="I226" s="18">
        <v>14433</v>
      </c>
      <c r="J226" s="18">
        <v>1120</v>
      </c>
      <c r="K226" s="18"/>
      <c r="L226" s="19">
        <f>SUM(F226:K226)</f>
        <v>1509800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39172</v>
      </c>
      <c r="I227" s="18"/>
      <c r="J227" s="18"/>
      <c r="K227" s="18"/>
      <c r="L227" s="19">
        <f>SUM(F227:K227)</f>
        <v>39172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82100</v>
      </c>
      <c r="G228" s="18">
        <v>9809</v>
      </c>
      <c r="H228" s="18">
        <v>18500</v>
      </c>
      <c r="I228" s="18">
        <v>10772</v>
      </c>
      <c r="J228" s="18">
        <v>12522</v>
      </c>
      <c r="K228" s="18">
        <v>10499</v>
      </c>
      <c r="L228" s="19">
        <f>SUM(F228:K228)</f>
        <v>144202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264922</v>
      </c>
      <c r="G230" s="18">
        <v>79939</v>
      </c>
      <c r="H230" s="18">
        <v>33347</v>
      </c>
      <c r="I230" s="18">
        <v>3834</v>
      </c>
      <c r="J230" s="18">
        <v>418</v>
      </c>
      <c r="K230" s="18"/>
      <c r="L230" s="19">
        <f t="shared" ref="L230:L236" si="4">SUM(F230:K230)</f>
        <v>382460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114842</v>
      </c>
      <c r="G231" s="18">
        <v>76278</v>
      </c>
      <c r="H231" s="18">
        <v>20588</v>
      </c>
      <c r="I231" s="18">
        <v>44757</v>
      </c>
      <c r="J231" s="18">
        <v>50959</v>
      </c>
      <c r="K231" s="18">
        <v>308</v>
      </c>
      <c r="L231" s="19">
        <f t="shared" si="4"/>
        <v>307732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3013</v>
      </c>
      <c r="G232" s="18">
        <v>15381</v>
      </c>
      <c r="H232" s="18">
        <v>332306</v>
      </c>
      <c r="I232" s="18">
        <v>891</v>
      </c>
      <c r="J232" s="18"/>
      <c r="K232" s="18">
        <v>5383</v>
      </c>
      <c r="L232" s="19">
        <f t="shared" si="4"/>
        <v>356974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692+270682</f>
        <v>271374</v>
      </c>
      <c r="G233" s="18">
        <v>88802</v>
      </c>
      <c r="H233" s="18">
        <v>12453</v>
      </c>
      <c r="I233" s="18">
        <v>3339</v>
      </c>
      <c r="J233" s="18">
        <v>670</v>
      </c>
      <c r="K233" s="18">
        <v>9900</v>
      </c>
      <c r="L233" s="19">
        <f t="shared" si="4"/>
        <v>386538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>
        <v>3326</v>
      </c>
      <c r="J234" s="18"/>
      <c r="K234" s="18"/>
      <c r="L234" s="19">
        <f t="shared" si="4"/>
        <v>3326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58514</v>
      </c>
      <c r="G235" s="18">
        <v>23275</v>
      </c>
      <c r="H235" s="18">
        <v>429654</v>
      </c>
      <c r="I235" s="18">
        <v>200710</v>
      </c>
      <c r="J235" s="18">
        <v>128</v>
      </c>
      <c r="K235" s="18"/>
      <c r="L235" s="19">
        <f t="shared" si="4"/>
        <v>712281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290662</v>
      </c>
      <c r="I236" s="18"/>
      <c r="J236" s="18"/>
      <c r="K236" s="18"/>
      <c r="L236" s="19">
        <f t="shared" si="4"/>
        <v>290662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3198624</v>
      </c>
      <c r="G239" s="41">
        <f t="shared" si="5"/>
        <v>1466175</v>
      </c>
      <c r="H239" s="41">
        <f t="shared" si="5"/>
        <v>1639672</v>
      </c>
      <c r="I239" s="41">
        <f t="shared" si="5"/>
        <v>358944</v>
      </c>
      <c r="J239" s="41">
        <f t="shared" si="5"/>
        <v>74969</v>
      </c>
      <c r="K239" s="41">
        <f t="shared" si="5"/>
        <v>34235</v>
      </c>
      <c r="L239" s="41">
        <f t="shared" si="5"/>
        <v>6772619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9050327</v>
      </c>
      <c r="G249" s="41">
        <f t="shared" si="8"/>
        <v>4141179</v>
      </c>
      <c r="H249" s="41">
        <f t="shared" si="8"/>
        <v>3745130</v>
      </c>
      <c r="I249" s="41">
        <f t="shared" si="8"/>
        <v>949027</v>
      </c>
      <c r="J249" s="41">
        <f t="shared" si="8"/>
        <v>198989</v>
      </c>
      <c r="K249" s="41">
        <f t="shared" si="8"/>
        <v>50534</v>
      </c>
      <c r="L249" s="41">
        <f t="shared" si="8"/>
        <v>18135186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740000</v>
      </c>
      <c r="L252" s="19">
        <f>SUM(F252:K252)</f>
        <v>740000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413203</v>
      </c>
      <c r="L253" s="19">
        <f>SUM(F253:K253)</f>
        <v>413203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52638</v>
      </c>
      <c r="L255" s="19">
        <f>SUM(F255:K255)</f>
        <v>52638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1205841</v>
      </c>
      <c r="L262" s="41">
        <f t="shared" si="9"/>
        <v>1205841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9050327</v>
      </c>
      <c r="G263" s="42">
        <f t="shared" si="11"/>
        <v>4141179</v>
      </c>
      <c r="H263" s="42">
        <f t="shared" si="11"/>
        <v>3745130</v>
      </c>
      <c r="I263" s="42">
        <f t="shared" si="11"/>
        <v>949027</v>
      </c>
      <c r="J263" s="42">
        <f t="shared" si="11"/>
        <v>198989</v>
      </c>
      <c r="K263" s="42">
        <f t="shared" si="11"/>
        <v>1256375</v>
      </c>
      <c r="L263" s="42">
        <f t="shared" si="11"/>
        <v>19341027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647272</v>
      </c>
      <c r="G268" s="18">
        <v>147743</v>
      </c>
      <c r="H268" s="18">
        <v>217946</v>
      </c>
      <c r="I268" s="18">
        <v>104957</v>
      </c>
      <c r="J268" s="18">
        <v>80326</v>
      </c>
      <c r="K268" s="18">
        <v>14809</v>
      </c>
      <c r="L268" s="19">
        <f>SUM(F268:K268)</f>
        <v>1213053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647272</v>
      </c>
      <c r="G282" s="42">
        <f t="shared" si="13"/>
        <v>147743</v>
      </c>
      <c r="H282" s="42">
        <f t="shared" si="13"/>
        <v>217946</v>
      </c>
      <c r="I282" s="42">
        <f t="shared" si="13"/>
        <v>104957</v>
      </c>
      <c r="J282" s="42">
        <f t="shared" si="13"/>
        <v>80326</v>
      </c>
      <c r="K282" s="42">
        <f t="shared" si="13"/>
        <v>14809</v>
      </c>
      <c r="L282" s="41">
        <f t="shared" si="13"/>
        <v>1213053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76443</v>
      </c>
      <c r="G287" s="18">
        <v>16283</v>
      </c>
      <c r="H287" s="18">
        <v>12067</v>
      </c>
      <c r="I287" s="18">
        <v>8802</v>
      </c>
      <c r="J287" s="18">
        <v>676</v>
      </c>
      <c r="K287" s="18"/>
      <c r="L287" s="19">
        <f>SUM(F287:K287)</f>
        <v>114271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76443</v>
      </c>
      <c r="G301" s="42">
        <f t="shared" si="15"/>
        <v>16283</v>
      </c>
      <c r="H301" s="42">
        <f t="shared" si="15"/>
        <v>12067</v>
      </c>
      <c r="I301" s="42">
        <f t="shared" si="15"/>
        <v>8802</v>
      </c>
      <c r="J301" s="42">
        <f t="shared" si="15"/>
        <v>676</v>
      </c>
      <c r="K301" s="42">
        <f t="shared" si="15"/>
        <v>0</v>
      </c>
      <c r="L301" s="41">
        <f t="shared" si="15"/>
        <v>114271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28155</v>
      </c>
      <c r="G306" s="18">
        <v>3993</v>
      </c>
      <c r="H306" s="18">
        <v>0</v>
      </c>
      <c r="I306" s="18">
        <v>41150</v>
      </c>
      <c r="J306" s="18"/>
      <c r="K306" s="18"/>
      <c r="L306" s="19">
        <f>SUM(F306:K306)</f>
        <v>73298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28155</v>
      </c>
      <c r="G320" s="42">
        <f t="shared" si="17"/>
        <v>3993</v>
      </c>
      <c r="H320" s="42">
        <f t="shared" si="17"/>
        <v>0</v>
      </c>
      <c r="I320" s="42">
        <f t="shared" si="17"/>
        <v>41150</v>
      </c>
      <c r="J320" s="42">
        <f t="shared" si="17"/>
        <v>0</v>
      </c>
      <c r="K320" s="42">
        <f t="shared" si="17"/>
        <v>0</v>
      </c>
      <c r="L320" s="41">
        <f t="shared" si="17"/>
        <v>73298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751870</v>
      </c>
      <c r="G330" s="41">
        <f t="shared" si="20"/>
        <v>168019</v>
      </c>
      <c r="H330" s="41">
        <f t="shared" si="20"/>
        <v>230013</v>
      </c>
      <c r="I330" s="41">
        <f t="shared" si="20"/>
        <v>154909</v>
      </c>
      <c r="J330" s="41">
        <f t="shared" si="20"/>
        <v>81002</v>
      </c>
      <c r="K330" s="41">
        <f t="shared" si="20"/>
        <v>14809</v>
      </c>
      <c r="L330" s="41">
        <f t="shared" si="20"/>
        <v>1400622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751870</v>
      </c>
      <c r="G344" s="41">
        <f>G330</f>
        <v>168019</v>
      </c>
      <c r="H344" s="41">
        <f>H330</f>
        <v>230013</v>
      </c>
      <c r="I344" s="41">
        <f>I330</f>
        <v>154909</v>
      </c>
      <c r="J344" s="41">
        <f>J330</f>
        <v>81002</v>
      </c>
      <c r="K344" s="47">
        <f>K330+K343</f>
        <v>14809</v>
      </c>
      <c r="L344" s="41">
        <f>L330+L343</f>
        <v>1400622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21206+56907</f>
        <v>78113</v>
      </c>
      <c r="G350" s="18">
        <v>29444</v>
      </c>
      <c r="H350" s="18"/>
      <c r="I350" s="18">
        <v>107230</v>
      </c>
      <c r="J350" s="18">
        <v>2587</v>
      </c>
      <c r="K350" s="18"/>
      <c r="L350" s="13">
        <f>SUM(F350:K350)</f>
        <v>217374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12021+52404</f>
        <v>64425</v>
      </c>
      <c r="G351" s="18">
        <v>30381</v>
      </c>
      <c r="H351" s="18"/>
      <c r="I351" s="18">
        <v>95502</v>
      </c>
      <c r="J351" s="18">
        <v>1466</v>
      </c>
      <c r="K351" s="18"/>
      <c r="L351" s="19">
        <f>SUM(F351:K351)</f>
        <v>191774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17602+57844</f>
        <v>75446</v>
      </c>
      <c r="G352" s="18">
        <v>45127</v>
      </c>
      <c r="H352" s="18"/>
      <c r="I352" s="18">
        <v>97335</v>
      </c>
      <c r="J352" s="18">
        <v>2147</v>
      </c>
      <c r="K352" s="18"/>
      <c r="L352" s="19">
        <f>SUM(F352:K352)</f>
        <v>220055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217984</v>
      </c>
      <c r="G354" s="47">
        <f t="shared" si="22"/>
        <v>104952</v>
      </c>
      <c r="H354" s="47">
        <f t="shared" si="22"/>
        <v>0</v>
      </c>
      <c r="I354" s="47">
        <f t="shared" si="22"/>
        <v>300067</v>
      </c>
      <c r="J354" s="47">
        <f t="shared" si="22"/>
        <v>6200</v>
      </c>
      <c r="K354" s="47">
        <f t="shared" si="22"/>
        <v>0</v>
      </c>
      <c r="L354" s="47">
        <f t="shared" si="22"/>
        <v>629203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I350-F360</f>
        <v>90026</v>
      </c>
      <c r="G359" s="18">
        <f>I351-G360</f>
        <v>77614</v>
      </c>
      <c r="H359" s="18">
        <f>I352-H360</f>
        <v>79442</v>
      </c>
      <c r="I359" s="56">
        <f>SUM(F359:H359)</f>
        <v>247082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17204</v>
      </c>
      <c r="G360" s="63">
        <v>17888</v>
      </c>
      <c r="H360" s="63">
        <v>17893</v>
      </c>
      <c r="I360" s="56">
        <f>SUM(F360:H360)</f>
        <v>52985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107230</v>
      </c>
      <c r="G361" s="47">
        <f>SUM(G359:G360)</f>
        <v>95502</v>
      </c>
      <c r="H361" s="47">
        <f>SUM(H359:H360)</f>
        <v>97335</v>
      </c>
      <c r="I361" s="47">
        <f>SUM(I359:I360)</f>
        <v>300067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336</v>
      </c>
      <c r="I388" s="18"/>
      <c r="J388" s="24" t="s">
        <v>312</v>
      </c>
      <c r="K388" s="24" t="s">
        <v>312</v>
      </c>
      <c r="L388" s="56">
        <f t="shared" si="26"/>
        <v>336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154</v>
      </c>
      <c r="I389" s="18"/>
      <c r="J389" s="24" t="s">
        <v>312</v>
      </c>
      <c r="K389" s="24" t="s">
        <v>312</v>
      </c>
      <c r="L389" s="56">
        <f t="shared" si="26"/>
        <v>154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74</v>
      </c>
      <c r="I392" s="18"/>
      <c r="J392" s="24" t="s">
        <v>312</v>
      </c>
      <c r="K392" s="24" t="s">
        <v>312</v>
      </c>
      <c r="L392" s="56">
        <f t="shared" si="26"/>
        <v>74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564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564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564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564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307601</v>
      </c>
      <c r="H431" s="18"/>
      <c r="I431" s="56">
        <f t="shared" ref="I431:I437" si="33">SUM(F431:H431)</f>
        <v>307601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307601</v>
      </c>
      <c r="H438" s="13">
        <f>SUM(H431:H437)</f>
        <v>0</v>
      </c>
      <c r="I438" s="13">
        <f>SUM(I431:I437)</f>
        <v>307601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307601</v>
      </c>
      <c r="H449" s="18"/>
      <c r="I449" s="56">
        <f>SUM(F449:H449)</f>
        <v>307601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307601</v>
      </c>
      <c r="H450" s="83">
        <f>SUM(H446:H449)</f>
        <v>0</v>
      </c>
      <c r="I450" s="83">
        <f>SUM(I446:I449)</f>
        <v>307601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307601</v>
      </c>
      <c r="H451" s="42">
        <f>H444+H450</f>
        <v>0</v>
      </c>
      <c r="I451" s="42">
        <f>I444+I450</f>
        <v>307601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f>1565285+18735+50000</f>
        <v>1634020</v>
      </c>
      <c r="G455" s="18">
        <v>-8732</v>
      </c>
      <c r="H455" s="18">
        <f>-248708+50000</f>
        <v>-198708</v>
      </c>
      <c r="I455" s="18"/>
      <c r="J455" s="18">
        <v>307037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18369420</v>
      </c>
      <c r="G458" s="18">
        <f>G185</f>
        <v>607755</v>
      </c>
      <c r="H458" s="18">
        <f>H185</f>
        <v>1555761</v>
      </c>
      <c r="I458" s="18"/>
      <c r="J458" s="18">
        <v>564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18369420</v>
      </c>
      <c r="G460" s="53">
        <f>SUM(G458:G459)</f>
        <v>607755</v>
      </c>
      <c r="H460" s="53">
        <f>SUM(H458:H459)</f>
        <v>1555761</v>
      </c>
      <c r="I460" s="53">
        <f>SUM(I458:I459)</f>
        <v>0</v>
      </c>
      <c r="J460" s="53">
        <f>SUM(J458:J459)</f>
        <v>564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19341027</v>
      </c>
      <c r="G462" s="18">
        <f>L354</f>
        <v>629203</v>
      </c>
      <c r="H462" s="18">
        <f>L344</f>
        <v>1400622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19341027</v>
      </c>
      <c r="G464" s="53">
        <f>SUM(G462:G463)</f>
        <v>629203</v>
      </c>
      <c r="H464" s="53">
        <f>SUM(H462:H463)</f>
        <v>1400622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662413</v>
      </c>
      <c r="G466" s="53">
        <f>(G455+G460)- G464</f>
        <v>-30180</v>
      </c>
      <c r="H466" s="53">
        <f>(H455+H460)- H464</f>
        <v>-43569</v>
      </c>
      <c r="I466" s="53">
        <f>(I455+I460)- I464</f>
        <v>0</v>
      </c>
      <c r="J466" s="53">
        <f>(J455+J460)- J464</f>
        <v>307601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14750000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10310000</v>
      </c>
      <c r="G485" s="18"/>
      <c r="H485" s="18"/>
      <c r="I485" s="18"/>
      <c r="J485" s="18"/>
      <c r="K485" s="53">
        <f>SUM(F485:J485)</f>
        <v>10310000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740000</v>
      </c>
      <c r="G487" s="18"/>
      <c r="H487" s="18"/>
      <c r="I487" s="18"/>
      <c r="J487" s="18"/>
      <c r="K487" s="53">
        <f t="shared" si="34"/>
        <v>740000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9570000</v>
      </c>
      <c r="G488" s="205"/>
      <c r="H488" s="205"/>
      <c r="I488" s="205"/>
      <c r="J488" s="205"/>
      <c r="K488" s="206">
        <f t="shared" si="34"/>
        <v>9570000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2804925-413203</f>
        <v>2391722</v>
      </c>
      <c r="G489" s="18"/>
      <c r="H489" s="18"/>
      <c r="I489" s="18"/>
      <c r="J489" s="18"/>
      <c r="K489" s="53">
        <f t="shared" si="34"/>
        <v>2391722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11961722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11961722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740000</v>
      </c>
      <c r="G491" s="205"/>
      <c r="H491" s="205"/>
      <c r="I491" s="205"/>
      <c r="J491" s="205"/>
      <c r="K491" s="206">
        <f t="shared" si="34"/>
        <v>740000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383603</v>
      </c>
      <c r="G492" s="18"/>
      <c r="H492" s="18"/>
      <c r="I492" s="18"/>
      <c r="J492" s="18"/>
      <c r="K492" s="53">
        <f t="shared" si="34"/>
        <v>383603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1123603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1123603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780603</v>
      </c>
      <c r="G511" s="18">
        <v>493106</v>
      </c>
      <c r="H511" s="18">
        <v>45067</v>
      </c>
      <c r="I511" s="18">
        <v>5621</v>
      </c>
      <c r="J511" s="18">
        <v>4499</v>
      </c>
      <c r="K511" s="18"/>
      <c r="L511" s="88">
        <f>SUM(F511:K511)</f>
        <v>1328896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438635</v>
      </c>
      <c r="G512" s="18">
        <v>210379</v>
      </c>
      <c r="H512" s="18">
        <v>147552</v>
      </c>
      <c r="I512" s="18">
        <v>1174</v>
      </c>
      <c r="J512" s="18">
        <v>327</v>
      </c>
      <c r="K512" s="18"/>
      <c r="L512" s="88">
        <f>SUM(F512:K512)</f>
        <v>798067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682270</v>
      </c>
      <c r="G513" s="18">
        <v>381092</v>
      </c>
      <c r="H513" s="18">
        <v>430885</v>
      </c>
      <c r="I513" s="18">
        <v>14433</v>
      </c>
      <c r="J513" s="18">
        <v>1120</v>
      </c>
      <c r="K513" s="18"/>
      <c r="L513" s="88">
        <f>SUM(F513:K513)</f>
        <v>1509800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1901508</v>
      </c>
      <c r="G514" s="108">
        <f t="shared" ref="G514:L514" si="35">SUM(G511:G513)</f>
        <v>1084577</v>
      </c>
      <c r="H514" s="108">
        <f t="shared" si="35"/>
        <v>623504</v>
      </c>
      <c r="I514" s="108">
        <f t="shared" si="35"/>
        <v>21228</v>
      </c>
      <c r="J514" s="108">
        <f t="shared" si="35"/>
        <v>5946</v>
      </c>
      <c r="K514" s="108">
        <f t="shared" si="35"/>
        <v>0</v>
      </c>
      <c r="L514" s="89">
        <f t="shared" si="35"/>
        <v>3636763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276823</v>
      </c>
      <c r="G516" s="18">
        <v>116446</v>
      </c>
      <c r="H516" s="18">
        <v>602</v>
      </c>
      <c r="I516" s="18">
        <v>1146</v>
      </c>
      <c r="J516" s="18"/>
      <c r="K516" s="18"/>
      <c r="L516" s="88">
        <f>SUM(F516:K516)</f>
        <v>395017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85048</v>
      </c>
      <c r="G517" s="18">
        <v>34913</v>
      </c>
      <c r="H517" s="18">
        <v>341</v>
      </c>
      <c r="I517" s="18">
        <v>508</v>
      </c>
      <c r="J517" s="18">
        <v>306</v>
      </c>
      <c r="K517" s="18"/>
      <c r="L517" s="88">
        <f>SUM(F517:K517)</f>
        <v>121116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123607</v>
      </c>
      <c r="G518" s="18">
        <v>35814</v>
      </c>
      <c r="H518" s="18">
        <v>500</v>
      </c>
      <c r="I518" s="18">
        <v>496</v>
      </c>
      <c r="J518" s="18"/>
      <c r="K518" s="18"/>
      <c r="L518" s="88">
        <f>SUM(F518:K518)</f>
        <v>160417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485478</v>
      </c>
      <c r="G519" s="89">
        <f t="shared" ref="G519:L519" si="36">SUM(G516:G518)</f>
        <v>187173</v>
      </c>
      <c r="H519" s="89">
        <f t="shared" si="36"/>
        <v>1443</v>
      </c>
      <c r="I519" s="89">
        <f t="shared" si="36"/>
        <v>2150</v>
      </c>
      <c r="J519" s="89">
        <f t="shared" si="36"/>
        <v>306</v>
      </c>
      <c r="K519" s="89">
        <f t="shared" si="36"/>
        <v>0</v>
      </c>
      <c r="L519" s="89">
        <f t="shared" si="36"/>
        <v>676550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133771</v>
      </c>
      <c r="G521" s="18">
        <v>37794</v>
      </c>
      <c r="H521" s="18">
        <v>1132</v>
      </c>
      <c r="I521" s="18"/>
      <c r="J521" s="18"/>
      <c r="K521" s="18"/>
      <c r="L521" s="88">
        <f>SUM(F521:K521)</f>
        <v>172697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75804</v>
      </c>
      <c r="G522" s="18">
        <v>21416</v>
      </c>
      <c r="H522" s="18">
        <v>642</v>
      </c>
      <c r="I522" s="18"/>
      <c r="J522" s="18"/>
      <c r="K522" s="18"/>
      <c r="L522" s="88">
        <f>SUM(F522:K522)</f>
        <v>97862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111006</v>
      </c>
      <c r="G523" s="18">
        <v>31362</v>
      </c>
      <c r="H523" s="18">
        <v>940</v>
      </c>
      <c r="I523" s="18"/>
      <c r="J523" s="18"/>
      <c r="K523" s="18"/>
      <c r="L523" s="88">
        <f>SUM(F523:K523)</f>
        <v>143308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320581</v>
      </c>
      <c r="G524" s="89">
        <f t="shared" ref="G524:L524" si="37">SUM(G521:G523)</f>
        <v>90572</v>
      </c>
      <c r="H524" s="89">
        <f t="shared" si="37"/>
        <v>2714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413867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H582</f>
        <v>61075</v>
      </c>
      <c r="I531" s="18"/>
      <c r="J531" s="18"/>
      <c r="K531" s="18"/>
      <c r="L531" s="88">
        <f>SUM(F531:K531)</f>
        <v>61075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I582</f>
        <v>34340</v>
      </c>
      <c r="I532" s="18"/>
      <c r="J532" s="18"/>
      <c r="K532" s="18"/>
      <c r="L532" s="88">
        <f>SUM(F532:K532)</f>
        <v>34340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J582</f>
        <v>50287</v>
      </c>
      <c r="I533" s="18"/>
      <c r="J533" s="18"/>
      <c r="K533" s="18"/>
      <c r="L533" s="88">
        <f>SUM(F533:K533)</f>
        <v>50287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145702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145702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2707567</v>
      </c>
      <c r="G535" s="89">
        <f t="shared" ref="G535:L535" si="40">G514+G519+G524+G529+G534</f>
        <v>1362322</v>
      </c>
      <c r="H535" s="89">
        <f t="shared" si="40"/>
        <v>773363</v>
      </c>
      <c r="I535" s="89">
        <f t="shared" si="40"/>
        <v>23378</v>
      </c>
      <c r="J535" s="89">
        <f t="shared" si="40"/>
        <v>6252</v>
      </c>
      <c r="K535" s="89">
        <f t="shared" si="40"/>
        <v>0</v>
      </c>
      <c r="L535" s="89">
        <f t="shared" si="40"/>
        <v>4872882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1328896</v>
      </c>
      <c r="G539" s="87">
        <f>L516</f>
        <v>395017</v>
      </c>
      <c r="H539" s="87">
        <f>L521</f>
        <v>172697</v>
      </c>
      <c r="I539" s="87">
        <f>L526</f>
        <v>0</v>
      </c>
      <c r="J539" s="87">
        <f>L531</f>
        <v>61075</v>
      </c>
      <c r="K539" s="87">
        <f>SUM(F539:J539)</f>
        <v>1957685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798067</v>
      </c>
      <c r="G540" s="87">
        <f>L517</f>
        <v>121116</v>
      </c>
      <c r="H540" s="87">
        <f>L522</f>
        <v>97862</v>
      </c>
      <c r="I540" s="87">
        <f>L527</f>
        <v>0</v>
      </c>
      <c r="J540" s="87">
        <f>L532</f>
        <v>34340</v>
      </c>
      <c r="K540" s="87">
        <f>SUM(F540:J540)</f>
        <v>1051385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1509800</v>
      </c>
      <c r="G541" s="87">
        <f>L518</f>
        <v>160417</v>
      </c>
      <c r="H541" s="87">
        <f>L523</f>
        <v>143308</v>
      </c>
      <c r="I541" s="87">
        <f>L528</f>
        <v>0</v>
      </c>
      <c r="J541" s="87">
        <f>L533</f>
        <v>50287</v>
      </c>
      <c r="K541" s="87">
        <f>SUM(F541:J541)</f>
        <v>1863812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3636763</v>
      </c>
      <c r="G542" s="89">
        <f t="shared" si="41"/>
        <v>676550</v>
      </c>
      <c r="H542" s="89">
        <f t="shared" si="41"/>
        <v>413867</v>
      </c>
      <c r="I542" s="89">
        <f t="shared" si="41"/>
        <v>0</v>
      </c>
      <c r="J542" s="89">
        <f t="shared" si="41"/>
        <v>145702</v>
      </c>
      <c r="K542" s="89">
        <f t="shared" si="41"/>
        <v>4872882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12682</v>
      </c>
      <c r="I565" s="87">
        <f>SUM(F565:H565)</f>
        <v>12682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11186</v>
      </c>
      <c r="G572" s="18">
        <v>146664</v>
      </c>
      <c r="H572" s="18">
        <v>422063</v>
      </c>
      <c r="I572" s="87">
        <f t="shared" si="46"/>
        <v>579913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39172</v>
      </c>
      <c r="I574" s="87">
        <f t="shared" si="46"/>
        <v>39172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193486</v>
      </c>
      <c r="I581" s="18">
        <v>109642</v>
      </c>
      <c r="J581" s="18">
        <v>160559</v>
      </c>
      <c r="K581" s="104">
        <f t="shared" ref="K581:K587" si="47">SUM(H581:J581)</f>
        <v>463687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60599+475+1</f>
        <v>61075</v>
      </c>
      <c r="I582" s="18">
        <v>34340</v>
      </c>
      <c r="J582" s="18">
        <v>50287</v>
      </c>
      <c r="K582" s="104">
        <f t="shared" si="47"/>
        <v>145702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43660</v>
      </c>
      <c r="K583" s="104">
        <f t="shared" si="47"/>
        <v>43660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>
        <v>29112</v>
      </c>
      <c r="K584" s="104">
        <f t="shared" si="47"/>
        <v>29112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8242+1704</f>
        <v>9946</v>
      </c>
      <c r="I585" s="18">
        <v>28356</v>
      </c>
      <c r="J585" s="18">
        <f>6023+1020+1</f>
        <v>7044</v>
      </c>
      <c r="K585" s="104">
        <f t="shared" si="47"/>
        <v>45346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264507</v>
      </c>
      <c r="I588" s="108">
        <f>SUM(I581:I587)</f>
        <v>172338</v>
      </c>
      <c r="J588" s="108">
        <f>SUM(J581:J587)</f>
        <v>290662</v>
      </c>
      <c r="K588" s="108">
        <f>SUM(K581:K587)</f>
        <v>727507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157812</v>
      </c>
      <c r="I594" s="18">
        <v>47210</v>
      </c>
      <c r="J594" s="18">
        <v>74969</v>
      </c>
      <c r="K594" s="104">
        <f>SUM(H594:J594)</f>
        <v>279991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157812</v>
      </c>
      <c r="I595" s="108">
        <f>SUM(I592:I594)</f>
        <v>47210</v>
      </c>
      <c r="J595" s="108">
        <f>SUM(J592:J594)</f>
        <v>74969</v>
      </c>
      <c r="K595" s="108">
        <f>SUM(K592:K594)</f>
        <v>279991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918433</v>
      </c>
      <c r="H607" s="109">
        <f>SUM(F44)</f>
        <v>918433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66066</v>
      </c>
      <c r="H608" s="109">
        <f>SUM(G44)</f>
        <v>66066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223825</v>
      </c>
      <c r="H609" s="109">
        <f>SUM(H44)</f>
        <v>223825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307601</v>
      </c>
      <c r="H611" s="109">
        <f>SUM(J44)</f>
        <v>307601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662413</v>
      </c>
      <c r="H612" s="109">
        <f>F466</f>
        <v>662413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-30180</v>
      </c>
      <c r="H613" s="109">
        <f>G466</f>
        <v>-30180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-43569</v>
      </c>
      <c r="H614" s="109">
        <f>H466</f>
        <v>-43569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307601</v>
      </c>
      <c r="H616" s="109">
        <f>J466</f>
        <v>307601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18369420</v>
      </c>
      <c r="H617" s="104">
        <f>SUM(F458)</f>
        <v>18369420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607755</v>
      </c>
      <c r="H618" s="104">
        <f>SUM(G458)</f>
        <v>607755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1555761</v>
      </c>
      <c r="H619" s="104">
        <f>SUM(H458)</f>
        <v>1555761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564</v>
      </c>
      <c r="H621" s="104">
        <f>SUM(J458)</f>
        <v>564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19341027</v>
      </c>
      <c r="H622" s="104">
        <f>SUM(F462)</f>
        <v>19341027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1400622</v>
      </c>
      <c r="H623" s="104">
        <f>SUM(H462)</f>
        <v>1400622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300067</v>
      </c>
      <c r="H624" s="104">
        <f>I361</f>
        <v>300067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629203</v>
      </c>
      <c r="H625" s="104">
        <f>SUM(G462)</f>
        <v>629203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564</v>
      </c>
      <c r="H627" s="164">
        <f>SUM(J458)</f>
        <v>564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307601</v>
      </c>
      <c r="H630" s="104">
        <f>SUM(G451)</f>
        <v>307601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307601</v>
      </c>
      <c r="H632" s="104">
        <f>SUM(I451)</f>
        <v>307601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564</v>
      </c>
      <c r="H634" s="104">
        <f>H400</f>
        <v>564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564</v>
      </c>
      <c r="H636" s="104">
        <f>L400</f>
        <v>564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727507</v>
      </c>
      <c r="H637" s="104">
        <f>L200+L218+L236</f>
        <v>727507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279991</v>
      </c>
      <c r="H638" s="104">
        <f>(J249+J330)-(J247+J328)</f>
        <v>279991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264507</v>
      </c>
      <c r="H639" s="104">
        <f>H588</f>
        <v>264507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172338</v>
      </c>
      <c r="H640" s="104">
        <f>I588</f>
        <v>172338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290662</v>
      </c>
      <c r="H641" s="104">
        <f>J588</f>
        <v>290662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52638</v>
      </c>
      <c r="H642" s="104">
        <f>K255+K337</f>
        <v>52638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8437968</v>
      </c>
      <c r="G650" s="19">
        <f>(L221+L301+L351)</f>
        <v>4661071</v>
      </c>
      <c r="H650" s="19">
        <f>(L239+L320+L352)</f>
        <v>7065972</v>
      </c>
      <c r="I650" s="19">
        <f>SUM(F650:H650)</f>
        <v>20165011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86026.421307590717</v>
      </c>
      <c r="G651" s="19">
        <f>(L351/IF(SUM(L350:L352)=0,1,SUM(L350:L352))*(SUM(G89:G102)))</f>
        <v>75895.143484694127</v>
      </c>
      <c r="H651" s="19">
        <f>(L352/IF(SUM(L350:L352)=0,1,SUM(L350:L352))*(SUM(G89:G102)))</f>
        <v>87087.435207715156</v>
      </c>
      <c r="I651" s="19">
        <f>SUM(F651:H651)</f>
        <v>249009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264507</v>
      </c>
      <c r="G652" s="19">
        <f>(L218+L298)-(J218+J298)</f>
        <v>172338</v>
      </c>
      <c r="H652" s="19">
        <f>(L236+L317)-(J236+J317)</f>
        <v>290662</v>
      </c>
      <c r="I652" s="19">
        <f>SUM(F652:H652)</f>
        <v>727507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168998</v>
      </c>
      <c r="G653" s="200">
        <f>SUM(G565:G577)+SUM(I592:I594)+L602</f>
        <v>193874</v>
      </c>
      <c r="H653" s="200">
        <f>SUM(H565:H577)+SUM(J592:J594)+L603</f>
        <v>548886</v>
      </c>
      <c r="I653" s="19">
        <f>SUM(F653:H653)</f>
        <v>911758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7918436.5786924092</v>
      </c>
      <c r="G654" s="19">
        <f>G650-SUM(G651:G653)</f>
        <v>4218963.856515306</v>
      </c>
      <c r="H654" s="19">
        <f>H650-SUM(H651:H653)</f>
        <v>6139336.5647922847</v>
      </c>
      <c r="I654" s="19">
        <f>I650-SUM(I651:I653)</f>
        <v>18276737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551.54</v>
      </c>
      <c r="G655" s="249">
        <v>322.39999999999998</v>
      </c>
      <c r="H655" s="249">
        <v>449.71</v>
      </c>
      <c r="I655" s="19">
        <f>SUM(F655:H655)</f>
        <v>1323.6499999999999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14356.96</v>
      </c>
      <c r="G657" s="19">
        <f>ROUND(G654/G655,2)</f>
        <v>13086.12</v>
      </c>
      <c r="H657" s="19">
        <f>ROUND(H654/H655,2)</f>
        <v>13651.77</v>
      </c>
      <c r="I657" s="19">
        <f>ROUND(I654/I655,2)</f>
        <v>13807.83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-9.6199999999999992</v>
      </c>
      <c r="I660" s="19">
        <f>SUM(F660:H660)</f>
        <v>-9.6199999999999992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14356.96</v>
      </c>
      <c r="G662" s="19">
        <f>ROUND((G654+G659)/(G655+G660),2)</f>
        <v>13086.12</v>
      </c>
      <c r="H662" s="19">
        <f>ROUND((H654+H659)/(H655+H660),2)</f>
        <v>13950.18</v>
      </c>
      <c r="I662" s="19">
        <f>ROUND((I654+I659)/(I655+I660),2)</f>
        <v>13908.92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100B-08D0-4535-B0D8-C20BB39D7ACB}">
  <sheetPr>
    <tabColor indexed="20"/>
  </sheetPr>
  <dimension ref="A1:C52"/>
  <sheetViews>
    <sheetView topLeftCell="A2"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Hillsboro-Deering Coop SD</v>
      </c>
      <c r="C1" s="239" t="s">
        <v>870</v>
      </c>
    </row>
    <row r="2" spans="1:3" x14ac:dyDescent="0.2">
      <c r="A2" s="234"/>
      <c r="B2" s="233"/>
    </row>
    <row r="3" spans="1:3" x14ac:dyDescent="0.2">
      <c r="A3" s="275" t="s">
        <v>815</v>
      </c>
      <c r="B3" s="275"/>
      <c r="C3" s="275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814</v>
      </c>
      <c r="C6" s="274"/>
    </row>
    <row r="7" spans="1:3" x14ac:dyDescent="0.2">
      <c r="A7" s="240" t="s">
        <v>817</v>
      </c>
      <c r="B7" s="272" t="s">
        <v>813</v>
      </c>
      <c r="C7" s="273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5677412</v>
      </c>
      <c r="C9" s="230">
        <f>'DOE25'!G189+'DOE25'!G207+'DOE25'!G225+'DOE25'!G268+'DOE25'!G287+'DOE25'!G306</f>
        <v>2241621</v>
      </c>
    </row>
    <row r="10" spans="1:3" x14ac:dyDescent="0.2">
      <c r="A10" t="s">
        <v>810</v>
      </c>
      <c r="B10" s="241">
        <f>4812646+604849</f>
        <v>5417495</v>
      </c>
      <c r="C10" s="241">
        <f>1613281+156772</f>
        <v>1770053</v>
      </c>
    </row>
    <row r="11" spans="1:3" x14ac:dyDescent="0.2">
      <c r="A11" t="s">
        <v>811</v>
      </c>
      <c r="B11" s="241">
        <f>43708+116865</f>
        <v>160573</v>
      </c>
      <c r="C11" s="241">
        <f>455028+8940</f>
        <v>463968</v>
      </c>
    </row>
    <row r="12" spans="1:3" x14ac:dyDescent="0.2">
      <c r="A12" t="s">
        <v>812</v>
      </c>
      <c r="B12" s="241">
        <f>69187+30157</f>
        <v>99344</v>
      </c>
      <c r="C12" s="241">
        <f>5293+2307</f>
        <v>7600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5677412</v>
      </c>
      <c r="C13" s="232">
        <f>SUM(C10:C12)</f>
        <v>2241621</v>
      </c>
    </row>
    <row r="14" spans="1:3" x14ac:dyDescent="0.2">
      <c r="B14" s="231"/>
      <c r="C14" s="231"/>
    </row>
    <row r="15" spans="1:3" x14ac:dyDescent="0.2">
      <c r="B15" s="274" t="s">
        <v>814</v>
      </c>
      <c r="C15" s="274"/>
    </row>
    <row r="16" spans="1:3" x14ac:dyDescent="0.2">
      <c r="A16" s="240" t="s">
        <v>818</v>
      </c>
      <c r="B16" s="272" t="s">
        <v>738</v>
      </c>
      <c r="C16" s="273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1901508</v>
      </c>
      <c r="C18" s="230">
        <f>'DOE25'!G190+'DOE25'!G208+'DOE25'!G226+'DOE25'!G269+'DOE25'!G288+'DOE25'!G307</f>
        <v>1084577</v>
      </c>
    </row>
    <row r="19" spans="1:3" x14ac:dyDescent="0.2">
      <c r="A19" t="s">
        <v>810</v>
      </c>
      <c r="B19" s="241">
        <v>1332413</v>
      </c>
      <c r="C19" s="241">
        <v>850891</v>
      </c>
    </row>
    <row r="20" spans="1:3" x14ac:dyDescent="0.2">
      <c r="A20" t="s">
        <v>811</v>
      </c>
      <c r="B20" s="241">
        <v>468621</v>
      </c>
      <c r="C20" s="241">
        <v>216915</v>
      </c>
    </row>
    <row r="21" spans="1:3" x14ac:dyDescent="0.2">
      <c r="A21" t="s">
        <v>812</v>
      </c>
      <c r="B21" s="241">
        <v>100474</v>
      </c>
      <c r="C21" s="241">
        <v>16771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1901508</v>
      </c>
      <c r="C22" s="232">
        <f>SUM(C19:C21)</f>
        <v>1084577</v>
      </c>
    </row>
    <row r="23" spans="1:3" x14ac:dyDescent="0.2">
      <c r="B23" s="231"/>
      <c r="C23" s="231"/>
    </row>
    <row r="24" spans="1:3" x14ac:dyDescent="0.2">
      <c r="B24" s="274" t="s">
        <v>814</v>
      </c>
      <c r="C24" s="274"/>
    </row>
    <row r="25" spans="1:3" x14ac:dyDescent="0.2">
      <c r="A25" s="240" t="s">
        <v>819</v>
      </c>
      <c r="B25" s="272" t="s">
        <v>739</v>
      </c>
      <c r="C25" s="273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'DOE25'!F192+'DOE25'!F209+'DOE25'!F227+'DOE25'!F270+'DOE25'!F289+'DOE25'!F308</f>
        <v>5175</v>
      </c>
      <c r="C27" s="235">
        <f>'DOE25'!G192+'DOE25'!G209+'DOE25'!G227+'DOE25'!G270+'DOE25'!G289+'DOE25'!G308</f>
        <v>574</v>
      </c>
    </row>
    <row r="28" spans="1:3" x14ac:dyDescent="0.2">
      <c r="A28" t="s">
        <v>810</v>
      </c>
      <c r="B28" s="241">
        <v>5175</v>
      </c>
      <c r="C28" s="241">
        <v>574</v>
      </c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5175</v>
      </c>
      <c r="C31" s="232">
        <f>SUM(C28:C30)</f>
        <v>574</v>
      </c>
    </row>
    <row r="33" spans="1:3" x14ac:dyDescent="0.2">
      <c r="B33" s="274" t="s">
        <v>814</v>
      </c>
      <c r="C33" s="274"/>
    </row>
    <row r="34" spans="1:3" x14ac:dyDescent="0.2">
      <c r="A34" s="240" t="s">
        <v>820</v>
      </c>
      <c r="B34" s="272" t="s">
        <v>740</v>
      </c>
      <c r="C34" s="273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89425</v>
      </c>
      <c r="C36" s="236">
        <f>'DOE25'!G192+'DOE25'!G210+'DOE25'!G228+'DOE25'!G271+'DOE25'!G290+'DOE25'!G309</f>
        <v>10673</v>
      </c>
    </row>
    <row r="37" spans="1:3" x14ac:dyDescent="0.2">
      <c r="A37" t="s">
        <v>810</v>
      </c>
      <c r="B37" s="241">
        <v>30625</v>
      </c>
      <c r="C37" s="241">
        <f>+C36-C39</f>
        <v>6175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58800</v>
      </c>
      <c r="C39" s="241">
        <v>4498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89425</v>
      </c>
      <c r="C40" s="232">
        <f>SUM(C37:C39)</f>
        <v>10673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9D1A-FF32-4169-BB9A-CC77BFA07BDF}">
  <sheetPr>
    <tabColor indexed="11"/>
  </sheetPr>
  <dimension ref="A1:I51"/>
  <sheetViews>
    <sheetView workbookViewId="0">
      <pane ySplit="4" topLeftCell="A22" activePane="bottomLeft" state="frozen"/>
      <selection pane="bottomLeft" activeCell="D33" sqref="D3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821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Hillsboro-Deering Coop SD</v>
      </c>
      <c r="C2" s="181"/>
      <c r="D2" s="181" t="s">
        <v>823</v>
      </c>
      <c r="E2" s="181" t="s">
        <v>825</v>
      </c>
      <c r="F2" s="276" t="s">
        <v>852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11163034</v>
      </c>
      <c r="D5" s="20">
        <f>SUM('DOE25'!L189:L192)+SUM('DOE25'!L207:L210)+SUM('DOE25'!L225:L228)-F5-G5</f>
        <v>11080011</v>
      </c>
      <c r="E5" s="244"/>
      <c r="F5" s="256">
        <f>SUM('DOE25'!J189:J192)+SUM('DOE25'!J207:J210)+SUM('DOE25'!J225:J228)</f>
        <v>60840</v>
      </c>
      <c r="G5" s="53">
        <f>SUM('DOE25'!K189:K192)+SUM('DOE25'!K207:K210)+SUM('DOE25'!K225:K228)</f>
        <v>22183</v>
      </c>
      <c r="H5" s="260"/>
    </row>
    <row r="6" spans="1:9" x14ac:dyDescent="0.2">
      <c r="A6" s="32">
        <v>2100</v>
      </c>
      <c r="B6" t="s">
        <v>832</v>
      </c>
      <c r="C6" s="246">
        <f t="shared" si="0"/>
        <v>1344294</v>
      </c>
      <c r="D6" s="20">
        <f>'DOE25'!L194+'DOE25'!L212+'DOE25'!L230-F6-G6</f>
        <v>1340388</v>
      </c>
      <c r="E6" s="244"/>
      <c r="F6" s="256">
        <f>'DOE25'!J194+'DOE25'!I212+'DOE25'!J230</f>
        <v>3600</v>
      </c>
      <c r="G6" s="53">
        <f>'DOE25'!K194+'DOE25'!J212+'DOE25'!K230</f>
        <v>306</v>
      </c>
      <c r="H6" s="260"/>
    </row>
    <row r="7" spans="1:9" x14ac:dyDescent="0.2">
      <c r="A7" s="32">
        <v>2200</v>
      </c>
      <c r="B7" t="s">
        <v>865</v>
      </c>
      <c r="C7" s="246">
        <f t="shared" si="0"/>
        <v>947398</v>
      </c>
      <c r="D7" s="20">
        <f>'DOE25'!L195+'DOE25'!L213+'DOE25'!L231-F7-G7</f>
        <v>810549</v>
      </c>
      <c r="E7" s="244"/>
      <c r="F7" s="256">
        <f>'DOE25'!J195+'DOE25'!J213+'DOE25'!J231</f>
        <v>136384</v>
      </c>
      <c r="G7" s="53">
        <f>'DOE25'!K195+'DOE25'!K213+'DOE25'!K231</f>
        <v>465</v>
      </c>
      <c r="H7" s="260"/>
    </row>
    <row r="8" spans="1:9" x14ac:dyDescent="0.2">
      <c r="A8" s="32">
        <v>2300</v>
      </c>
      <c r="B8" t="s">
        <v>833</v>
      </c>
      <c r="C8" s="246">
        <f t="shared" si="0"/>
        <v>830213</v>
      </c>
      <c r="D8" s="244"/>
      <c r="E8" s="20">
        <f>'DOE25'!L196+'DOE25'!L214+'DOE25'!L232-F8-G8-D9-D11</f>
        <v>814667</v>
      </c>
      <c r="F8" s="256">
        <f>'DOE25'!J196+'DOE25'!J214+'DOE25'!J232</f>
        <v>0</v>
      </c>
      <c r="G8" s="53">
        <f>'DOE25'!K196+'DOE25'!K214+'DOE25'!K232</f>
        <v>15546</v>
      </c>
      <c r="H8" s="260"/>
    </row>
    <row r="9" spans="1:9" x14ac:dyDescent="0.2">
      <c r="A9" s="32">
        <v>2310</v>
      </c>
      <c r="B9" t="s">
        <v>849</v>
      </c>
      <c r="C9" s="246">
        <f t="shared" si="0"/>
        <v>27359</v>
      </c>
      <c r="D9" s="245">
        <v>27359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32850</v>
      </c>
      <c r="D10" s="244"/>
      <c r="E10" s="245">
        <v>32850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173350</v>
      </c>
      <c r="D11" s="245">
        <v>173350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995657</v>
      </c>
      <c r="D12" s="20">
        <f>'DOE25'!L197+'DOE25'!L215+'DOE25'!L233-F12-G12</f>
        <v>982647</v>
      </c>
      <c r="E12" s="244"/>
      <c r="F12" s="256">
        <f>'DOE25'!J197+'DOE25'!J215+'DOE25'!J233</f>
        <v>670</v>
      </c>
      <c r="G12" s="53">
        <f>'DOE25'!K197+'DOE25'!K215+'DOE25'!K233</f>
        <v>12340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9605</v>
      </c>
      <c r="D13" s="244"/>
      <c r="E13" s="20">
        <f>'DOE25'!L198+'DOE25'!L216+'DOE25'!L234-F13-G13</f>
        <v>9605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1916769</v>
      </c>
      <c r="D14" s="20">
        <f>'DOE25'!L199+'DOE25'!L217+'DOE25'!L235-F14-G14</f>
        <v>1916398</v>
      </c>
      <c r="E14" s="244"/>
      <c r="F14" s="256">
        <f>'DOE25'!J199+'DOE25'!J217+'DOE25'!J235</f>
        <v>371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727507</v>
      </c>
      <c r="D15" s="20">
        <f>'DOE25'!L200+'DOE25'!L218+'DOE25'!L236-F15-G15</f>
        <v>727507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1153203</v>
      </c>
      <c r="D25" s="244"/>
      <c r="E25" s="244"/>
      <c r="F25" s="259"/>
      <c r="G25" s="257"/>
      <c r="H25" s="258">
        <f>'DOE25'!L252+'DOE25'!L253+'DOE25'!L333+'DOE25'!L334</f>
        <v>1153203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382121</v>
      </c>
      <c r="D29" s="20">
        <f>'DOE25'!L350+'DOE25'!L351+'DOE25'!L352-'DOE25'!I359-F29-G29</f>
        <v>375921</v>
      </c>
      <c r="E29" s="244"/>
      <c r="F29" s="256">
        <f>'DOE25'!J350+'DOE25'!J351+'DOE25'!J352</f>
        <v>6200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1400622</v>
      </c>
      <c r="D31" s="20">
        <f>'DOE25'!L282+'DOE25'!L301+'DOE25'!L320+'DOE25'!L325+'DOE25'!L326+'DOE25'!L327-F31-G31</f>
        <v>1304811</v>
      </c>
      <c r="E31" s="244"/>
      <c r="F31" s="256">
        <f>'DOE25'!J282+'DOE25'!J301+'DOE25'!J320+'DOE25'!J325+'DOE25'!J326+'DOE25'!J327</f>
        <v>81002</v>
      </c>
      <c r="G31" s="53">
        <f>'DOE25'!K282+'DOE25'!K301+'DOE25'!K320+'DOE25'!K325+'DOE25'!K326+'DOE25'!K327</f>
        <v>14809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18738941</v>
      </c>
      <c r="E33" s="247">
        <f>SUM(E5:E31)</f>
        <v>857122</v>
      </c>
      <c r="F33" s="247">
        <f>SUM(F5:F31)</f>
        <v>289067</v>
      </c>
      <c r="G33" s="247">
        <f>SUM(G5:G31)</f>
        <v>65649</v>
      </c>
      <c r="H33" s="247">
        <f>SUM(H5:H31)</f>
        <v>1153203</v>
      </c>
    </row>
    <row r="35" spans="2:8" ht="12" thickBot="1" x14ac:dyDescent="0.25">
      <c r="B35" s="254" t="s">
        <v>878</v>
      </c>
      <c r="D35" s="255">
        <f>E33</f>
        <v>857122</v>
      </c>
      <c r="E35" s="250"/>
    </row>
    <row r="36" spans="2:8" ht="12" thickTop="1" x14ac:dyDescent="0.2">
      <c r="B36" t="s">
        <v>846</v>
      </c>
      <c r="D36" s="20">
        <f>D33</f>
        <v>18738941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194D-A8FF-4E85-B9EB-80D3E338244B}">
  <sheetPr transitionEvaluation="1" codeName="Sheet2">
    <tabColor indexed="10"/>
  </sheetPr>
  <dimension ref="A1:I156"/>
  <sheetViews>
    <sheetView zoomScale="75" workbookViewId="0">
      <pane ySplit="2" topLeftCell="A4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Hillsboro-Deering Coop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356620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307601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122744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439069</v>
      </c>
      <c r="D13" s="95">
        <f>'DOE25'!G13</f>
        <v>56355</v>
      </c>
      <c r="E13" s="95">
        <f>'DOE25'!H13</f>
        <v>223825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9711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918433</v>
      </c>
      <c r="D19" s="41">
        <f>SUM(D9:D18)</f>
        <v>66066</v>
      </c>
      <c r="E19" s="41">
        <f>SUM(E9:E18)</f>
        <v>223825</v>
      </c>
      <c r="F19" s="41">
        <f>SUM(F9:F18)</f>
        <v>0</v>
      </c>
      <c r="G19" s="41">
        <f>SUM(G9:G18)</f>
        <v>307601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216241</v>
      </c>
      <c r="D22" s="95">
        <f>'DOE25'!G23</f>
        <v>96246</v>
      </c>
      <c r="E22" s="95">
        <f>'DOE25'!H23</f>
        <v>51153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39779</v>
      </c>
      <c r="D30" s="95">
        <f>'DOE25'!G31</f>
        <v>0</v>
      </c>
      <c r="E30" s="95">
        <f>'DOE25'!H31</f>
        <v>216241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256020</v>
      </c>
      <c r="D32" s="41">
        <f>SUM(D22:D31)</f>
        <v>96246</v>
      </c>
      <c r="E32" s="41">
        <f>SUM(E22:E31)</f>
        <v>267394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441129</v>
      </c>
      <c r="D36" s="95">
        <f>'DOE25'!G37</f>
        <v>18064</v>
      </c>
      <c r="E36" s="95">
        <f>'DOE25'!H37</f>
        <v>106925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50000</v>
      </c>
      <c r="D40" s="95">
        <f>'DOE25'!G41</f>
        <v>-48244</v>
      </c>
      <c r="E40" s="95">
        <f>'DOE25'!H41</f>
        <v>-150494</v>
      </c>
      <c r="F40" s="95">
        <f>'DOE25'!I41</f>
        <v>0</v>
      </c>
      <c r="G40" s="95">
        <f>'DOE25'!J41</f>
        <v>307601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171284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662413</v>
      </c>
      <c r="D42" s="41">
        <f>SUM(D34:D41)</f>
        <v>-30180</v>
      </c>
      <c r="E42" s="41">
        <f>SUM(E34:E41)</f>
        <v>-43569</v>
      </c>
      <c r="F42" s="41">
        <f>SUM(F34:F41)</f>
        <v>0</v>
      </c>
      <c r="G42" s="41">
        <f>SUM(G34:G41)</f>
        <v>307601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918433</v>
      </c>
      <c r="D43" s="41">
        <f>D42+D32</f>
        <v>66066</v>
      </c>
      <c r="E43" s="41">
        <f>E42+E32</f>
        <v>223825</v>
      </c>
      <c r="F43" s="41">
        <f>F42+F32</f>
        <v>0</v>
      </c>
      <c r="G43" s="41">
        <f>G42+G32</f>
        <v>307601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8136406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1573202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3315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564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249009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6841</v>
      </c>
      <c r="D53" s="95">
        <f>SUM('DOE25'!G90:G102)</f>
        <v>0</v>
      </c>
      <c r="E53" s="95">
        <f>SUM('DOE25'!H90:H102)</f>
        <v>317698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1583358</v>
      </c>
      <c r="D54" s="130">
        <f>SUM(D49:D53)</f>
        <v>249009</v>
      </c>
      <c r="E54" s="130">
        <f>SUM(E49:E53)</f>
        <v>317698</v>
      </c>
      <c r="F54" s="130">
        <f>SUM(F49:F53)</f>
        <v>0</v>
      </c>
      <c r="G54" s="130">
        <f>SUM(G49:G53)</f>
        <v>564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9719764</v>
      </c>
      <c r="D55" s="22">
        <f>D48+D54</f>
        <v>249009</v>
      </c>
      <c r="E55" s="22">
        <f>E48+E54</f>
        <v>317698</v>
      </c>
      <c r="F55" s="22">
        <f>F48+F54</f>
        <v>0</v>
      </c>
      <c r="G55" s="22">
        <f>G48+G54</f>
        <v>564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5970114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1684836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216535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7871485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368556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264205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18511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9855</v>
      </c>
      <c r="D69" s="95">
        <f>SUM('DOE25'!G123:G127)</f>
        <v>6358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661127</v>
      </c>
      <c r="D70" s="130">
        <f>SUM(D64:D69)</f>
        <v>6358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8532612</v>
      </c>
      <c r="D73" s="130">
        <f>SUM(D71:D72)+D70+D62</f>
        <v>6358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102235</v>
      </c>
      <c r="D80" s="95">
        <f>SUM('DOE25'!G145:G153)</f>
        <v>299750</v>
      </c>
      <c r="E80" s="95">
        <f>SUM('DOE25'!H145:H153)</f>
        <v>1238063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102235</v>
      </c>
      <c r="D83" s="131">
        <f>SUM(D77:D82)</f>
        <v>299750</v>
      </c>
      <c r="E83" s="131">
        <f>SUM(E77:E82)</f>
        <v>1238063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52638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14809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14809</v>
      </c>
      <c r="D95" s="86">
        <f>SUM(D85:D94)</f>
        <v>52638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18369420</v>
      </c>
      <c r="D96" s="86">
        <f>D55+D73+D83+D95</f>
        <v>607755</v>
      </c>
      <c r="E96" s="86">
        <f>E55+E73+E83+E95</f>
        <v>1555761</v>
      </c>
      <c r="F96" s="86">
        <f>F55+F73+F83+F95</f>
        <v>0</v>
      </c>
      <c r="G96" s="86">
        <f>G55+G73+G95</f>
        <v>564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7304340</v>
      </c>
      <c r="D101" s="24" t="s">
        <v>312</v>
      </c>
      <c r="E101" s="95">
        <f>('DOE25'!L268)+('DOE25'!L287)+('DOE25'!L306)</f>
        <v>1400622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3636763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39172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182759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11163034</v>
      </c>
      <c r="D107" s="86">
        <f>SUM(D101:D106)</f>
        <v>0</v>
      </c>
      <c r="E107" s="86">
        <f>SUM(E101:E106)</f>
        <v>1400622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1344294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947398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1030922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995657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9605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1916769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727507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629203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6972152</v>
      </c>
      <c r="D120" s="86">
        <f>SUM(D110:D119)</f>
        <v>629203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740000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413203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52638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564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-564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1205841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19341027</v>
      </c>
      <c r="D137" s="86">
        <f>(D107+D120+D136)</f>
        <v>629203</v>
      </c>
      <c r="E137" s="86">
        <f>(E107+E120+E136)</f>
        <v>1400622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07/24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14750000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10310000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10310000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740000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740000</v>
      </c>
    </row>
    <row r="151" spans="1:7" x14ac:dyDescent="0.2">
      <c r="A151" s="22" t="s">
        <v>35</v>
      </c>
      <c r="B151" s="137">
        <f>'DOE25'!F488</f>
        <v>9570000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9570000</v>
      </c>
    </row>
    <row r="152" spans="1:7" x14ac:dyDescent="0.2">
      <c r="A152" s="22" t="s">
        <v>36</v>
      </c>
      <c r="B152" s="137">
        <f>'DOE25'!F489</f>
        <v>2391722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2391722</v>
      </c>
    </row>
    <row r="153" spans="1:7" x14ac:dyDescent="0.2">
      <c r="A153" s="22" t="s">
        <v>37</v>
      </c>
      <c r="B153" s="137">
        <f>'DOE25'!F490</f>
        <v>11961722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11961722</v>
      </c>
    </row>
    <row r="154" spans="1:7" x14ac:dyDescent="0.2">
      <c r="A154" s="22" t="s">
        <v>38</v>
      </c>
      <c r="B154" s="137">
        <f>'DOE25'!F491</f>
        <v>740000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740000</v>
      </c>
    </row>
    <row r="155" spans="1:7" x14ac:dyDescent="0.2">
      <c r="A155" s="22" t="s">
        <v>39</v>
      </c>
      <c r="B155" s="137">
        <f>'DOE25'!F492</f>
        <v>383603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383603</v>
      </c>
    </row>
    <row r="156" spans="1:7" x14ac:dyDescent="0.2">
      <c r="A156" s="22" t="s">
        <v>269</v>
      </c>
      <c r="B156" s="137">
        <f>'DOE25'!F493</f>
        <v>1123603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1123603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D728-E4DA-4567-B95F-188AF9FE27FE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771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Hillsboro-Deering Coop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14357</v>
      </c>
    </row>
    <row r="5" spans="1:4" x14ac:dyDescent="0.2">
      <c r="B5" t="s">
        <v>735</v>
      </c>
      <c r="C5" s="179">
        <f>IF('DOE25'!G655+'DOE25'!G660=0,0,ROUND('DOE25'!G662,0))</f>
        <v>13086</v>
      </c>
    </row>
    <row r="6" spans="1:4" x14ac:dyDescent="0.2">
      <c r="B6" t="s">
        <v>62</v>
      </c>
      <c r="C6" s="179">
        <f>IF('DOE25'!H655+'DOE25'!H660=0,0,ROUND('DOE25'!H662,0))</f>
        <v>13950</v>
      </c>
    </row>
    <row r="7" spans="1:4" x14ac:dyDescent="0.2">
      <c r="B7" t="s">
        <v>736</v>
      </c>
      <c r="C7" s="179">
        <f>IF('DOE25'!I655+'DOE25'!I660=0,0,ROUND('DOE25'!I662,0))</f>
        <v>13909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8704962</v>
      </c>
      <c r="D10" s="182">
        <f>ROUND((C10/$C$28)*100,1)</f>
        <v>42.8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3636763</v>
      </c>
      <c r="D11" s="182">
        <f>ROUND((C11/$C$28)*100,1)</f>
        <v>17.899999999999999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39172</v>
      </c>
      <c r="D12" s="182">
        <f>ROUND((C12/$C$28)*100,1)</f>
        <v>0.2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182759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1344294</v>
      </c>
      <c r="D15" s="182">
        <f t="shared" ref="D15:D27" si="0">ROUND((C15/$C$28)*100,1)</f>
        <v>6.6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947398</v>
      </c>
      <c r="D16" s="182">
        <f t="shared" si="0"/>
        <v>4.7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1030922</v>
      </c>
      <c r="D17" s="182">
        <f t="shared" si="0"/>
        <v>5.0999999999999996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995657</v>
      </c>
      <c r="D18" s="182">
        <f t="shared" si="0"/>
        <v>4.9000000000000004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9605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1916769</v>
      </c>
      <c r="D20" s="182">
        <f t="shared" si="0"/>
        <v>9.4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727507</v>
      </c>
      <c r="D21" s="182">
        <f t="shared" si="0"/>
        <v>3.6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413203</v>
      </c>
      <c r="D25" s="182">
        <f t="shared" si="0"/>
        <v>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380194</v>
      </c>
      <c r="D27" s="182">
        <f t="shared" si="0"/>
        <v>1.9</v>
      </c>
    </row>
    <row r="28" spans="1:4" x14ac:dyDescent="0.2">
      <c r="B28" s="187" t="s">
        <v>754</v>
      </c>
      <c r="C28" s="180">
        <f>SUM(C10:C27)</f>
        <v>20329205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20329205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740000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8136406</v>
      </c>
      <c r="D35" s="182">
        <f t="shared" ref="D35:D40" si="1">ROUND((C35/$C$41)*100,1)</f>
        <v>40.200000000000003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1901620</v>
      </c>
      <c r="D36" s="182">
        <f t="shared" si="1"/>
        <v>9.4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7871485</v>
      </c>
      <c r="D37" s="182">
        <f t="shared" si="1"/>
        <v>38.9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667485</v>
      </c>
      <c r="D38" s="182">
        <f t="shared" si="1"/>
        <v>3.3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1640048</v>
      </c>
      <c r="D39" s="182">
        <f t="shared" si="1"/>
        <v>8.1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20217044</v>
      </c>
      <c r="D41" s="184">
        <f>SUM(D35:D40)</f>
        <v>99.899999999999991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3A77-3A9A-4879-92B7-7B64003748D7}">
  <sheetPr>
    <tabColor indexed="17"/>
  </sheetPr>
  <dimension ref="A1:IV90"/>
  <sheetViews>
    <sheetView workbookViewId="0">
      <pane ySplit="3" topLeftCell="A4" activePane="bottomLeft" state="frozen"/>
      <selection pane="bottomLeft" activeCell="C9" sqref="C9:M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801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798</v>
      </c>
      <c r="B2" s="288"/>
      <c r="C2" s="288"/>
      <c r="D2" s="288"/>
      <c r="E2" s="288"/>
      <c r="F2" s="293" t="str">
        <f>'DOE25'!A2</f>
        <v>Hillsboro-Deering Coop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1" t="s">
        <v>802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71" t="s">
        <v>897</v>
      </c>
      <c r="B4" s="220">
        <v>27</v>
      </c>
      <c r="C4" s="281" t="s">
        <v>898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 t="s">
        <v>899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 t="s">
        <v>900</v>
      </c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 t="s">
        <v>901</v>
      </c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8" t="s">
        <v>879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2"/>
      <c r="B74" s="212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2"/>
      <c r="B75" s="212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2"/>
      <c r="B76" s="212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2"/>
      <c r="B77" s="212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2"/>
      <c r="B78" s="212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2"/>
      <c r="B79" s="212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2"/>
      <c r="B80" s="212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2"/>
      <c r="B81" s="212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2"/>
      <c r="B82" s="212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2"/>
      <c r="B83" s="212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2"/>
      <c r="B84" s="212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2"/>
      <c r="B85" s="212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2"/>
      <c r="B86" s="212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2"/>
      <c r="B87" s="212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2"/>
      <c r="B88" s="212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2"/>
      <c r="B89" s="212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2"/>
      <c r="B90" s="212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30A" sheet="1" objects="1" scenarios="1"/>
  <mergeCells count="223">
    <mergeCell ref="C89:M89"/>
    <mergeCell ref="C90:M90"/>
    <mergeCell ref="C83:M83"/>
    <mergeCell ref="C84:M84"/>
    <mergeCell ref="C85:M85"/>
    <mergeCell ref="C86:M86"/>
    <mergeCell ref="C87:M87"/>
    <mergeCell ref="C88:M88"/>
    <mergeCell ref="C74:M74"/>
    <mergeCell ref="C66:M66"/>
    <mergeCell ref="C67:M67"/>
    <mergeCell ref="C68:M68"/>
    <mergeCell ref="C69:M69"/>
    <mergeCell ref="C70:M70"/>
    <mergeCell ref="A72:E72"/>
    <mergeCell ref="C25:M25"/>
    <mergeCell ref="C80:M80"/>
    <mergeCell ref="C81:M81"/>
    <mergeCell ref="C82:M82"/>
    <mergeCell ref="C75:M75"/>
    <mergeCell ref="C76:M76"/>
    <mergeCell ref="C77:M77"/>
    <mergeCell ref="C78:M78"/>
    <mergeCell ref="C79:M79"/>
    <mergeCell ref="C73:M73"/>
    <mergeCell ref="C24:M24"/>
    <mergeCell ref="C65:M65"/>
    <mergeCell ref="C13:M13"/>
    <mergeCell ref="C34:M34"/>
    <mergeCell ref="C35:M35"/>
    <mergeCell ref="C36:M36"/>
    <mergeCell ref="C14:M14"/>
    <mergeCell ref="C15:M15"/>
    <mergeCell ref="C20:M20"/>
    <mergeCell ref="C29:M29"/>
    <mergeCell ref="C61:M61"/>
    <mergeCell ref="C53:M53"/>
    <mergeCell ref="C54:M54"/>
    <mergeCell ref="C55:M55"/>
    <mergeCell ref="C56:M56"/>
    <mergeCell ref="C57:M57"/>
    <mergeCell ref="C62:M62"/>
    <mergeCell ref="C63:M63"/>
    <mergeCell ref="C64:M64"/>
    <mergeCell ref="BC29:BM29"/>
    <mergeCell ref="C41:M41"/>
    <mergeCell ref="C33:M33"/>
    <mergeCell ref="AP40:AZ40"/>
    <mergeCell ref="P38:Z38"/>
    <mergeCell ref="AC38:AM38"/>
    <mergeCell ref="AP38:AZ38"/>
    <mergeCell ref="BP29:BZ29"/>
    <mergeCell ref="C59:M59"/>
    <mergeCell ref="C60:M60"/>
    <mergeCell ref="C58:M58"/>
    <mergeCell ref="AP29:AZ29"/>
    <mergeCell ref="P29:Z29"/>
    <mergeCell ref="AC29:AM29"/>
    <mergeCell ref="P30:Z30"/>
    <mergeCell ref="AC30:AM30"/>
    <mergeCell ref="AP30:AZ30"/>
    <mergeCell ref="AC31:AM31"/>
    <mergeCell ref="AP31:AZ31"/>
    <mergeCell ref="AC32:AM32"/>
    <mergeCell ref="C12:M12"/>
    <mergeCell ref="C32:M32"/>
    <mergeCell ref="C16:M16"/>
    <mergeCell ref="C17:M17"/>
    <mergeCell ref="C18:M18"/>
    <mergeCell ref="C19:M19"/>
    <mergeCell ref="C31:M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9:M9"/>
    <mergeCell ref="C10:M10"/>
    <mergeCell ref="C11:M11"/>
    <mergeCell ref="C30:M30"/>
    <mergeCell ref="C26:M26"/>
    <mergeCell ref="C27:M27"/>
    <mergeCell ref="C28:M28"/>
    <mergeCell ref="C21:M21"/>
    <mergeCell ref="C22:M22"/>
    <mergeCell ref="C23:M23"/>
    <mergeCell ref="P31:Z31"/>
    <mergeCell ref="P32:Z32"/>
    <mergeCell ref="IC30:IM30"/>
    <mergeCell ref="IP30:IV30"/>
    <mergeCell ref="FP30:FZ30"/>
    <mergeCell ref="GC30:GM30"/>
    <mergeCell ref="GP30:GZ30"/>
    <mergeCell ref="HC30:HM30"/>
    <mergeCell ref="HP30:HZ30"/>
    <mergeCell ref="BC30:BM30"/>
    <mergeCell ref="BC31:BM31"/>
    <mergeCell ref="BP31:BZ31"/>
    <mergeCell ref="BP30:BZ30"/>
    <mergeCell ref="HP31:HZ31"/>
    <mergeCell ref="FC30:FM30"/>
    <mergeCell ref="CC30:CM30"/>
    <mergeCell ref="CP30:CZ30"/>
    <mergeCell ref="DC30:DM30"/>
    <mergeCell ref="DP30:DZ30"/>
    <mergeCell ref="EC30:EM30"/>
    <mergeCell ref="IC31:IM31"/>
    <mergeCell ref="IP31:IV31"/>
    <mergeCell ref="DP31:DZ31"/>
    <mergeCell ref="EC31:EM31"/>
    <mergeCell ref="EP31:EZ31"/>
    <mergeCell ref="FC31:FM31"/>
    <mergeCell ref="FP31:FZ31"/>
    <mergeCell ref="HC31:HM31"/>
    <mergeCell ref="IC29:IM29"/>
    <mergeCell ref="IP29:IV29"/>
    <mergeCell ref="GC29:GM29"/>
    <mergeCell ref="GP29:GZ29"/>
    <mergeCell ref="HC29:HM29"/>
    <mergeCell ref="HP29:HZ29"/>
    <mergeCell ref="GP31:GZ31"/>
    <mergeCell ref="EP30:EZ30"/>
    <mergeCell ref="EP29:EZ29"/>
    <mergeCell ref="CC29:CM29"/>
    <mergeCell ref="CP29:CZ29"/>
    <mergeCell ref="DC29:DM29"/>
    <mergeCell ref="DP29:DZ29"/>
    <mergeCell ref="GP32:GZ32"/>
    <mergeCell ref="HC32:HM32"/>
    <mergeCell ref="EC32:EM32"/>
    <mergeCell ref="EP32:EZ32"/>
    <mergeCell ref="DP32:DZ32"/>
    <mergeCell ref="FC29:FM29"/>
    <mergeCell ref="EC29:EM29"/>
    <mergeCell ref="FC32:FM32"/>
    <mergeCell ref="FP29:FZ29"/>
    <mergeCell ref="GC31:GM31"/>
    <mergeCell ref="C37:M37"/>
    <mergeCell ref="C38:M38"/>
    <mergeCell ref="BP32:BZ32"/>
    <mergeCell ref="CP32:CZ32"/>
    <mergeCell ref="BC32:BM32"/>
    <mergeCell ref="BC38:BM38"/>
    <mergeCell ref="BP38:BZ38"/>
    <mergeCell ref="AP32:AZ32"/>
    <mergeCell ref="CC32:CM32"/>
    <mergeCell ref="CP38:CZ38"/>
    <mergeCell ref="CC31:CM31"/>
    <mergeCell ref="CP31:CZ31"/>
    <mergeCell ref="CC38:CM38"/>
    <mergeCell ref="DC31:DM31"/>
    <mergeCell ref="DC32:DM32"/>
    <mergeCell ref="DC38:DM38"/>
    <mergeCell ref="IP32:IV32"/>
    <mergeCell ref="HP38:HZ38"/>
    <mergeCell ref="IC38:IM38"/>
    <mergeCell ref="IP38:IV38"/>
    <mergeCell ref="EC38:EM38"/>
    <mergeCell ref="DP38:DZ38"/>
    <mergeCell ref="HC38:HM38"/>
    <mergeCell ref="GP38:GZ38"/>
    <mergeCell ref="GC38:GM38"/>
    <mergeCell ref="FC38:FM38"/>
    <mergeCell ref="DC39:DM39"/>
    <mergeCell ref="DP39:DZ39"/>
    <mergeCell ref="EC39:EM39"/>
    <mergeCell ref="GC39:GM39"/>
    <mergeCell ref="HP32:HZ32"/>
    <mergeCell ref="IC32:IM32"/>
    <mergeCell ref="FP38:FZ38"/>
    <mergeCell ref="EP38:EZ38"/>
    <mergeCell ref="FP32:FZ32"/>
    <mergeCell ref="GC32:GM32"/>
    <mergeCell ref="IP39:IV39"/>
    <mergeCell ref="EP39:EZ39"/>
    <mergeCell ref="FC39:FM39"/>
    <mergeCell ref="FP39:FZ39"/>
    <mergeCell ref="HP39:HZ39"/>
    <mergeCell ref="IC39:IM39"/>
    <mergeCell ref="HC39:HM39"/>
    <mergeCell ref="GP39:GZ39"/>
    <mergeCell ref="P39:Z39"/>
    <mergeCell ref="AC39:AM39"/>
    <mergeCell ref="AP39:AZ39"/>
    <mergeCell ref="C39:M39"/>
    <mergeCell ref="CC39:CM39"/>
    <mergeCell ref="CP39:CZ39"/>
    <mergeCell ref="C52:M52"/>
    <mergeCell ref="C50:M50"/>
    <mergeCell ref="C47:M47"/>
    <mergeCell ref="C48:M48"/>
    <mergeCell ref="C49:M49"/>
    <mergeCell ref="C51:M51"/>
    <mergeCell ref="C44:M44"/>
    <mergeCell ref="P40:Z40"/>
    <mergeCell ref="BC39:BM39"/>
    <mergeCell ref="BP39:BZ39"/>
    <mergeCell ref="C42:M42"/>
    <mergeCell ref="AC40:AM40"/>
    <mergeCell ref="BC40:BM40"/>
    <mergeCell ref="BP40:BZ40"/>
    <mergeCell ref="C43:M43"/>
    <mergeCell ref="C40:M40"/>
    <mergeCell ref="IC40:IM40"/>
    <mergeCell ref="IP40:IV40"/>
    <mergeCell ref="GC40:GM40"/>
    <mergeCell ref="GP40:GZ40"/>
    <mergeCell ref="HC40:HM40"/>
    <mergeCell ref="HP40:HZ40"/>
    <mergeCell ref="C45:M45"/>
    <mergeCell ref="C46:M46"/>
    <mergeCell ref="FC40:FM40"/>
    <mergeCell ref="FP40:FZ40"/>
    <mergeCell ref="CC40:CM40"/>
    <mergeCell ref="CP40:CZ40"/>
    <mergeCell ref="DC40:DM40"/>
    <mergeCell ref="EP40:EZ40"/>
    <mergeCell ref="DP40:DZ40"/>
    <mergeCell ref="EC40:E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2011-10-27T12:41:53Z</cp:lastPrinted>
  <dcterms:created xsi:type="dcterms:W3CDTF">1997-12-04T19:04:30Z</dcterms:created>
  <dcterms:modified xsi:type="dcterms:W3CDTF">2025-01-10T19:51:08Z</dcterms:modified>
</cp:coreProperties>
</file>