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1DE5E51-12C7-4DF9-A92B-CCD40E95A25D}" xr6:coauthVersionLast="47" xr6:coauthVersionMax="47" xr10:uidLastSave="{00000000-0000-0000-0000-000000000000}"/>
  <workbookProtection workbookPassword="B30A" lockStructure="1"/>
  <bookViews>
    <workbookView xWindow="31050" yWindow="2250" windowWidth="21600" windowHeight="11505" tabRatio="855" xr2:uid="{99548CFF-0196-4FB5-940B-A3B37E60B43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1" l="1"/>
  <c r="K487" i="1" s="1"/>
  <c r="F119" i="1"/>
  <c r="G434" i="1"/>
  <c r="C37" i="10"/>
  <c r="C60" i="2"/>
  <c r="B2" i="13"/>
  <c r="F8" i="13"/>
  <c r="G8" i="13"/>
  <c r="L196" i="1"/>
  <c r="L214" i="1"/>
  <c r="L232" i="1"/>
  <c r="C112" i="2" s="1"/>
  <c r="D39" i="13"/>
  <c r="F13" i="13"/>
  <c r="G13" i="13"/>
  <c r="L198" i="1"/>
  <c r="L216" i="1"/>
  <c r="L234" i="1"/>
  <c r="C19" i="10" s="1"/>
  <c r="F16" i="13"/>
  <c r="E16" i="13" s="1"/>
  <c r="C16" i="13" s="1"/>
  <c r="G16" i="13"/>
  <c r="L201" i="1"/>
  <c r="L219" i="1"/>
  <c r="L237" i="1"/>
  <c r="F5" i="13"/>
  <c r="G5" i="13"/>
  <c r="G33" i="13" s="1"/>
  <c r="L189" i="1"/>
  <c r="C10" i="10" s="1"/>
  <c r="L190" i="1"/>
  <c r="L191" i="1"/>
  <c r="L192" i="1"/>
  <c r="L207" i="1"/>
  <c r="L208" i="1"/>
  <c r="L209" i="1"/>
  <c r="C12" i="10" s="1"/>
  <c r="L210" i="1"/>
  <c r="L225" i="1"/>
  <c r="L226" i="1"/>
  <c r="L227" i="1"/>
  <c r="L239" i="1" s="1"/>
  <c r="L228" i="1"/>
  <c r="C104" i="2" s="1"/>
  <c r="F6" i="13"/>
  <c r="G6" i="13"/>
  <c r="L194" i="1"/>
  <c r="L212" i="1"/>
  <c r="L230" i="1"/>
  <c r="C15" i="10" s="1"/>
  <c r="C110" i="2"/>
  <c r="F7" i="13"/>
  <c r="G7" i="13"/>
  <c r="L195" i="1"/>
  <c r="L213" i="1"/>
  <c r="D7" i="13"/>
  <c r="C7" i="13"/>
  <c r="L231" i="1"/>
  <c r="C111" i="2" s="1"/>
  <c r="F12" i="13"/>
  <c r="G12" i="13"/>
  <c r="L197" i="1"/>
  <c r="L215" i="1"/>
  <c r="C113" i="2" s="1"/>
  <c r="L233" i="1"/>
  <c r="F14" i="13"/>
  <c r="G14" i="13"/>
  <c r="L199" i="1"/>
  <c r="L217" i="1"/>
  <c r="L235" i="1"/>
  <c r="C115" i="2" s="1"/>
  <c r="F15" i="13"/>
  <c r="D15" i="13" s="1"/>
  <c r="C15" i="13" s="1"/>
  <c r="G15" i="13"/>
  <c r="L200" i="1"/>
  <c r="L218" i="1"/>
  <c r="L236" i="1"/>
  <c r="H652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/>
  <c r="C19" i="13"/>
  <c r="F29" i="13"/>
  <c r="G29" i="13"/>
  <c r="L350" i="1"/>
  <c r="L351" i="1"/>
  <c r="L352" i="1"/>
  <c r="D29" i="13" s="1"/>
  <c r="C29" i="13" s="1"/>
  <c r="I359" i="1"/>
  <c r="I361" i="1" s="1"/>
  <c r="H624" i="1" s="1"/>
  <c r="J282" i="1"/>
  <c r="F31" i="13" s="1"/>
  <c r="J301" i="1"/>
  <c r="J320" i="1"/>
  <c r="K282" i="1"/>
  <c r="K301" i="1"/>
  <c r="G31" i="13" s="1"/>
  <c r="K320" i="1"/>
  <c r="L268" i="1"/>
  <c r="L269" i="1"/>
  <c r="L270" i="1"/>
  <c r="L271" i="1"/>
  <c r="L282" i="1" s="1"/>
  <c r="E104" i="2"/>
  <c r="L273" i="1"/>
  <c r="E110" i="2" s="1"/>
  <c r="E120" i="2" s="1"/>
  <c r="L274" i="1"/>
  <c r="L275" i="1"/>
  <c r="L276" i="1"/>
  <c r="L277" i="1"/>
  <c r="L278" i="1"/>
  <c r="E115" i="2" s="1"/>
  <c r="L279" i="1"/>
  <c r="L280" i="1"/>
  <c r="L287" i="1"/>
  <c r="L288" i="1"/>
  <c r="E102" i="2" s="1"/>
  <c r="L289" i="1"/>
  <c r="E103" i="2" s="1"/>
  <c r="L290" i="1"/>
  <c r="L292" i="1"/>
  <c r="L293" i="1"/>
  <c r="L294" i="1"/>
  <c r="E112" i="2" s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/>
  <c r="L326" i="1"/>
  <c r="L327" i="1"/>
  <c r="L252" i="1"/>
  <c r="L253" i="1"/>
  <c r="L333" i="1"/>
  <c r="H25" i="13" s="1"/>
  <c r="L334" i="1"/>
  <c r="C25" i="10" s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13" i="12"/>
  <c r="C9" i="12"/>
  <c r="A13" i="12" s="1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96" i="2" s="1"/>
  <c r="G51" i="2"/>
  <c r="G54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C35" i="10" s="1"/>
  <c r="C48" i="2"/>
  <c r="G52" i="1"/>
  <c r="H52" i="1"/>
  <c r="E48" i="2"/>
  <c r="I52" i="1"/>
  <c r="F71" i="1"/>
  <c r="C49" i="2" s="1"/>
  <c r="C54" i="2" s="1"/>
  <c r="F86" i="1"/>
  <c r="C50" i="2" s="1"/>
  <c r="F103" i="1"/>
  <c r="G103" i="1"/>
  <c r="G104" i="1"/>
  <c r="H71" i="1"/>
  <c r="H104" i="1" s="1"/>
  <c r="H86" i="1"/>
  <c r="H103" i="1"/>
  <c r="I103" i="1"/>
  <c r="I104" i="1"/>
  <c r="I185" i="1" s="1"/>
  <c r="G620" i="1" s="1"/>
  <c r="J620" i="1" s="1"/>
  <c r="J103" i="1"/>
  <c r="J104" i="1" s="1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54" i="1"/>
  <c r="F161" i="1" s="1"/>
  <c r="C39" i="10" s="1"/>
  <c r="G139" i="1"/>
  <c r="G161" i="1" s="1"/>
  <c r="G154" i="1"/>
  <c r="H139" i="1"/>
  <c r="H154" i="1"/>
  <c r="H161" i="1"/>
  <c r="I139" i="1"/>
  <c r="I161" i="1" s="1"/>
  <c r="I154" i="1"/>
  <c r="C21" i="10"/>
  <c r="L242" i="1"/>
  <c r="C23" i="10" s="1"/>
  <c r="L324" i="1"/>
  <c r="L246" i="1"/>
  <c r="L260" i="1"/>
  <c r="C26" i="10" s="1"/>
  <c r="L261" i="1"/>
  <c r="C135" i="2" s="1"/>
  <c r="L341" i="1"/>
  <c r="L342" i="1"/>
  <c r="I655" i="1"/>
  <c r="I660" i="1"/>
  <c r="G652" i="1"/>
  <c r="I659" i="1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 s="1"/>
  <c r="K540" i="1" s="1"/>
  <c r="L513" i="1"/>
  <c r="F541" i="1" s="1"/>
  <c r="L516" i="1"/>
  <c r="L519" i="1" s="1"/>
  <c r="L517" i="1"/>
  <c r="G540" i="1"/>
  <c r="L518" i="1"/>
  <c r="G541" i="1"/>
  <c r="L521" i="1"/>
  <c r="H539" i="1" s="1"/>
  <c r="L522" i="1"/>
  <c r="H540" i="1" s="1"/>
  <c r="L523" i="1"/>
  <c r="H541" i="1" s="1"/>
  <c r="L526" i="1"/>
  <c r="L529" i="1" s="1"/>
  <c r="L527" i="1"/>
  <c r="I540" i="1"/>
  <c r="L528" i="1"/>
  <c r="I541" i="1"/>
  <c r="L531" i="1"/>
  <c r="J539" i="1" s="1"/>
  <c r="L532" i="1"/>
  <c r="J540" i="1" s="1"/>
  <c r="L533" i="1"/>
  <c r="J541" i="1" s="1"/>
  <c r="E124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C19" i="2" s="1"/>
  <c r="D9" i="2"/>
  <c r="E9" i="2"/>
  <c r="F9" i="2"/>
  <c r="I431" i="1"/>
  <c r="I438" i="1" s="1"/>
  <c r="G632" i="1" s="1"/>
  <c r="J9" i="1"/>
  <c r="G9" i="2" s="1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F13" i="2"/>
  <c r="F14" i="2"/>
  <c r="F15" i="2"/>
  <c r="F16" i="2"/>
  <c r="F17" i="2"/>
  <c r="F18" i="2"/>
  <c r="I433" i="1"/>
  <c r="J12" i="1"/>
  <c r="G12" i="2"/>
  <c r="C13" i="2"/>
  <c r="D13" i="2"/>
  <c r="D19" i="2" s="1"/>
  <c r="E13" i="2"/>
  <c r="I434" i="1"/>
  <c r="J13" i="1"/>
  <c r="G13" i="2" s="1"/>
  <c r="C14" i="2"/>
  <c r="D14" i="2"/>
  <c r="E14" i="2"/>
  <c r="I435" i="1"/>
  <c r="J14" i="1"/>
  <c r="G14" i="2"/>
  <c r="C16" i="2"/>
  <c r="D16" i="2"/>
  <c r="E16" i="2"/>
  <c r="C17" i="2"/>
  <c r="D17" i="2"/>
  <c r="E17" i="2"/>
  <c r="I436" i="1"/>
  <c r="J17" i="1" s="1"/>
  <c r="G17" i="2" s="1"/>
  <c r="C18" i="2"/>
  <c r="D18" i="2"/>
  <c r="E18" i="2"/>
  <c r="I437" i="1"/>
  <c r="J18" i="1"/>
  <c r="G18" i="2" s="1"/>
  <c r="C22" i="2"/>
  <c r="D22" i="2"/>
  <c r="E22" i="2"/>
  <c r="F22" i="2"/>
  <c r="I440" i="1"/>
  <c r="J23" i="1" s="1"/>
  <c r="C23" i="2"/>
  <c r="D23" i="2"/>
  <c r="E23" i="2"/>
  <c r="F23" i="2"/>
  <c r="F32" i="2" s="1"/>
  <c r="I441" i="1"/>
  <c r="J24" i="1" s="1"/>
  <c r="G23" i="2" s="1"/>
  <c r="C24" i="2"/>
  <c r="D24" i="2"/>
  <c r="E24" i="2"/>
  <c r="F24" i="2"/>
  <c r="I442" i="1"/>
  <c r="J25" i="1" s="1"/>
  <c r="G24" i="2" s="1"/>
  <c r="C25" i="2"/>
  <c r="D25" i="2"/>
  <c r="D32" i="2" s="1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E42" i="2" s="1"/>
  <c r="E43" i="2" s="1"/>
  <c r="F36" i="2"/>
  <c r="I446" i="1"/>
  <c r="J37" i="1" s="1"/>
  <c r="C37" i="2"/>
  <c r="D37" i="2"/>
  <c r="E37" i="2"/>
  <c r="F37" i="2"/>
  <c r="I447" i="1"/>
  <c r="J38" i="1"/>
  <c r="C38" i="2"/>
  <c r="D38" i="2"/>
  <c r="E38" i="2"/>
  <c r="F38" i="2"/>
  <c r="F40" i="2"/>
  <c r="F41" i="2"/>
  <c r="F42" i="2"/>
  <c r="F43" i="2" s="1"/>
  <c r="I448" i="1"/>
  <c r="J40" i="1" s="1"/>
  <c r="G39" i="2" s="1"/>
  <c r="C40" i="2"/>
  <c r="D40" i="2"/>
  <c r="E40" i="2"/>
  <c r="I449" i="1"/>
  <c r="J41" i="1" s="1"/>
  <c r="G40" i="2" s="1"/>
  <c r="C41" i="2"/>
  <c r="D41" i="2"/>
  <c r="E41" i="2"/>
  <c r="D48" i="2"/>
  <c r="F48" i="2"/>
  <c r="E50" i="2"/>
  <c r="E51" i="2"/>
  <c r="E53" i="2"/>
  <c r="C51" i="2"/>
  <c r="D51" i="2"/>
  <c r="F51" i="2"/>
  <c r="F54" i="2" s="1"/>
  <c r="F55" i="2" s="1"/>
  <c r="F53" i="2"/>
  <c r="D52" i="2"/>
  <c r="D53" i="2"/>
  <c r="D54" i="2"/>
  <c r="D55" i="2"/>
  <c r="D96" i="2" s="1"/>
  <c r="C53" i="2"/>
  <c r="C58" i="2"/>
  <c r="C59" i="2"/>
  <c r="C61" i="2"/>
  <c r="D61" i="2"/>
  <c r="E61" i="2"/>
  <c r="E62" i="2" s="1"/>
  <c r="E73" i="2" s="1"/>
  <c r="F61" i="2"/>
  <c r="F62" i="2"/>
  <c r="G61" i="2"/>
  <c r="G62" i="2"/>
  <c r="D62" i="2"/>
  <c r="C64" i="2"/>
  <c r="C70" i="2" s="1"/>
  <c r="C73" i="2" s="1"/>
  <c r="F64" i="2"/>
  <c r="C65" i="2"/>
  <c r="F65" i="2"/>
  <c r="C66" i="2"/>
  <c r="C67" i="2"/>
  <c r="C68" i="2"/>
  <c r="C69" i="2"/>
  <c r="E68" i="2"/>
  <c r="F68" i="2"/>
  <c r="F70" i="2" s="1"/>
  <c r="F73" i="2" s="1"/>
  <c r="D69" i="2"/>
  <c r="D70" i="2" s="1"/>
  <c r="D73" i="2" s="1"/>
  <c r="E69" i="2"/>
  <c r="F69" i="2"/>
  <c r="G69" i="2"/>
  <c r="E70" i="2"/>
  <c r="G70" i="2"/>
  <c r="G73" i="2" s="1"/>
  <c r="C71" i="2"/>
  <c r="D71" i="2"/>
  <c r="E71" i="2"/>
  <c r="C72" i="2"/>
  <c r="E72" i="2"/>
  <c r="C77" i="2"/>
  <c r="C83" i="2" s="1"/>
  <c r="D77" i="2"/>
  <c r="E77" i="2"/>
  <c r="C79" i="2"/>
  <c r="E79" i="2"/>
  <c r="E83" i="2" s="1"/>
  <c r="F79" i="2"/>
  <c r="F80" i="2"/>
  <c r="F81" i="2"/>
  <c r="C80" i="2"/>
  <c r="D80" i="2"/>
  <c r="D83" i="2" s="1"/>
  <c r="E80" i="2"/>
  <c r="C81" i="2"/>
  <c r="D81" i="2"/>
  <c r="E81" i="2"/>
  <c r="C82" i="2"/>
  <c r="C85" i="2"/>
  <c r="C95" i="2" s="1"/>
  <c r="C86" i="2"/>
  <c r="C89" i="2"/>
  <c r="C90" i="2"/>
  <c r="C91" i="2"/>
  <c r="C92" i="2"/>
  <c r="C93" i="2"/>
  <c r="C94" i="2"/>
  <c r="F85" i="2"/>
  <c r="F86" i="2"/>
  <c r="D88" i="2"/>
  <c r="E88" i="2"/>
  <c r="E95" i="2" s="1"/>
  <c r="F88" i="2"/>
  <c r="G88" i="2"/>
  <c r="D89" i="2"/>
  <c r="E89" i="2"/>
  <c r="F89" i="2"/>
  <c r="F95" i="2" s="1"/>
  <c r="G89" i="2"/>
  <c r="G95" i="2" s="1"/>
  <c r="D90" i="2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C101" i="2"/>
  <c r="C102" i="2"/>
  <c r="D107" i="2"/>
  <c r="F107" i="2"/>
  <c r="F137" i="2" s="1"/>
  <c r="G107" i="2"/>
  <c r="E113" i="2"/>
  <c r="C114" i="2"/>
  <c r="E114" i="2"/>
  <c r="E116" i="2"/>
  <c r="C117" i="2"/>
  <c r="F120" i="2"/>
  <c r="G120" i="2"/>
  <c r="G137" i="2" s="1"/>
  <c r="C122" i="2"/>
  <c r="E122" i="2"/>
  <c r="F126" i="2"/>
  <c r="D126" i="2"/>
  <c r="D136" i="2" s="1"/>
  <c r="E126" i="2"/>
  <c r="K411" i="1"/>
  <c r="K419" i="1"/>
  <c r="K425" i="1"/>
  <c r="K426" i="1" s="1"/>
  <c r="G126" i="2" s="1"/>
  <c r="G136" i="2" s="1"/>
  <c r="L255" i="1"/>
  <c r="C127" i="2"/>
  <c r="E127" i="2"/>
  <c r="L256" i="1"/>
  <c r="C128" i="2" s="1"/>
  <c r="L257" i="1"/>
  <c r="C129" i="2"/>
  <c r="E129" i="2"/>
  <c r="C134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G152" i="2" s="1"/>
  <c r="F152" i="2"/>
  <c r="F490" i="1"/>
  <c r="B153" i="2" s="1"/>
  <c r="E153" i="2"/>
  <c r="F153" i="2"/>
  <c r="G490" i="1"/>
  <c r="C153" i="2" s="1"/>
  <c r="H490" i="1"/>
  <c r="D153" i="2" s="1"/>
  <c r="I490" i="1"/>
  <c r="J490" i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F156" i="2"/>
  <c r="G493" i="1"/>
  <c r="C156" i="2" s="1"/>
  <c r="H493" i="1"/>
  <c r="D156" i="2" s="1"/>
  <c r="I493" i="1"/>
  <c r="E156" i="2" s="1"/>
  <c r="J493" i="1"/>
  <c r="F19" i="1"/>
  <c r="G607" i="1" s="1"/>
  <c r="G19" i="1"/>
  <c r="G608" i="1" s="1"/>
  <c r="J608" i="1" s="1"/>
  <c r="H19" i="1"/>
  <c r="G609" i="1"/>
  <c r="I19" i="1"/>
  <c r="G610" i="1" s="1"/>
  <c r="J610" i="1" s="1"/>
  <c r="F33" i="1"/>
  <c r="F44" i="1" s="1"/>
  <c r="H607" i="1" s="1"/>
  <c r="G33" i="1"/>
  <c r="H33" i="1"/>
  <c r="I33" i="1"/>
  <c r="F43" i="1"/>
  <c r="G43" i="1"/>
  <c r="G613" i="1" s="1"/>
  <c r="J613" i="1" s="1"/>
  <c r="H43" i="1"/>
  <c r="H44" i="1" s="1"/>
  <c r="H609" i="1" s="1"/>
  <c r="J609" i="1" s="1"/>
  <c r="I43" i="1"/>
  <c r="I44" i="1"/>
  <c r="H610" i="1"/>
  <c r="F169" i="1"/>
  <c r="I169" i="1"/>
  <c r="F175" i="1"/>
  <c r="F184" i="1" s="1"/>
  <c r="G175" i="1"/>
  <c r="G184" i="1" s="1"/>
  <c r="H175" i="1"/>
  <c r="H184" i="1" s="1"/>
  <c r="I175" i="1"/>
  <c r="J175" i="1"/>
  <c r="J184" i="1"/>
  <c r="F180" i="1"/>
  <c r="G180" i="1"/>
  <c r="H180" i="1"/>
  <c r="I180" i="1"/>
  <c r="I184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J249" i="1" s="1"/>
  <c r="K248" i="1"/>
  <c r="F282" i="1"/>
  <c r="G282" i="1"/>
  <c r="H282" i="1"/>
  <c r="H330" i="1" s="1"/>
  <c r="H344" i="1" s="1"/>
  <c r="I282" i="1"/>
  <c r="F301" i="1"/>
  <c r="G301" i="1"/>
  <c r="G330" i="1" s="1"/>
  <c r="G344" i="1" s="1"/>
  <c r="H301" i="1"/>
  <c r="I301" i="1"/>
  <c r="F320" i="1"/>
  <c r="F330" i="1" s="1"/>
  <c r="F344" i="1" s="1"/>
  <c r="G320" i="1"/>
  <c r="H320" i="1"/>
  <c r="I320" i="1"/>
  <c r="F329" i="1"/>
  <c r="G329" i="1"/>
  <c r="L329" i="1"/>
  <c r="H329" i="1"/>
  <c r="I329" i="1"/>
  <c r="J329" i="1"/>
  <c r="K329" i="1"/>
  <c r="K330" i="1"/>
  <c r="K344" i="1" s="1"/>
  <c r="J330" i="1"/>
  <c r="J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F400" i="1"/>
  <c r="H633" i="1" s="1"/>
  <c r="J633" i="1" s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I426" i="1"/>
  <c r="J426" i="1"/>
  <c r="F438" i="1"/>
  <c r="G629" i="1" s="1"/>
  <c r="J629" i="1" s="1"/>
  <c r="G438" i="1"/>
  <c r="H438" i="1"/>
  <c r="G631" i="1"/>
  <c r="J631" i="1" s="1"/>
  <c r="F444" i="1"/>
  <c r="G444" i="1"/>
  <c r="G451" i="1" s="1"/>
  <c r="H630" i="1" s="1"/>
  <c r="J630" i="1" s="1"/>
  <c r="H444" i="1"/>
  <c r="F450" i="1"/>
  <c r="F451" i="1" s="1"/>
  <c r="H629" i="1" s="1"/>
  <c r="G450" i="1"/>
  <c r="H450" i="1"/>
  <c r="H451" i="1"/>
  <c r="H631" i="1" s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J612" i="1" s="1"/>
  <c r="G464" i="1"/>
  <c r="H464" i="1"/>
  <c r="I464" i="1"/>
  <c r="J464" i="1"/>
  <c r="K485" i="1"/>
  <c r="K486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K535" i="1" s="1"/>
  <c r="F519" i="1"/>
  <c r="G519" i="1"/>
  <c r="H519" i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G535" i="1"/>
  <c r="L547" i="1"/>
  <c r="L550" i="1" s="1"/>
  <c r="L548" i="1"/>
  <c r="L549" i="1"/>
  <c r="F550" i="1"/>
  <c r="G550" i="1"/>
  <c r="H550" i="1"/>
  <c r="I550" i="1"/>
  <c r="I561" i="1"/>
  <c r="J550" i="1"/>
  <c r="J561" i="1" s="1"/>
  <c r="K550" i="1"/>
  <c r="L552" i="1"/>
  <c r="L555" i="1"/>
  <c r="L553" i="1"/>
  <c r="L554" i="1"/>
  <c r="F555" i="1"/>
  <c r="G555" i="1"/>
  <c r="G561" i="1" s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F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12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G633" i="1"/>
  <c r="G634" i="1"/>
  <c r="J634" i="1" s="1"/>
  <c r="H637" i="1"/>
  <c r="G639" i="1"/>
  <c r="G640" i="1"/>
  <c r="J640" i="1" s="1"/>
  <c r="G641" i="1"/>
  <c r="J641" i="1" s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G44" i="1"/>
  <c r="H608" i="1" s="1"/>
  <c r="G148" i="2"/>
  <c r="D95" i="2"/>
  <c r="C62" i="2"/>
  <c r="C42" i="2"/>
  <c r="C43" i="2"/>
  <c r="A40" i="12"/>
  <c r="D12" i="13"/>
  <c r="C12" i="13" s="1"/>
  <c r="G37" i="2"/>
  <c r="G635" i="1"/>
  <c r="C116" i="2"/>
  <c r="E105" i="2"/>
  <c r="F652" i="1"/>
  <c r="I652" i="1" s="1"/>
  <c r="C18" i="10"/>
  <c r="C16" i="10"/>
  <c r="E117" i="2"/>
  <c r="E111" i="2"/>
  <c r="I330" i="1"/>
  <c r="I344" i="1"/>
  <c r="L221" i="1"/>
  <c r="I249" i="1"/>
  <c r="I263" i="1" s="1"/>
  <c r="H249" i="1"/>
  <c r="H263" i="1" s="1"/>
  <c r="L203" i="1"/>
  <c r="L249" i="1" s="1"/>
  <c r="E13" i="13"/>
  <c r="C13" i="13" s="1"/>
  <c r="H535" i="1"/>
  <c r="L514" i="1"/>
  <c r="K493" i="1"/>
  <c r="L535" i="1" l="1"/>
  <c r="G36" i="2"/>
  <c r="G42" i="2" s="1"/>
  <c r="J43" i="1"/>
  <c r="C25" i="13"/>
  <c r="H33" i="13"/>
  <c r="L561" i="1"/>
  <c r="L426" i="1"/>
  <c r="G628" i="1" s="1"/>
  <c r="J628" i="1" s="1"/>
  <c r="G156" i="2"/>
  <c r="F542" i="1"/>
  <c r="K539" i="1"/>
  <c r="K542" i="1" s="1"/>
  <c r="J185" i="1"/>
  <c r="H650" i="1"/>
  <c r="F33" i="13"/>
  <c r="G19" i="2"/>
  <c r="L263" i="1"/>
  <c r="G622" i="1" s="1"/>
  <c r="J622" i="1" s="1"/>
  <c r="G22" i="2"/>
  <c r="G32" i="2" s="1"/>
  <c r="J33" i="1"/>
  <c r="C55" i="2"/>
  <c r="C96" i="2" s="1"/>
  <c r="F650" i="1"/>
  <c r="J624" i="1"/>
  <c r="H542" i="1"/>
  <c r="H185" i="1"/>
  <c r="G619" i="1" s="1"/>
  <c r="J619" i="1" s="1"/>
  <c r="C120" i="2"/>
  <c r="H638" i="1"/>
  <c r="J638" i="1" s="1"/>
  <c r="J263" i="1"/>
  <c r="G185" i="1"/>
  <c r="G618" i="1" s="1"/>
  <c r="J618" i="1" s="1"/>
  <c r="C130" i="2"/>
  <c r="C133" i="2" s="1"/>
  <c r="L400" i="1"/>
  <c r="J607" i="1"/>
  <c r="J542" i="1"/>
  <c r="G153" i="2"/>
  <c r="C38" i="10"/>
  <c r="K541" i="1"/>
  <c r="I444" i="1"/>
  <c r="C20" i="10"/>
  <c r="D119" i="2"/>
  <c r="D120" i="2" s="1"/>
  <c r="D137" i="2" s="1"/>
  <c r="I450" i="1"/>
  <c r="G614" i="1"/>
  <c r="J614" i="1" s="1"/>
  <c r="C106" i="2"/>
  <c r="E49" i="2"/>
  <c r="E54" i="2" s="1"/>
  <c r="E55" i="2" s="1"/>
  <c r="E96" i="2" s="1"/>
  <c r="C32" i="10"/>
  <c r="F104" i="1"/>
  <c r="F185" i="1" s="1"/>
  <c r="G617" i="1" s="1"/>
  <c r="J617" i="1" s="1"/>
  <c r="C24" i="10"/>
  <c r="L524" i="1"/>
  <c r="C105" i="2"/>
  <c r="E101" i="2"/>
  <c r="E107" i="2" s="1"/>
  <c r="E137" i="2" s="1"/>
  <c r="D5" i="13"/>
  <c r="C13" i="10"/>
  <c r="L301" i="1"/>
  <c r="G650" i="1" s="1"/>
  <c r="G654" i="1" s="1"/>
  <c r="F651" i="1"/>
  <c r="E123" i="2"/>
  <c r="E136" i="2" s="1"/>
  <c r="I539" i="1"/>
  <c r="I542" i="1" s="1"/>
  <c r="G539" i="1"/>
  <c r="G542" i="1" s="1"/>
  <c r="L343" i="1"/>
  <c r="C11" i="10"/>
  <c r="C103" i="2"/>
  <c r="C107" i="2" s="1"/>
  <c r="C29" i="10"/>
  <c r="G651" i="1"/>
  <c r="L354" i="1"/>
  <c r="L374" i="1"/>
  <c r="G626" i="1" s="1"/>
  <c r="J626" i="1" s="1"/>
  <c r="D14" i="13"/>
  <c r="C14" i="13" s="1"/>
  <c r="H651" i="1"/>
  <c r="C17" i="10"/>
  <c r="J19" i="1"/>
  <c r="G611" i="1" s="1"/>
  <c r="E8" i="13"/>
  <c r="B150" i="2"/>
  <c r="G150" i="2" s="1"/>
  <c r="F77" i="2"/>
  <c r="F83" i="2" s="1"/>
  <c r="F96" i="2" s="1"/>
  <c r="D6" i="13"/>
  <c r="C6" i="13" s="1"/>
  <c r="C137" i="2" l="1"/>
  <c r="G636" i="1"/>
  <c r="J636" i="1" s="1"/>
  <c r="G621" i="1"/>
  <c r="J621" i="1" s="1"/>
  <c r="F654" i="1"/>
  <c r="I650" i="1"/>
  <c r="I451" i="1"/>
  <c r="H632" i="1" s="1"/>
  <c r="J632" i="1" s="1"/>
  <c r="D31" i="13"/>
  <c r="C31" i="13" s="1"/>
  <c r="G625" i="1"/>
  <c r="J625" i="1" s="1"/>
  <c r="C27" i="10"/>
  <c r="C28" i="10" s="1"/>
  <c r="G627" i="1"/>
  <c r="J627" i="1" s="1"/>
  <c r="H636" i="1"/>
  <c r="I651" i="1"/>
  <c r="G657" i="1"/>
  <c r="G662" i="1"/>
  <c r="C5" i="10" s="1"/>
  <c r="L330" i="1"/>
  <c r="L344" i="1" s="1"/>
  <c r="G623" i="1" s="1"/>
  <c r="J623" i="1" s="1"/>
  <c r="C5" i="13"/>
  <c r="C36" i="10"/>
  <c r="G616" i="1"/>
  <c r="J616" i="1" s="1"/>
  <c r="J44" i="1"/>
  <c r="H611" i="1" s="1"/>
  <c r="J611" i="1" s="1"/>
  <c r="G43" i="2"/>
  <c r="C8" i="13"/>
  <c r="E33" i="13"/>
  <c r="D35" i="13" s="1"/>
  <c r="C136" i="2"/>
  <c r="H654" i="1"/>
  <c r="D21" i="10" l="1"/>
  <c r="C30" i="10"/>
  <c r="D22" i="10"/>
  <c r="D18" i="10"/>
  <c r="D16" i="10"/>
  <c r="D23" i="10"/>
  <c r="D26" i="10"/>
  <c r="D15" i="10"/>
  <c r="D19" i="10"/>
  <c r="D25" i="10"/>
  <c r="D12" i="10"/>
  <c r="D10" i="10"/>
  <c r="D20" i="10"/>
  <c r="D17" i="10"/>
  <c r="D11" i="10"/>
  <c r="D13" i="10"/>
  <c r="D24" i="10"/>
  <c r="C41" i="10"/>
  <c r="D36" i="10" s="1"/>
  <c r="H662" i="1"/>
  <c r="C6" i="10" s="1"/>
  <c r="H657" i="1"/>
  <c r="D33" i="13"/>
  <c r="D36" i="13" s="1"/>
  <c r="I654" i="1"/>
  <c r="F657" i="1"/>
  <c r="F662" i="1"/>
  <c r="C4" i="10" s="1"/>
  <c r="H646" i="1"/>
  <c r="D27" i="10"/>
  <c r="D28" i="10" l="1"/>
  <c r="I657" i="1"/>
  <c r="I662" i="1"/>
  <c r="C7" i="10" s="1"/>
  <c r="D37" i="10"/>
  <c r="D40" i="10"/>
  <c r="D39" i="10"/>
  <c r="D35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132188A-AB49-45BD-A892-7156E2A3C2E5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2E9DCE8-9E4D-4B61-BA6F-67D549AF6C59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6DF9CE4-6160-4978-9CDA-CE04EE2BAB19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A2704EF-061F-4890-8DA0-199BB6E121A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CF639ECC-C0D9-4DC3-9AB3-D07BDBBF907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BAAB40A-283B-4802-9974-D578A339D3E2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D57F7593-61BA-4CED-874C-CB1E9D03188C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7E81390E-6A1D-4ADA-A9D1-86343A96422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7B5F5A45-CDBA-438A-B848-FEA6C63C8804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5AD98460-9FBB-4E15-B6B0-51FC04C54E9A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D5ACF61-E160-4203-92BA-AC8639C65AC3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8035075-6C55-48E2-B249-5E3E8A411A17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<sst xmlns="http://schemas.openxmlformats.org/spreadsheetml/2006/main" count="3860" uniqueCount="897">
  <si>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</si>
  <si>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</si>
  <si>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</si>
  <si>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</si>
  <si>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</si>
  <si>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</si>
  <si>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</si>
  <si>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</si>
  <si>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</si>
  <si>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</si>
  <si>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</si>
  <si>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</si>
  <si>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</si>
  <si>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</si>
  <si>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</si>
  <si>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</si>
  <si>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</si>
  <si>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</si>
  <si>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</si>
  <si>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</si>
  <si>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</si>
  <si>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</si>
  <si>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</si>
  <si>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</si>
  <si>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</si>
  <si>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</si>
  <si>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</si>
  <si>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</si>
  <si>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</si>
  <si>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</si>
  <si>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</si>
  <si>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</si>
  <si>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</si>
  <si>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</si>
  <si>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</si>
  <si>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</si>
  <si>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</si>
  <si>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</si>
  <si>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</si>
  <si>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</si>
  <si>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</si>
  <si>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</si>
  <si>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</si>
  <si>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</si>
  <si>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</si>
  <si>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</si>
  <si>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</si>
  <si>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</si>
  <si>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</si>
  <si>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</si>
  <si>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</si>
  <si>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</si>
  <si>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</si>
  <si>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</si>
  <si>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</si>
  <si>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</si>
  <si>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</si>
  <si>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</si>
  <si>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</si>
  <si>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</si>
  <si>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</si>
  <si>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</si>
  <si>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</si>
  <si>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</si>
  <si>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</si>
  <si>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</si>
  <si>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</si>
  <si>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</si>
  <si>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</si>
  <si>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</si>
  <si>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</si>
  <si>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</si>
  <si>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</si>
  <si>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</si>
  <si>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</si>
  <si>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</si>
  <si>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</si>
  <si>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</si>
  <si>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</si>
  <si>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</si>
  <si>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</si>
  <si>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</si>
  <si>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</si>
  <si>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</si>
  <si>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</si>
  <si>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</si>
  <si>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</si>
  <si>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</si>
  <si>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</si>
  <si>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</si>
  <si>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</si>
  <si>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</si>
  <si>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</si>
  <si>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</si>
  <si>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</si>
  <si>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</si>
  <si>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</si>
  <si>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</si>
  <si>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</si>
  <si>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</si>
  <si>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</si>
  <si>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</si>
  <si>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</si>
  <si>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</si>
  <si>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</si>
  <si>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</si>
  <si>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</si>
  <si>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</si>
  <si>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</si>
  <si>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</si>
  <si>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</si>
  <si>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</si>
  <si>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</si>
  <si>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</si>
  <si>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</si>
  <si>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</si>
  <si>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</si>
  <si>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</si>
  <si>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</si>
  <si>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</si>
  <si>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</si>
  <si>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</si>
  <si>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</si>
  <si>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</si>
  <si>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</si>
  <si>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</si>
  <si>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</si>
  <si>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</si>
  <si>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</si>
  <si>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</si>
  <si>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</si>
  <si>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</si>
  <si>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</si>
  <si>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</si>
  <si>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</si>
  <si>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</si>
  <si>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</si>
  <si>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</si>
  <si>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</si>
  <si>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</si>
  <si>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</si>
  <si>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</si>
  <si>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</si>
  <si>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</si>
  <si>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</si>
  <si>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</si>
  <si>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</si>
  <si>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</si>
  <si>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</si>
  <si>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</si>
  <si>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</si>
  <si>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</si>
  <si>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</si>
  <si>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</si>
  <si>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</si>
  <si>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</si>
  <si>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</si>
  <si>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</si>
  <si>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</si>
  <si>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</si>
  <si>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</si>
  <si>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</si>
  <si>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</si>
  <si>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</si>
  <si>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</si>
  <si>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</si>
  <si>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</si>
  <si>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</si>
  <si>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</si>
  <si>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</si>
  <si>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</si>
  <si>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</si>
  <si>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</si>
  <si>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</si>
  <si>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</si>
  <si>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</si>
  <si>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</si>
  <si>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</si>
  <si>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</si>
  <si>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</si>
  <si>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</si>
  <si>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</si>
  <si>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</si>
  <si>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</si>
  <si>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</si>
  <si>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</si>
  <si>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</si>
  <si>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</si>
  <si>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</si>
  <si>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</si>
  <si>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</si>
  <si>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</si>
  <si>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</si>
  <si>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</si>
  <si>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</si>
  <si>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</si>
  <si>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</si>
  <si>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</si>
  <si>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</si>
  <si>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</si>
  <si>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</si>
  <si>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</si>
  <si>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</si>
  <si>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</si>
  <si>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</si>
  <si>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</si>
  <si>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</si>
  <si>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</si>
  <si>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</si>
  <si>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</si>
  <si>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</si>
  <si>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</si>
  <si>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</si>
  <si>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</si>
  <si>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</si>
  <si>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</si>
  <si>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</si>
  <si>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</si>
  <si>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</si>
  <si>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</si>
  <si>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</si>
  <si>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</si>
  <si>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</si>
  <si>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</si>
  <si>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</si>
  <si>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</si>
  <si>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</si>
  <si>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</si>
  <si>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</si>
  <si>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</si>
  <si>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</si>
  <si>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</si>
  <si>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</si>
  <si>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</si>
  <si>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</si>
  <si>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</si>
  <si>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</si>
  <si>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</si>
  <si>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</si>
  <si>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</si>
  <si>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</si>
  <si>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</si>
  <si>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</si>
  <si>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</si>
  <si>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</si>
  <si>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</si>
  <si>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</si>
  <si>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</si>
  <si>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</si>
  <si>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</si>
  <si>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</si>
  <si>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</si>
  <si>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</si>
  <si>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</si>
  <si>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</si>
  <si>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</si>
  <si>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</si>
  <si>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</si>
  <si>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</si>
  <si>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</si>
  <si>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</si>
  <si>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</si>
  <si>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</si>
  <si>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</si>
  <si>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</si>
  <si>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</si>
  <si>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</si>
  <si>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</si>
  <si>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</si>
  <si>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</si>
  <si>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</si>
  <si>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</si>
  <si>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</si>
  <si>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</si>
  <si>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</si>
  <si>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</si>
  <si>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</si>
  <si>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</si>
  <si>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</si>
  <si>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</si>
  <si>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</si>
  <si>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</si>
  <si>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</si>
  <si>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</si>
  <si>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</si>
  <si>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</si>
  <si>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</si>
  <si>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</si>
  <si>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</si>
  <si>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</si>
  <si>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</si>
  <si>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</si>
  <si>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</si>
  <si>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</si>
  <si>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</si>
  <si>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</si>
  <si>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</si>
  <si>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</si>
  <si>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</si>
  <si>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</si>
  <si>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</si>
  <si>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</si>
  <si>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</si>
  <si>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</si>
  <si>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</si>
  <si>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</si>
  <si>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</si>
  <si>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</si>
  <si>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</si>
  <si>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</si>
  <si>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</si>
  <si>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</si>
  <si>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</si>
  <si>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</si>
  <si>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</si>
  <si>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</si>
  <si>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</si>
  <si>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</si>
  <si>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</si>
  <si>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</si>
  <si>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</si>
  <si>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</si>
  <si>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</si>
  <si>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</si>
  <si>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</si>
  <si>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</si>
  <si>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</si>
  <si>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</si>
  <si>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</si>
  <si>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</si>
  <si>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</si>
  <si>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</si>
  <si>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</si>
  <si>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</si>
  <si>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</si>
  <si>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</si>
  <si>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</si>
  <si>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</si>
  <si>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</si>
  <si>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</si>
  <si>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</si>
  <si>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</si>
  <si>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</si>
  <si>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</si>
  <si>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</si>
  <si>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</si>
  <si>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</si>
  <si>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</si>
  <si>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</si>
  <si>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</si>
  <si>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</si>
  <si>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</si>
  <si>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</si>
  <si>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</si>
  <si>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</si>
  <si>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</si>
  <si>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</si>
  <si>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</si>
  <si>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</si>
  <si>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</si>
  <si>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</si>
  <si>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</si>
  <si>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</si>
  <si>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</si>
  <si>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</si>
  <si>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</si>
  <si>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</si>
  <si>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</si>
  <si>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</si>
  <si>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</si>
  <si>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</si>
  <si>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</si>
  <si>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</si>
  <si>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</si>
  <si>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</si>
  <si>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</si>
  <si>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</si>
  <si>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</si>
  <si>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</si>
  <si>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</si>
  <si>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</si>
  <si>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</si>
  <si>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</si>
  <si>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</si>
  <si>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</si>
  <si>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</si>
  <si>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</si>
  <si>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</si>
  <si>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</si>
  <si>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</si>
  <si>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</si>
  <si>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</si>
  <si>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</si>
  <si>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</si>
  <si>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</si>
  <si>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</si>
  <si>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</si>
  <si>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</si>
  <si>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</si>
  <si>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</si>
  <si>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</si>
  <si>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</si>
  <si>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</si>
  <si>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</si>
  <si>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</si>
  <si>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</si>
  <si>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</si>
  <si>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</si>
  <si>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</si>
  <si>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</si>
  <si>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</si>
  <si>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</si>
  <si>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</si>
  <si>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</si>
  <si>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</si>
  <si>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</si>
  <si>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</si>
  <si>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</si>
  <si>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</si>
  <si>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</si>
  <si>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</si>
  <si>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</si>
  <si>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</si>
  <si>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</si>
  <si>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</si>
  <si>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</si>
  <si>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</si>
  <si>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</si>
  <si>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</si>
  <si>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</si>
  <si>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</si>
  <si>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</si>
  <si>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</si>
  <si>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</si>
  <si>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</si>
  <si>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</si>
  <si>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</si>
  <si>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</si>
  <si>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</si>
  <si>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</si>
  <si>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</si>
  <si>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</si>
  <si>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</si>
  <si>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</si>
  <si>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</si>
  <si>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</si>
  <si>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</si>
  <si>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</si>
  <si>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</si>
  <si>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</si>
  <si>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</si>
  <si>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</si>
  <si>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</si>
  <si>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</si>
  <si>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</si>
  <si>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</si>
  <si>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</si>
  <si>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</si>
  <si>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</si>
  <si>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</si>
  <si>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</si>
  <si>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</si>
  <si>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</si>
  <si>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</si>
  <si>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</si>
  <si>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</si>
  <si>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</si>
  <si>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</si>
  <si>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</si>
  <si>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</si>
  <si>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</si>
  <si>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</si>
  <si>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</si>
  <si>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</si>
  <si>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</si>
  <si>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</si>
  <si>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</si>
  <si>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</si>
  <si>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</si>
  <si>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</si>
  <si>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</si>
  <si>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</si>
  <si>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</si>
  <si>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</si>
  <si>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</si>
  <si>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</si>
  <si>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</si>
  <si>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</si>
  <si>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</si>
  <si>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</si>
  <si>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</si>
  <si>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</si>
  <si>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</si>
  <si>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</si>
  <si>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</si>
  <si>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</si>
  <si>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</si>
  <si>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</si>
  <si>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</si>
  <si>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</si>
  <si>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</si>
  <si>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</si>
  <si>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</si>
  <si>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</si>
  <si>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</si>
  <si>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</si>
  <si>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</si>
  <si>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</si>
  <si>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</si>
  <si>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</si>
  <si>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</si>
  <si>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</si>
  <si>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</si>
  <si>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</si>
  <si>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</si>
  <si>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</si>
  <si>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</si>
  <si>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</si>
  <si>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</si>
  <si>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</si>
  <si>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</si>
  <si>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</si>
  <si>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</si>
  <si>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</si>
  <si>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</si>
  <si>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</si>
  <si>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</si>
  <si>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</si>
  <si>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</si>
  <si>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</si>
  <si>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</si>
  <si>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</si>
  <si>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</si>
  <si>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</si>
  <si>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</si>
  <si>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</si>
  <si>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</si>
  <si>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</si>
  <si>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</si>
  <si>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</si>
  <si>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</si>
  <si>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</si>
  <si>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</si>
  <si>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</si>
  <si>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</si>
  <si>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</si>
  <si>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</si>
  <si>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</si>
  <si>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</si>
  <si>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</si>
  <si>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</si>
  <si>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</si>
  <si>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</si>
  <si>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</si>
  <si>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</si>
  <si>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</si>
  <si>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</si>
  <si>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</si>
  <si>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</si>
  <si>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</si>
  <si>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</si>
  <si>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</si>
  <si>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</si>
  <si>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</si>
  <si>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</si>
  <si>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</si>
  <si>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</si>
  <si>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</si>
  <si>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</si>
  <si>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</si>
  <si>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</si>
  <si>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</si>
  <si>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</si>
  <si>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</si>
  <si>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</si>
  <si>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</si>
  <si>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</si>
  <si>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</si>
  <si>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</si>
  <si>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</si>
  <si>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</si>
  <si>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</si>
  <si>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</si>
  <si>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</si>
  <si>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</si>
  <si>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</si>
  <si>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</si>
  <si>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</si>
  <si>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</si>
  <si>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</si>
  <si>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</si>
  <si>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</si>
  <si>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</si>
  <si>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</si>
  <si>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</si>
  <si>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</si>
  <si>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</si>
  <si>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</si>
  <si>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</si>
  <si>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</si>
  <si>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</si>
  <si>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</si>
  <si>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</si>
  <si>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</si>
  <si>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</si>
  <si>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</si>
  <si>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</si>
  <si>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</si>
  <si>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</si>
  <si>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</si>
  <si>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</si>
  <si>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</si>
  <si>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</si>
  <si>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</si>
  <si>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</si>
  <si>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</si>
  <si>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</si>
  <si>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</si>
  <si>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</si>
  <si>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</si>
  <si>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</si>
  <si>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</si>
  <si>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</si>
  <si>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</si>
  <si>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</si>
  <si>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</si>
  <si>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</si>
  <si>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</si>
  <si>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</si>
  <si>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</si>
  <si>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</si>
  <si>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</si>
  <si>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</si>
  <si>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</si>
  <si>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</si>
  <si>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</si>
  <si>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</si>
  <si>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</si>
  <si>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</si>
  <si>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</si>
  <si>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</si>
  <si>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</si>
  <si>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</si>
  <si>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</si>
  <si>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</si>
  <si>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</si>
  <si>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</si>
  <si>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</si>
  <si>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</si>
  <si>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</si>
  <si>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</si>
  <si>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</si>
  <si>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</si>
  <si>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</si>
  <si>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</si>
  <si>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</si>
  <si>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</si>
  <si>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</si>
  <si>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</si>
  <si>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</si>
  <si>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</si>
  <si>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</si>
  <si>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</si>
  <si>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</si>
  <si>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</si>
  <si>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</si>
  <si>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</si>
  <si>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</si>
  <si>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</si>
  <si>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</si>
  <si>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</si>
  <si>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</si>
  <si>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</si>
  <si>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</si>
  <si>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</si>
  <si>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</si>
  <si>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</si>
  <si>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</si>
  <si>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</si>
  <si>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</si>
  <si>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</si>
  <si>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</si>
  <si>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</si>
  <si>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</si>
  <si>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</si>
  <si>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</si>
  <si>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</si>
  <si>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</si>
  <si>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</si>
  <si>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</si>
  <si>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</si>
  <si>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</si>
  <si>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</si>
  <si>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</si>
  <si>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</si>
  <si>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</si>
  <si>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</si>
  <si>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</si>
  <si>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</si>
  <si>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</si>
  <si>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</si>
  <si>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</si>
  <si>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</si>
  <si>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</si>
  <si>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</si>
  <si>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</si>
  <si>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</si>
  <si>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</si>
  <si>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</si>
  <si>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</si>
  <si>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</si>
  <si>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</si>
  <si>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</si>
  <si>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</si>
  <si>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</si>
  <si>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</si>
  <si>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</si>
  <si>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</si>
  <si>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</si>
  <si>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</si>
  <si>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</si>
  <si>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</si>
  <si>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</si>
  <si>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</si>
  <si>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</si>
  <si>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</si>
  <si>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</si>
  <si>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</si>
  <si>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</si>
  <si>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</si>
  <si>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</si>
  <si>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</si>
  <si>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</si>
  <si>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</si>
  <si>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</si>
  <si>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</si>
  <si>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</si>
  <si>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</si>
  <si>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</si>
  <si>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</si>
  <si>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</si>
  <si>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</si>
  <si>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</si>
  <si>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</si>
  <si>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</si>
  <si>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</si>
  <si>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</si>
  <si>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</si>
  <si>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</si>
  <si>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</si>
  <si>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</si>
  <si>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</si>
  <si>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</si>
  <si>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</si>
  <si>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</si>
  <si>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</si>
  <si>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</si>
  <si>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</si>
  <si>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</si>
  <si>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</si>
  <si>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</si>
  <si>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</si>
  <si>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</si>
  <si>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</si>
  <si>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</si>
  <si>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</si>
  <si>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</si>
  <si>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</si>
  <si>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</si>
  <si>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</si>
  <si>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</si>
  <si>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</si>
  <si>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</si>
  <si>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</si>
  <si>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</si>
  <si>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</si>
  <si>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</si>
  <si>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</si>
  <si>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</si>
  <si>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</si>
  <si>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</si>
  <si>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</si>
  <si>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</si>
  <si>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</si>
  <si>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</si>
  <si>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</si>
  <si>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</si>
  <si>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</si>
  <si>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</si>
  <si>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</si>
  <si>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</si>
  <si>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</si>
  <si>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</si>
  <si>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</si>
  <si>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</si>
  <si>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</si>
  <si>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</si>
  <si>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</si>
  <si>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</si>
  <si>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</si>
  <si>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</si>
  <si>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</si>
  <si>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</si>
  <si>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</si>
  <si>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</si>
  <si>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</si>
  <si>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</si>
  <si>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</si>
  <si>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</si>
  <si>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</si>
  <si>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</si>
  <si>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</si>
  <si>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</si>
  <si>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</si>
  <si>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</si>
  <si>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</si>
  <si>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</si>
  <si>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</si>
  <si>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</si>
  <si>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</si>
  <si>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</si>
  <si>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</si>
  <si>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</si>
  <si>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</si>
  <si>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</si>
  <si>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</si>
  <si>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</si>
  <si>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</si>
  <si>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</si>
  <si>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</si>
  <si>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</si>
  <si>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</si>
  <si>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</si>
  <si>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</si>
  <si>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</si>
  <si>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</si>
  <si>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</si>
  <si>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</si>
  <si>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</si>
  <si>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</si>
  <si>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</si>
  <si>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</si>
  <si>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</si>
  <si>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</si>
  <si>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</si>
  <si>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</si>
  <si>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</si>
  <si>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</si>
  <si>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</si>
  <si>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</si>
  <si>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</si>
  <si>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</si>
  <si>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</si>
  <si>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</si>
  <si>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</si>
  <si>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</si>
  <si>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</si>
  <si>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</si>
  <si>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</si>
  <si>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</si>
  <si>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</si>
  <si>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</si>
  <si>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</si>
  <si>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</si>
  <si>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</si>
  <si>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</si>
  <si>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</si>
  <si>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</si>
  <si>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</si>
  <si>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</si>
  <si>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</si>
  <si>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</si>
  <si>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</si>
  <si>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</si>
  <si>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</si>
  <si>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</si>
  <si>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</si>
  <si>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</si>
  <si>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</si>
  <si>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</si>
  <si>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</si>
  <si>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</si>
  <si>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</si>
  <si>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</si>
  <si>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</si>
  <si>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</si>
  <si>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</si>
  <si>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</si>
  <si>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</si>
  <si>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</si>
  <si>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</si>
  <si>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</si>
  <si>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</si>
  <si>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</si>
  <si>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HINSDALE SCHOOL DISTRICT</t>
  </si>
  <si>
    <t>06/06</t>
  </si>
  <si>
    <t>07/26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</si>
</sst>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DA21-DF81-48BB-AA6F-7E24F7B9DDC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255</v>
      </c>
      <c r="C2" s="21">
        <v>255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521425.51</v>
      </c>
      <c r="G9" s="18">
        <v>23900.54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1730.39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299237.52</v>
      </c>
      <c r="G12" s="18"/>
      <c r="H12" s="18">
        <v>99365.98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9282.26</v>
      </c>
      <c r="G13" s="18">
        <v>16109.18</v>
      </c>
      <c r="H13" s="18">
        <v>201579.97</v>
      </c>
      <c r="I13" s="18"/>
      <c r="J13" s="67">
        <f>SUM(I434)</f>
        <v>382356.06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1893.83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831675.68</v>
      </c>
      <c r="G19" s="41">
        <f>SUM(G9:G18)</f>
        <v>41903.550000000003</v>
      </c>
      <c r="H19" s="41">
        <f>SUM(H9:H18)</f>
        <v>300945.95</v>
      </c>
      <c r="I19" s="41">
        <f>SUM(I9:I18)</f>
        <v>0</v>
      </c>
      <c r="J19" s="41">
        <f>SUM(J9:J18)</f>
        <v>382356.06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98708.98</v>
      </c>
      <c r="G23" s="18">
        <v>57730.239999999998</v>
      </c>
      <c r="H23" s="18">
        <v>245373.54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98992.31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41630.29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465964.77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55572.41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705296.35</v>
      </c>
      <c r="G33" s="41">
        <f>SUM(G23:G32)</f>
        <v>57730.239999999998</v>
      </c>
      <c r="H33" s="41">
        <f>SUM(H23:H32)</f>
        <v>300945.95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-15826.69</v>
      </c>
      <c r="H41" s="18"/>
      <c r="I41" s="18"/>
      <c r="J41" s="13">
        <f>SUM(I449)</f>
        <v>382356.06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126379.33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126379.33</v>
      </c>
      <c r="G43" s="41">
        <f>SUM(G35:G42)</f>
        <v>-15826.69</v>
      </c>
      <c r="H43" s="41">
        <f>SUM(H35:H42)</f>
        <v>0</v>
      </c>
      <c r="I43" s="41">
        <f>SUM(I35:I42)</f>
        <v>0</v>
      </c>
      <c r="J43" s="41">
        <f>SUM(J35:J42)</f>
        <v>382356.06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831675.67999999993</v>
      </c>
      <c r="G44" s="41">
        <f>G43+G33</f>
        <v>41903.549999999996</v>
      </c>
      <c r="H44" s="41">
        <f>H43+H33</f>
        <v>300945.95</v>
      </c>
      <c r="I44" s="41">
        <f>I43+I33</f>
        <v>0</v>
      </c>
      <c r="J44" s="41">
        <f>J43+J33</f>
        <v>382356.06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4396355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4396355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2562.69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15681.2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27563.08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41100.89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45806.97</v>
      </c>
      <c r="G71" s="45" t="s">
        <v>312</v>
      </c>
      <c r="H71" s="41">
        <f>SUM(H55:H70)</f>
        <v>41100.89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6011.93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131684.04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6957.16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55071.33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62028.490000000005</v>
      </c>
      <c r="G103" s="41">
        <f>SUM(G88:G102)</f>
        <v>131684.04</v>
      </c>
      <c r="H103" s="41">
        <f>SUM(H88:H102)</f>
        <v>0</v>
      </c>
      <c r="I103" s="41">
        <f>SUM(I88:I102)</f>
        <v>0</v>
      </c>
      <c r="J103" s="41">
        <f>SUM(J88:J102)</f>
        <v>6011.93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4504190.46</v>
      </c>
      <c r="G104" s="41">
        <f>G52+G103</f>
        <v>131684.04</v>
      </c>
      <c r="H104" s="41">
        <f>H52+H71+H86+H103</f>
        <v>41100.89</v>
      </c>
      <c r="I104" s="41">
        <f>I52+I103</f>
        <v>0</v>
      </c>
      <c r="J104" s="41">
        <f>J52+J103</f>
        <v>6011.93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4483100.22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549647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162600.78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5195348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436735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147016.49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75450.17+8758.41</f>
        <v>84208.58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2270.7399999999998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3562.35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670230.80999999994</v>
      </c>
      <c r="G128" s="41">
        <f>SUM(G115:G127)</f>
        <v>3562.35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5865578.8099999996</v>
      </c>
      <c r="G132" s="41">
        <f>G113+SUM(G128:G129)</f>
        <v>3562.35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81240.81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288992.39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278581.27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167855.19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170424.83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71526.47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71526.47</v>
      </c>
      <c r="G154" s="41">
        <f>SUM(G142:G153)</f>
        <v>167855.19</v>
      </c>
      <c r="H154" s="41">
        <f>SUM(H142:H153)</f>
        <v>819239.29999999993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71526.47</v>
      </c>
      <c r="G161" s="41">
        <f>G139+G154+SUM(G155:G160)</f>
        <v>167855.19</v>
      </c>
      <c r="H161" s="41">
        <f>H139+H154+SUM(H155:H160)</f>
        <v>819239.29999999993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10441295.74</v>
      </c>
      <c r="G185" s="47">
        <f>G104+G132+G161+G184</f>
        <v>303101.58</v>
      </c>
      <c r="H185" s="47">
        <f>H104+H132+H161+H184</f>
        <v>860340.19</v>
      </c>
      <c r="I185" s="47">
        <f>I104+I132+I161+I184</f>
        <v>0</v>
      </c>
      <c r="J185" s="47">
        <f>J104+J132+J184</f>
        <v>106011.93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945341.52</v>
      </c>
      <c r="G189" s="18">
        <v>462184.45</v>
      </c>
      <c r="H189" s="18">
        <v>3432.75</v>
      </c>
      <c r="I189" s="18">
        <v>34527.65</v>
      </c>
      <c r="J189" s="18"/>
      <c r="K189" s="18"/>
      <c r="L189" s="19">
        <f>SUM(F189:K189)</f>
        <v>1445486.3699999999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554662.82999999996</v>
      </c>
      <c r="G190" s="18">
        <v>145770.87</v>
      </c>
      <c r="H190" s="18">
        <v>319320.88</v>
      </c>
      <c r="I190" s="18">
        <v>2452.61</v>
      </c>
      <c r="J190" s="18"/>
      <c r="K190" s="18"/>
      <c r="L190" s="19">
        <f>SUM(F190:K190)</f>
        <v>1022207.19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11908</v>
      </c>
      <c r="G192" s="18">
        <v>1652.5</v>
      </c>
      <c r="H192" s="18"/>
      <c r="I192" s="18"/>
      <c r="J192" s="18"/>
      <c r="K192" s="18"/>
      <c r="L192" s="19">
        <f>SUM(F192:K192)</f>
        <v>13560.5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127635.6</v>
      </c>
      <c r="G194" s="18">
        <v>56334.91</v>
      </c>
      <c r="H194" s="18">
        <v>98219.83</v>
      </c>
      <c r="I194" s="18">
        <v>8072.47</v>
      </c>
      <c r="J194" s="18"/>
      <c r="K194" s="18"/>
      <c r="L194" s="19">
        <f t="shared" ref="L194:L200" si="0">SUM(F194:K194)</f>
        <v>290262.81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19909.310000000001</v>
      </c>
      <c r="G195" s="18">
        <v>1767.11</v>
      </c>
      <c r="H195" s="18">
        <v>18683.53</v>
      </c>
      <c r="I195" s="18">
        <v>2670.51</v>
      </c>
      <c r="J195" s="18"/>
      <c r="K195" s="18"/>
      <c r="L195" s="19">
        <f t="shared" si="0"/>
        <v>43030.46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2162</v>
      </c>
      <c r="G196" s="18">
        <v>28128.240000000002</v>
      </c>
      <c r="H196" s="18">
        <v>165175.84</v>
      </c>
      <c r="I196" s="18">
        <v>31523.98</v>
      </c>
      <c r="J196" s="18"/>
      <c r="K196" s="18">
        <v>3283.57</v>
      </c>
      <c r="L196" s="19">
        <f t="shared" si="0"/>
        <v>230273.63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224233.11</v>
      </c>
      <c r="G197" s="18">
        <v>72533.289999999994</v>
      </c>
      <c r="H197" s="18">
        <v>2839.33</v>
      </c>
      <c r="I197" s="18">
        <v>1855.34</v>
      </c>
      <c r="J197" s="18"/>
      <c r="K197" s="18">
        <v>98.96</v>
      </c>
      <c r="L197" s="19">
        <f t="shared" si="0"/>
        <v>301560.03000000003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139397.22</v>
      </c>
      <c r="G199" s="18">
        <v>85944.26</v>
      </c>
      <c r="H199" s="18">
        <v>67828.899999999994</v>
      </c>
      <c r="I199" s="18">
        <v>153300.59</v>
      </c>
      <c r="J199" s="18">
        <v>3501.8</v>
      </c>
      <c r="K199" s="18"/>
      <c r="L199" s="19">
        <f t="shared" si="0"/>
        <v>449972.76999999996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172374.29</v>
      </c>
      <c r="I200" s="18"/>
      <c r="J200" s="18"/>
      <c r="K200" s="18"/>
      <c r="L200" s="19">
        <f t="shared" si="0"/>
        <v>172374.29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1128</v>
      </c>
      <c r="G201" s="18">
        <v>128.30000000000001</v>
      </c>
      <c r="H201" s="18">
        <v>25245.25</v>
      </c>
      <c r="I201" s="18">
        <v>12434.72</v>
      </c>
      <c r="J201" s="18">
        <v>6291.9</v>
      </c>
      <c r="K201" s="18">
        <v>146.63999999999999</v>
      </c>
      <c r="L201" s="19">
        <f>SUM(F201:K201)</f>
        <v>45374.81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2026377.59</v>
      </c>
      <c r="G203" s="41">
        <f t="shared" si="1"/>
        <v>854443.93000000017</v>
      </c>
      <c r="H203" s="41">
        <f t="shared" si="1"/>
        <v>873120.6</v>
      </c>
      <c r="I203" s="41">
        <f t="shared" si="1"/>
        <v>246837.87</v>
      </c>
      <c r="J203" s="41">
        <f t="shared" si="1"/>
        <v>9793.7000000000007</v>
      </c>
      <c r="K203" s="41">
        <f t="shared" si="1"/>
        <v>3529.17</v>
      </c>
      <c r="L203" s="41">
        <f t="shared" si="1"/>
        <v>4014102.8599999994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548061.18999999994</v>
      </c>
      <c r="G207" s="18">
        <v>230656.25</v>
      </c>
      <c r="H207" s="18">
        <v>6766.5</v>
      </c>
      <c r="I207" s="18">
        <v>35996.68</v>
      </c>
      <c r="J207" s="18"/>
      <c r="K207" s="18"/>
      <c r="L207" s="19">
        <f>SUM(F207:K207)</f>
        <v>821480.62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189031.9</v>
      </c>
      <c r="G208" s="18">
        <v>56389.93</v>
      </c>
      <c r="H208" s="18">
        <v>142704.34</v>
      </c>
      <c r="I208" s="18">
        <v>5781.51</v>
      </c>
      <c r="J208" s="18"/>
      <c r="K208" s="18"/>
      <c r="L208" s="19">
        <f>SUM(F208:K208)</f>
        <v>393907.68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5045.18</v>
      </c>
      <c r="G210" s="18">
        <v>500.53</v>
      </c>
      <c r="H210" s="18"/>
      <c r="I210" s="18"/>
      <c r="J210" s="18"/>
      <c r="K210" s="18"/>
      <c r="L210" s="19">
        <f>SUM(F210:K210)</f>
        <v>5545.71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65514.8</v>
      </c>
      <c r="G212" s="18">
        <v>31955.24</v>
      </c>
      <c r="H212" s="18">
        <v>44913.87</v>
      </c>
      <c r="I212" s="18">
        <v>2466.96</v>
      </c>
      <c r="J212" s="18"/>
      <c r="K212" s="18">
        <v>31.2</v>
      </c>
      <c r="L212" s="19">
        <f t="shared" ref="L212:L218" si="2">SUM(F212:K212)</f>
        <v>144882.07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21374.32</v>
      </c>
      <c r="G213" s="18">
        <v>9003.42</v>
      </c>
      <c r="H213" s="18">
        <v>8347.9500000000007</v>
      </c>
      <c r="I213" s="18">
        <v>4970.33</v>
      </c>
      <c r="J213" s="18"/>
      <c r="K213" s="18"/>
      <c r="L213" s="19">
        <f t="shared" si="2"/>
        <v>43696.020000000004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966</v>
      </c>
      <c r="G214" s="18">
        <v>12567.92</v>
      </c>
      <c r="H214" s="18">
        <v>73801.94</v>
      </c>
      <c r="I214" s="18">
        <v>14085.18</v>
      </c>
      <c r="J214" s="18"/>
      <c r="K214" s="18">
        <v>1467.13</v>
      </c>
      <c r="L214" s="19">
        <f t="shared" si="2"/>
        <v>102888.17000000001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150551.20000000001</v>
      </c>
      <c r="G215" s="18">
        <v>50672.67</v>
      </c>
      <c r="H215" s="18">
        <v>4074.68</v>
      </c>
      <c r="I215" s="18">
        <v>614.17999999999995</v>
      </c>
      <c r="J215" s="18"/>
      <c r="K215" s="18">
        <v>1335.75</v>
      </c>
      <c r="L215" s="19">
        <f t="shared" si="2"/>
        <v>207248.47999999998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62283.87</v>
      </c>
      <c r="G217" s="18">
        <v>38400.61</v>
      </c>
      <c r="H217" s="18">
        <v>30306.53</v>
      </c>
      <c r="I217" s="18">
        <v>68496.009999999995</v>
      </c>
      <c r="J217" s="18">
        <v>1564.64</v>
      </c>
      <c r="K217" s="18"/>
      <c r="L217" s="19">
        <f t="shared" si="2"/>
        <v>201051.66000000003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91441.48</v>
      </c>
      <c r="I218" s="18"/>
      <c r="J218" s="18"/>
      <c r="K218" s="18"/>
      <c r="L218" s="19">
        <f t="shared" si="2"/>
        <v>91441.48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504</v>
      </c>
      <c r="G219" s="18">
        <v>57.32</v>
      </c>
      <c r="H219" s="18">
        <v>11279.78</v>
      </c>
      <c r="I219" s="18">
        <v>5555.95</v>
      </c>
      <c r="J219" s="18">
        <v>2811.28</v>
      </c>
      <c r="K219" s="18">
        <v>65.52</v>
      </c>
      <c r="L219" s="19">
        <f>SUM(F219:K219)</f>
        <v>20273.849999999999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1043332.4600000001</v>
      </c>
      <c r="G221" s="41">
        <f>SUM(G207:G220)</f>
        <v>430203.88999999996</v>
      </c>
      <c r="H221" s="41">
        <f>SUM(H207:H220)</f>
        <v>413637.06999999995</v>
      </c>
      <c r="I221" s="41">
        <f>SUM(I207:I220)</f>
        <v>137966.80000000002</v>
      </c>
      <c r="J221" s="41">
        <f>SUM(J207:J220)</f>
        <v>4375.92</v>
      </c>
      <c r="K221" s="41">
        <f t="shared" si="3"/>
        <v>2899.6</v>
      </c>
      <c r="L221" s="41">
        <f t="shared" si="3"/>
        <v>2032415.7400000002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871623.91</v>
      </c>
      <c r="G225" s="18">
        <v>362801.98</v>
      </c>
      <c r="H225" s="18">
        <v>21278.5</v>
      </c>
      <c r="I225" s="18">
        <v>74638.64</v>
      </c>
      <c r="J225" s="18"/>
      <c r="K225" s="18">
        <v>11000</v>
      </c>
      <c r="L225" s="19">
        <f>SUM(F225:K225)</f>
        <v>1341343.03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295665.27</v>
      </c>
      <c r="G226" s="18">
        <v>88199.66</v>
      </c>
      <c r="H226" s="18">
        <v>217454.23</v>
      </c>
      <c r="I226" s="18">
        <v>9042.86</v>
      </c>
      <c r="J226" s="18"/>
      <c r="K226" s="18"/>
      <c r="L226" s="19">
        <f>SUM(F226:K226)</f>
        <v>610362.02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11340</v>
      </c>
      <c r="G227" s="18">
        <v>867.51</v>
      </c>
      <c r="H227" s="18">
        <v>122748.18</v>
      </c>
      <c r="I227" s="18">
        <v>320.64999999999998</v>
      </c>
      <c r="J227" s="18"/>
      <c r="K227" s="18"/>
      <c r="L227" s="19">
        <f>SUM(F227:K227)</f>
        <v>135276.34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64721.39</v>
      </c>
      <c r="G228" s="18">
        <v>6521.71</v>
      </c>
      <c r="H228" s="18">
        <v>27964.03</v>
      </c>
      <c r="I228" s="18">
        <v>34856.519999999997</v>
      </c>
      <c r="J228" s="18">
        <v>6232.03</v>
      </c>
      <c r="K228" s="18">
        <v>3106.19</v>
      </c>
      <c r="L228" s="19">
        <f>SUM(F228:K228)</f>
        <v>143401.87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102471.85</v>
      </c>
      <c r="G230" s="18">
        <v>49981.26</v>
      </c>
      <c r="H230" s="18">
        <v>68481.62</v>
      </c>
      <c r="I230" s="18">
        <v>3858.59</v>
      </c>
      <c r="J230" s="18"/>
      <c r="K230" s="18">
        <v>48.8</v>
      </c>
      <c r="L230" s="19">
        <f t="shared" ref="L230:L236" si="4">SUM(F230:K230)</f>
        <v>224842.12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33394.629999999997</v>
      </c>
      <c r="G231" s="18">
        <v>14075.04</v>
      </c>
      <c r="H231" s="18">
        <v>12720.69</v>
      </c>
      <c r="I231" s="18">
        <v>7726.04</v>
      </c>
      <c r="J231" s="18"/>
      <c r="K231" s="18"/>
      <c r="L231" s="19">
        <f t="shared" si="4"/>
        <v>67916.399999999994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1472</v>
      </c>
      <c r="G232" s="18">
        <v>19151.13</v>
      </c>
      <c r="H232" s="18">
        <v>112460.14</v>
      </c>
      <c r="I232" s="18">
        <v>21463.13</v>
      </c>
      <c r="J232" s="18"/>
      <c r="K232" s="18">
        <v>2235.62</v>
      </c>
      <c r="L232" s="19">
        <f t="shared" si="4"/>
        <v>156782.01999999999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235477.52</v>
      </c>
      <c r="G233" s="18">
        <v>79257.27</v>
      </c>
      <c r="H233" s="18">
        <v>6373.21</v>
      </c>
      <c r="I233" s="18">
        <v>960.65</v>
      </c>
      <c r="J233" s="18"/>
      <c r="K233" s="18">
        <v>2089.25</v>
      </c>
      <c r="L233" s="19">
        <f t="shared" si="4"/>
        <v>324157.90000000002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94908.75</v>
      </c>
      <c r="G235" s="18">
        <v>58515.23</v>
      </c>
      <c r="H235" s="18">
        <v>46181.38</v>
      </c>
      <c r="I235" s="18">
        <v>104374.88</v>
      </c>
      <c r="J235" s="18">
        <v>2384.21</v>
      </c>
      <c r="K235" s="18"/>
      <c r="L235" s="19">
        <f t="shared" si="4"/>
        <v>306364.45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174939.81</v>
      </c>
      <c r="I236" s="18"/>
      <c r="J236" s="18"/>
      <c r="K236" s="18"/>
      <c r="L236" s="19">
        <f t="shared" si="4"/>
        <v>174939.81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768</v>
      </c>
      <c r="G237" s="18">
        <v>87.34</v>
      </c>
      <c r="H237" s="18">
        <v>17188.240000000002</v>
      </c>
      <c r="I237" s="18">
        <v>8466.2000000000007</v>
      </c>
      <c r="J237" s="18">
        <v>4283.84</v>
      </c>
      <c r="K237" s="18">
        <v>99.84</v>
      </c>
      <c r="L237" s="19">
        <f>SUM(F237:K237)</f>
        <v>30893.460000000003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1711843.32</v>
      </c>
      <c r="G239" s="41">
        <f t="shared" si="5"/>
        <v>679458.13</v>
      </c>
      <c r="H239" s="41">
        <f t="shared" si="5"/>
        <v>827790.03</v>
      </c>
      <c r="I239" s="41">
        <f t="shared" si="5"/>
        <v>265708.15999999997</v>
      </c>
      <c r="J239" s="41">
        <f t="shared" si="5"/>
        <v>12900.08</v>
      </c>
      <c r="K239" s="41">
        <f t="shared" si="5"/>
        <v>18579.7</v>
      </c>
      <c r="L239" s="41">
        <f t="shared" si="5"/>
        <v>3516279.4200000004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4781553.37</v>
      </c>
      <c r="G249" s="41">
        <f t="shared" si="8"/>
        <v>1964105.9500000002</v>
      </c>
      <c r="H249" s="41">
        <f t="shared" si="8"/>
        <v>2114547.7000000002</v>
      </c>
      <c r="I249" s="41">
        <f t="shared" si="8"/>
        <v>650512.83000000007</v>
      </c>
      <c r="J249" s="41">
        <f t="shared" si="8"/>
        <v>27069.7</v>
      </c>
      <c r="K249" s="41">
        <f t="shared" si="8"/>
        <v>25008.47</v>
      </c>
      <c r="L249" s="41">
        <f t="shared" si="8"/>
        <v>9562798.0199999996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655000</v>
      </c>
      <c r="L252" s="19">
        <f>SUM(F252:K252)</f>
        <v>655000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466837.5</v>
      </c>
      <c r="L253" s="19">
        <f>SUM(F253:K253)</f>
        <v>466837.5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1221837.5</v>
      </c>
      <c r="L262" s="41">
        <f t="shared" si="9"/>
        <v>1221837.5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4781553.37</v>
      </c>
      <c r="G263" s="42">
        <f t="shared" si="11"/>
        <v>1964105.9500000002</v>
      </c>
      <c r="H263" s="42">
        <f t="shared" si="11"/>
        <v>2114547.7000000002</v>
      </c>
      <c r="I263" s="42">
        <f t="shared" si="11"/>
        <v>650512.83000000007</v>
      </c>
      <c r="J263" s="42">
        <f t="shared" si="11"/>
        <v>27069.7</v>
      </c>
      <c r="K263" s="42">
        <f t="shared" si="11"/>
        <v>1246845.97</v>
      </c>
      <c r="L263" s="42">
        <f t="shared" si="11"/>
        <v>10784635.52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168521.28</v>
      </c>
      <c r="G268" s="18">
        <v>32835.57</v>
      </c>
      <c r="H268" s="18">
        <v>46567.02</v>
      </c>
      <c r="I268" s="18">
        <v>41199.53</v>
      </c>
      <c r="J268" s="18">
        <v>3479.44</v>
      </c>
      <c r="K268" s="18"/>
      <c r="L268" s="19">
        <f>SUM(F268:K268)</f>
        <v>292602.84000000003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29742.38</v>
      </c>
      <c r="G269" s="18">
        <v>19311.37</v>
      </c>
      <c r="H269" s="18">
        <v>2267.75</v>
      </c>
      <c r="I269" s="18">
        <v>376</v>
      </c>
      <c r="J269" s="18">
        <v>28939.41</v>
      </c>
      <c r="K269" s="18"/>
      <c r="L269" s="19">
        <f>SUM(F269:K269)</f>
        <v>80636.91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639.71</v>
      </c>
      <c r="I273" s="18"/>
      <c r="J273" s="18"/>
      <c r="K273" s="18"/>
      <c r="L273" s="19">
        <f t="shared" ref="L273:L279" si="12">SUM(F273:K273)</f>
        <v>639.71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31093.13</v>
      </c>
      <c r="I274" s="18"/>
      <c r="J274" s="18"/>
      <c r="K274" s="18"/>
      <c r="L274" s="19">
        <f t="shared" si="12"/>
        <v>31093.13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5200.08</v>
      </c>
      <c r="L275" s="19">
        <f t="shared" si="12"/>
        <v>5200.08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94</v>
      </c>
      <c r="I280" s="18"/>
      <c r="J280" s="18"/>
      <c r="K280" s="18"/>
      <c r="L280" s="19">
        <f>SUM(F280:K280)</f>
        <v>94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198263.66</v>
      </c>
      <c r="G282" s="42">
        <f t="shared" si="13"/>
        <v>52146.94</v>
      </c>
      <c r="H282" s="42">
        <f t="shared" si="13"/>
        <v>80661.61</v>
      </c>
      <c r="I282" s="42">
        <f t="shared" si="13"/>
        <v>41575.53</v>
      </c>
      <c r="J282" s="42">
        <f t="shared" si="13"/>
        <v>32418.85</v>
      </c>
      <c r="K282" s="42">
        <f t="shared" si="13"/>
        <v>5200.08</v>
      </c>
      <c r="L282" s="41">
        <f t="shared" si="13"/>
        <v>410266.67000000004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71753.55</v>
      </c>
      <c r="G287" s="18">
        <v>14075.31</v>
      </c>
      <c r="H287" s="18">
        <v>20806.54</v>
      </c>
      <c r="I287" s="18">
        <v>17567.77</v>
      </c>
      <c r="J287" s="18">
        <v>1554.65</v>
      </c>
      <c r="K287" s="18"/>
      <c r="L287" s="19">
        <f>SUM(F287:K287)</f>
        <v>125757.81999999999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13289.14</v>
      </c>
      <c r="G288" s="18">
        <v>8628.49</v>
      </c>
      <c r="H288" s="18">
        <v>1013.25</v>
      </c>
      <c r="I288" s="18">
        <v>168</v>
      </c>
      <c r="J288" s="18">
        <v>12930.37</v>
      </c>
      <c r="K288" s="18"/>
      <c r="L288" s="19">
        <f>SUM(F288:K288)</f>
        <v>36029.25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285.83</v>
      </c>
      <c r="I292" s="18"/>
      <c r="J292" s="18"/>
      <c r="K292" s="18"/>
      <c r="L292" s="19">
        <f t="shared" ref="L292:L298" si="14">SUM(F292:K292)</f>
        <v>285.83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13892.68</v>
      </c>
      <c r="I293" s="18"/>
      <c r="J293" s="18"/>
      <c r="K293" s="18"/>
      <c r="L293" s="19">
        <f t="shared" si="14"/>
        <v>13892.68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2323.44</v>
      </c>
      <c r="L294" s="19">
        <f t="shared" si="14"/>
        <v>2323.44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>
        <v>42</v>
      </c>
      <c r="I299" s="18"/>
      <c r="J299" s="18"/>
      <c r="K299" s="18"/>
      <c r="L299" s="19">
        <f>SUM(F299:K299)</f>
        <v>42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85042.69</v>
      </c>
      <c r="G301" s="42">
        <f t="shared" si="15"/>
        <v>22703.8</v>
      </c>
      <c r="H301" s="42">
        <f t="shared" si="15"/>
        <v>36040.300000000003</v>
      </c>
      <c r="I301" s="42">
        <f t="shared" si="15"/>
        <v>17735.77</v>
      </c>
      <c r="J301" s="42">
        <f t="shared" si="15"/>
        <v>14485.02</v>
      </c>
      <c r="K301" s="42">
        <f t="shared" si="15"/>
        <v>2323.44</v>
      </c>
      <c r="L301" s="41">
        <f t="shared" si="15"/>
        <v>178331.02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109338.74</v>
      </c>
      <c r="G306" s="18">
        <v>21448.09</v>
      </c>
      <c r="H306" s="18">
        <v>31705.21</v>
      </c>
      <c r="I306" s="18">
        <v>26769.94</v>
      </c>
      <c r="J306" s="18">
        <v>2368.9899999999998</v>
      </c>
      <c r="K306" s="18"/>
      <c r="L306" s="19">
        <f>SUM(F306:K306)</f>
        <v>191630.97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20250.12</v>
      </c>
      <c r="G307" s="18">
        <v>13148.17</v>
      </c>
      <c r="H307" s="18">
        <v>1544</v>
      </c>
      <c r="I307" s="18">
        <v>256</v>
      </c>
      <c r="J307" s="18">
        <v>19703.419999999998</v>
      </c>
      <c r="K307" s="18"/>
      <c r="L307" s="19">
        <f>SUM(F307:K307)</f>
        <v>54901.71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435.55</v>
      </c>
      <c r="I311" s="18"/>
      <c r="J311" s="18"/>
      <c r="K311" s="18"/>
      <c r="L311" s="19">
        <f t="shared" ref="L311:L317" si="16">SUM(F311:K311)</f>
        <v>435.55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21169.79</v>
      </c>
      <c r="I312" s="18"/>
      <c r="J312" s="18"/>
      <c r="K312" s="18"/>
      <c r="L312" s="19">
        <f t="shared" si="16"/>
        <v>21169.79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v>3540.48</v>
      </c>
      <c r="L313" s="19">
        <f t="shared" si="16"/>
        <v>3540.48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v>64</v>
      </c>
      <c r="I318" s="18"/>
      <c r="J318" s="18"/>
      <c r="K318" s="18"/>
      <c r="L318" s="19">
        <f>SUM(F318:K318)</f>
        <v>64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129588.86</v>
      </c>
      <c r="G320" s="42">
        <f t="shared" si="17"/>
        <v>34596.26</v>
      </c>
      <c r="H320" s="42">
        <f t="shared" si="17"/>
        <v>54918.55</v>
      </c>
      <c r="I320" s="42">
        <f t="shared" si="17"/>
        <v>27025.94</v>
      </c>
      <c r="J320" s="42">
        <f t="shared" si="17"/>
        <v>22072.409999999996</v>
      </c>
      <c r="K320" s="42">
        <f t="shared" si="17"/>
        <v>3540.48</v>
      </c>
      <c r="L320" s="41">
        <f t="shared" si="17"/>
        <v>271742.49999999994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412895.20999999996</v>
      </c>
      <c r="G330" s="41">
        <f t="shared" si="20"/>
        <v>109447</v>
      </c>
      <c r="H330" s="41">
        <f t="shared" si="20"/>
        <v>171620.46000000002</v>
      </c>
      <c r="I330" s="41">
        <f t="shared" si="20"/>
        <v>86337.24</v>
      </c>
      <c r="J330" s="41">
        <f t="shared" si="20"/>
        <v>68976.28</v>
      </c>
      <c r="K330" s="41">
        <f t="shared" si="20"/>
        <v>11064</v>
      </c>
      <c r="L330" s="41">
        <f t="shared" si="20"/>
        <v>860340.19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412895.20999999996</v>
      </c>
      <c r="G344" s="41">
        <f>G330</f>
        <v>109447</v>
      </c>
      <c r="H344" s="41">
        <f>H330</f>
        <v>171620.46000000002</v>
      </c>
      <c r="I344" s="41">
        <f>I330</f>
        <v>86337.24</v>
      </c>
      <c r="J344" s="41">
        <f>J330</f>
        <v>68976.28</v>
      </c>
      <c r="K344" s="47">
        <f>K330+K343</f>
        <v>11064</v>
      </c>
      <c r="L344" s="41">
        <f>L330+L343</f>
        <v>860340.19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149132.54</v>
      </c>
      <c r="I350" s="18"/>
      <c r="J350" s="18">
        <v>763.75</v>
      </c>
      <c r="K350" s="18"/>
      <c r="L350" s="13">
        <f>SUM(F350:K350)</f>
        <v>149896.29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66633.679999999993</v>
      </c>
      <c r="I351" s="18"/>
      <c r="J351" s="18">
        <v>341.25</v>
      </c>
      <c r="K351" s="18"/>
      <c r="L351" s="19">
        <f>SUM(F351:K351)</f>
        <v>66974.929999999993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101537.05</v>
      </c>
      <c r="I352" s="18"/>
      <c r="J352" s="18">
        <v>520</v>
      </c>
      <c r="K352" s="18"/>
      <c r="L352" s="19">
        <f>SUM(F352:K352)</f>
        <v>102057.05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317303.27</v>
      </c>
      <c r="I354" s="47">
        <f t="shared" si="22"/>
        <v>0</v>
      </c>
      <c r="J354" s="47">
        <f t="shared" si="22"/>
        <v>1625</v>
      </c>
      <c r="K354" s="47">
        <f t="shared" si="22"/>
        <v>0</v>
      </c>
      <c r="L354" s="47">
        <f t="shared" si="22"/>
        <v>318928.27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2.82</v>
      </c>
      <c r="I381" s="18"/>
      <c r="J381" s="24" t="s">
        <v>312</v>
      </c>
      <c r="K381" s="24" t="s">
        <v>312</v>
      </c>
      <c r="L381" s="56">
        <f t="shared" si="25"/>
        <v>2.82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2.82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2.82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3688.95</v>
      </c>
      <c r="I388" s="18"/>
      <c r="J388" s="24" t="s">
        <v>312</v>
      </c>
      <c r="K388" s="24" t="s">
        <v>312</v>
      </c>
      <c r="L388" s="56">
        <f t="shared" si="26"/>
        <v>3688.95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100000</v>
      </c>
      <c r="H389" s="18">
        <v>2320.16</v>
      </c>
      <c r="I389" s="18"/>
      <c r="J389" s="24" t="s">
        <v>312</v>
      </c>
      <c r="K389" s="24" t="s">
        <v>312</v>
      </c>
      <c r="L389" s="56">
        <f t="shared" si="26"/>
        <v>102320.16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6009.11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106009.11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6011.9299999999994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106011.93000000001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32531.27</v>
      </c>
      <c r="G434" s="18">
        <f>156638.71+193186.08</f>
        <v>349824.79</v>
      </c>
      <c r="H434" s="18"/>
      <c r="I434" s="56">
        <f t="shared" si="33"/>
        <v>382356.06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32531.27</v>
      </c>
      <c r="G438" s="13">
        <f>SUM(G431:G437)</f>
        <v>349824.79</v>
      </c>
      <c r="H438" s="13">
        <f>SUM(H431:H437)</f>
        <v>0</v>
      </c>
      <c r="I438" s="13">
        <f>SUM(I431:I437)</f>
        <v>382356.06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32531.27</v>
      </c>
      <c r="G449" s="18">
        <v>349824.79</v>
      </c>
      <c r="H449" s="18"/>
      <c r="I449" s="56">
        <f>SUM(F449:H449)</f>
        <v>382356.06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32531.27</v>
      </c>
      <c r="G450" s="83">
        <f>SUM(G446:G449)</f>
        <v>349824.79</v>
      </c>
      <c r="H450" s="83">
        <f>SUM(H446:H449)</f>
        <v>0</v>
      </c>
      <c r="I450" s="83">
        <f>SUM(I446:I449)</f>
        <v>382356.06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32531.27</v>
      </c>
      <c r="G451" s="42">
        <f>G444+G450</f>
        <v>349824.79</v>
      </c>
      <c r="H451" s="42">
        <f>H444+H450</f>
        <v>0</v>
      </c>
      <c r="I451" s="42">
        <f>I444+I450</f>
        <v>382356.06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469719.11</v>
      </c>
      <c r="G455" s="18">
        <v>0</v>
      </c>
      <c r="H455" s="18">
        <v>0</v>
      </c>
      <c r="I455" s="18">
        <v>0</v>
      </c>
      <c r="J455" s="18">
        <v>276344.13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10441295.74</v>
      </c>
      <c r="G458" s="18">
        <v>303101.58</v>
      </c>
      <c r="H458" s="18">
        <v>860340.19</v>
      </c>
      <c r="I458" s="18"/>
      <c r="J458" s="18">
        <v>106011.93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10441295.74</v>
      </c>
      <c r="G460" s="53">
        <f>SUM(G458:G459)</f>
        <v>303101.58</v>
      </c>
      <c r="H460" s="53">
        <f>SUM(H458:H459)</f>
        <v>860340.19</v>
      </c>
      <c r="I460" s="53">
        <f>SUM(I458:I459)</f>
        <v>0</v>
      </c>
      <c r="J460" s="53">
        <f>SUM(J458:J459)</f>
        <v>106011.93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10784635.52</v>
      </c>
      <c r="G462" s="18">
        <v>318928.27</v>
      </c>
      <c r="H462" s="18">
        <v>860340.19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10784635.52</v>
      </c>
      <c r="G464" s="53">
        <f>SUM(G462:G463)</f>
        <v>318928.27</v>
      </c>
      <c r="H464" s="53">
        <f>SUM(H462:H463)</f>
        <v>860340.19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126379.33000000007</v>
      </c>
      <c r="G466" s="53">
        <f>(G455+G460)- G464</f>
        <v>-15826.690000000002</v>
      </c>
      <c r="H466" s="53">
        <f>(H455+H460)- H464</f>
        <v>0</v>
      </c>
      <c r="I466" s="53">
        <f>(I455+I460)- I464</f>
        <v>0</v>
      </c>
      <c r="J466" s="53">
        <f>(J455+J460)- J464</f>
        <v>382356.06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13032960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>
        <v>4.04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10415000</v>
      </c>
      <c r="G485" s="18"/>
      <c r="H485" s="18"/>
      <c r="I485" s="18"/>
      <c r="J485" s="18"/>
      <c r="K485" s="53">
        <f>SUM(F485:J485)</f>
        <v>10415000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655000</v>
      </c>
      <c r="G487" s="18"/>
      <c r="H487" s="18"/>
      <c r="I487" s="18"/>
      <c r="J487" s="18"/>
      <c r="K487" s="53">
        <f t="shared" si="34"/>
        <v>655000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9760000</v>
      </c>
      <c r="G488" s="205"/>
      <c r="H488" s="205"/>
      <c r="I488" s="205"/>
      <c r="J488" s="205"/>
      <c r="K488" s="206">
        <f t="shared" si="34"/>
        <v>9760000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3214890.75</v>
      </c>
      <c r="G489" s="18"/>
      <c r="H489" s="18"/>
      <c r="I489" s="18"/>
      <c r="J489" s="18"/>
      <c r="K489" s="53">
        <f t="shared" si="34"/>
        <v>3214890.75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12974890.75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12974890.75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655000</v>
      </c>
      <c r="G491" s="205"/>
      <c r="H491" s="205"/>
      <c r="I491" s="205"/>
      <c r="J491" s="205"/>
      <c r="K491" s="206">
        <f t="shared" si="34"/>
        <v>655000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427843.5</v>
      </c>
      <c r="G492" s="18"/>
      <c r="H492" s="18"/>
      <c r="I492" s="18"/>
      <c r="J492" s="18"/>
      <c r="K492" s="53">
        <f t="shared" si="34"/>
        <v>427843.5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1082843.5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1082843.5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516831.58</v>
      </c>
      <c r="G511" s="18">
        <v>155611.82</v>
      </c>
      <c r="H511" s="18">
        <v>260143.13</v>
      </c>
      <c r="I511" s="18">
        <v>8120.18</v>
      </c>
      <c r="J511" s="18">
        <v>28803.48</v>
      </c>
      <c r="K511" s="18"/>
      <c r="L511" s="88">
        <f>SUM(F511:K511)</f>
        <v>969510.19000000006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230924.74</v>
      </c>
      <c r="G512" s="18">
        <v>69528.679999999993</v>
      </c>
      <c r="H512" s="18">
        <v>116234.17</v>
      </c>
      <c r="I512" s="18">
        <v>3628.17</v>
      </c>
      <c r="J512" s="18">
        <v>12869.64</v>
      </c>
      <c r="K512" s="18"/>
      <c r="L512" s="88">
        <f>SUM(F512:K512)</f>
        <v>433185.39999999997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351885.32</v>
      </c>
      <c r="G513" s="18">
        <v>105948.47</v>
      </c>
      <c r="H513" s="18">
        <v>177118.73</v>
      </c>
      <c r="I513" s="18">
        <v>5528.63</v>
      </c>
      <c r="J513" s="18">
        <v>19610.88</v>
      </c>
      <c r="K513" s="18"/>
      <c r="L513" s="88">
        <f>SUM(F513:K513)</f>
        <v>660092.03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1099641.6400000001</v>
      </c>
      <c r="G514" s="108">
        <f t="shared" ref="G514:L514" si="35">SUM(G511:G513)</f>
        <v>331088.96999999997</v>
      </c>
      <c r="H514" s="108">
        <f t="shared" si="35"/>
        <v>553496.03</v>
      </c>
      <c r="I514" s="108">
        <f t="shared" si="35"/>
        <v>17276.98</v>
      </c>
      <c r="J514" s="108">
        <f t="shared" si="35"/>
        <v>61284</v>
      </c>
      <c r="K514" s="108">
        <f t="shared" si="35"/>
        <v>0</v>
      </c>
      <c r="L514" s="89">
        <f t="shared" si="35"/>
        <v>2062787.62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157804.12</v>
      </c>
      <c r="I516" s="18"/>
      <c r="J516" s="18"/>
      <c r="K516" s="18"/>
      <c r="L516" s="88">
        <f>SUM(F516:K516)</f>
        <v>157804.12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70508.22</v>
      </c>
      <c r="I517" s="18"/>
      <c r="J517" s="18"/>
      <c r="K517" s="18"/>
      <c r="L517" s="88">
        <f>SUM(F517:K517)</f>
        <v>70508.22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107441.1</v>
      </c>
      <c r="I518" s="18"/>
      <c r="J518" s="18"/>
      <c r="K518" s="18"/>
      <c r="L518" s="88">
        <f>SUM(F518:K518)</f>
        <v>107441.1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335753.44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335753.44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37227.67</v>
      </c>
      <c r="I521" s="18"/>
      <c r="J521" s="18"/>
      <c r="K521" s="18"/>
      <c r="L521" s="88">
        <f>SUM(F521:K521)</f>
        <v>37227.67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16633.64</v>
      </c>
      <c r="I522" s="18"/>
      <c r="J522" s="18"/>
      <c r="K522" s="18"/>
      <c r="L522" s="88">
        <f>SUM(F522:K522)</f>
        <v>16633.64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25346.49</v>
      </c>
      <c r="I523" s="18"/>
      <c r="J523" s="18"/>
      <c r="K523" s="18"/>
      <c r="L523" s="88">
        <f>SUM(F523:K523)</f>
        <v>25346.49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79207.8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79207.8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1895.66</v>
      </c>
      <c r="I526" s="18"/>
      <c r="J526" s="18"/>
      <c r="K526" s="18"/>
      <c r="L526" s="88">
        <f>SUM(F526:K526)</f>
        <v>1895.66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847</v>
      </c>
      <c r="I527" s="18"/>
      <c r="J527" s="18"/>
      <c r="K527" s="18"/>
      <c r="L527" s="88">
        <f>SUM(F527:K527)</f>
        <v>847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1290.6600000000001</v>
      </c>
      <c r="I528" s="18"/>
      <c r="J528" s="18"/>
      <c r="K528" s="18"/>
      <c r="L528" s="88">
        <f>SUM(F528:K528)</f>
        <v>1290.6600000000001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4033.3199999999997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4033.3199999999997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94874.2</v>
      </c>
      <c r="I531" s="18"/>
      <c r="J531" s="18"/>
      <c r="K531" s="18"/>
      <c r="L531" s="88">
        <f>SUM(F531:K531)</f>
        <v>94874.2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42390.6</v>
      </c>
      <c r="I532" s="18"/>
      <c r="J532" s="18"/>
      <c r="K532" s="18"/>
      <c r="L532" s="88">
        <f>SUM(F532:K532)</f>
        <v>42390.6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64595.199999999997</v>
      </c>
      <c r="I533" s="18"/>
      <c r="J533" s="18"/>
      <c r="K533" s="18"/>
      <c r="L533" s="88">
        <f>SUM(F533:K533)</f>
        <v>64595.199999999997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201860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201860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1099641.6400000001</v>
      </c>
      <c r="G535" s="89">
        <f t="shared" ref="G535:L535" si="40">G514+G519+G524+G529+G534</f>
        <v>331088.96999999997</v>
      </c>
      <c r="H535" s="89">
        <f t="shared" si="40"/>
        <v>1174350.5899999999</v>
      </c>
      <c r="I535" s="89">
        <f t="shared" si="40"/>
        <v>17276.98</v>
      </c>
      <c r="J535" s="89">
        <f t="shared" si="40"/>
        <v>61284</v>
      </c>
      <c r="K535" s="89">
        <f t="shared" si="40"/>
        <v>0</v>
      </c>
      <c r="L535" s="89">
        <f t="shared" si="40"/>
        <v>2683642.1799999997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969510.19000000006</v>
      </c>
      <c r="G539" s="87">
        <f>L516</f>
        <v>157804.12</v>
      </c>
      <c r="H539" s="87">
        <f>L521</f>
        <v>37227.67</v>
      </c>
      <c r="I539" s="87">
        <f>L526</f>
        <v>1895.66</v>
      </c>
      <c r="J539" s="87">
        <f>L531</f>
        <v>94874.2</v>
      </c>
      <c r="K539" s="87">
        <f>SUM(F539:J539)</f>
        <v>1261311.8399999999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433185.39999999997</v>
      </c>
      <c r="G540" s="87">
        <f>L517</f>
        <v>70508.22</v>
      </c>
      <c r="H540" s="87">
        <f>L522</f>
        <v>16633.64</v>
      </c>
      <c r="I540" s="87">
        <f>L527</f>
        <v>847</v>
      </c>
      <c r="J540" s="87">
        <f>L532</f>
        <v>42390.6</v>
      </c>
      <c r="K540" s="87">
        <f>SUM(F540:J540)</f>
        <v>563564.86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660092.03</v>
      </c>
      <c r="G541" s="87">
        <f>L518</f>
        <v>107441.1</v>
      </c>
      <c r="H541" s="87">
        <f>L523</f>
        <v>25346.49</v>
      </c>
      <c r="I541" s="87">
        <f>L528</f>
        <v>1290.6600000000001</v>
      </c>
      <c r="J541" s="87">
        <f>L533</f>
        <v>64595.199999999997</v>
      </c>
      <c r="K541" s="87">
        <f>SUM(F541:J541)</f>
        <v>858765.48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2062787.62</v>
      </c>
      <c r="G542" s="89">
        <f t="shared" si="41"/>
        <v>335753.44</v>
      </c>
      <c r="H542" s="89">
        <f t="shared" si="41"/>
        <v>79207.8</v>
      </c>
      <c r="I542" s="89">
        <f t="shared" si="41"/>
        <v>4033.3199999999997</v>
      </c>
      <c r="J542" s="89">
        <f t="shared" si="41"/>
        <v>201860</v>
      </c>
      <c r="K542" s="89">
        <f t="shared" si="41"/>
        <v>2683642.1799999997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9945</v>
      </c>
      <c r="I566" s="87">
        <f t="shared" ref="I566:I577" si="46">SUM(F566:H566)</f>
        <v>9945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69203.22</v>
      </c>
      <c r="G569" s="18">
        <v>30920.59</v>
      </c>
      <c r="H569" s="18">
        <v>47117.09</v>
      </c>
      <c r="I569" s="87">
        <f t="shared" si="46"/>
        <v>147240.9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185087.68</v>
      </c>
      <c r="G572" s="18">
        <v>82698.75</v>
      </c>
      <c r="H572" s="18">
        <v>126017.15</v>
      </c>
      <c r="I572" s="87">
        <f t="shared" si="46"/>
        <v>393803.57999999996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119990.48</v>
      </c>
      <c r="I575" s="87">
        <f t="shared" si="46"/>
        <v>119990.48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75542.16</v>
      </c>
      <c r="I581" s="18">
        <v>33752.879999999997</v>
      </c>
      <c r="J581" s="18">
        <v>51432.959999999999</v>
      </c>
      <c r="K581" s="104">
        <f t="shared" ref="K581:K587" si="47">SUM(H581:J581)</f>
        <v>160728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94874.2</v>
      </c>
      <c r="I582" s="18">
        <v>42390.6</v>
      </c>
      <c r="J582" s="18">
        <v>64595.199999999997</v>
      </c>
      <c r="K582" s="104">
        <f t="shared" si="47"/>
        <v>201860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34984</v>
      </c>
      <c r="K583" s="104">
        <f t="shared" si="47"/>
        <v>34984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12973.47</v>
      </c>
      <c r="J584" s="18">
        <v>20291.849999999999</v>
      </c>
      <c r="K584" s="104">
        <f t="shared" si="47"/>
        <v>33265.32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1957.93</v>
      </c>
      <c r="I585" s="18">
        <v>2324.5300000000002</v>
      </c>
      <c r="J585" s="18">
        <v>3635.8</v>
      </c>
      <c r="K585" s="104">
        <f t="shared" si="47"/>
        <v>7918.26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172374.28999999998</v>
      </c>
      <c r="I588" s="108">
        <f>SUM(I581:I587)</f>
        <v>91441.48</v>
      </c>
      <c r="J588" s="108">
        <f>SUM(J581:J587)</f>
        <v>174939.81</v>
      </c>
      <c r="K588" s="108">
        <f>SUM(K581:K587)</f>
        <v>438755.58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45141.61</v>
      </c>
      <c r="I594" s="18">
        <v>20169.66</v>
      </c>
      <c r="J594" s="18">
        <v>30734.71</v>
      </c>
      <c r="K594" s="104">
        <f>SUM(H594:J594)</f>
        <v>96045.98000000001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45141.61</v>
      </c>
      <c r="I595" s="108">
        <f>SUM(I592:I594)</f>
        <v>20169.66</v>
      </c>
      <c r="J595" s="108">
        <f>SUM(J592:J594)</f>
        <v>30734.71</v>
      </c>
      <c r="K595" s="108">
        <f>SUM(K592:K594)</f>
        <v>96045.98000000001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11908</v>
      </c>
      <c r="G601" s="18">
        <v>1652.55</v>
      </c>
      <c r="H601" s="18">
        <v>3584.48</v>
      </c>
      <c r="I601" s="18"/>
      <c r="J601" s="18"/>
      <c r="K601" s="18"/>
      <c r="L601" s="88">
        <f>SUM(F601:K601)</f>
        <v>17145.03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5045.18</v>
      </c>
      <c r="G602" s="18">
        <v>500.54</v>
      </c>
      <c r="H602" s="18">
        <v>1601.58</v>
      </c>
      <c r="I602" s="18"/>
      <c r="J602" s="18"/>
      <c r="K602" s="18"/>
      <c r="L602" s="88">
        <f>SUM(F602:K602)</f>
        <v>7147.3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7891.19</v>
      </c>
      <c r="G603" s="18">
        <v>782.89</v>
      </c>
      <c r="H603" s="18">
        <v>2440.5</v>
      </c>
      <c r="I603" s="18"/>
      <c r="J603" s="18"/>
      <c r="K603" s="18"/>
      <c r="L603" s="88">
        <f>SUM(F603:K603)</f>
        <v>11114.58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24844.37</v>
      </c>
      <c r="G604" s="108">
        <f t="shared" si="48"/>
        <v>2935.98</v>
      </c>
      <c r="H604" s="108">
        <f t="shared" si="48"/>
        <v>7626.5599999999995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35406.909999999996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831675.68</v>
      </c>
      <c r="H607" s="109">
        <f>SUM(F44)</f>
        <v>831675.67999999993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41903.550000000003</v>
      </c>
      <c r="H608" s="109">
        <f>SUM(G44)</f>
        <v>41903.549999999996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300945.95</v>
      </c>
      <c r="H609" s="109">
        <f>SUM(H44)</f>
        <v>300945.95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382356.06</v>
      </c>
      <c r="H611" s="109">
        <f>SUM(J44)</f>
        <v>382356.06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126379.33</v>
      </c>
      <c r="H612" s="109">
        <f>F466</f>
        <v>126379.33000000007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-15826.69</v>
      </c>
      <c r="H613" s="109">
        <f>G466</f>
        <v>-15826.690000000002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382356.06</v>
      </c>
      <c r="H616" s="109">
        <f>J466</f>
        <v>382356.06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10441295.74</v>
      </c>
      <c r="H617" s="104">
        <f>SUM(F458)</f>
        <v>10441295.74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303101.58</v>
      </c>
      <c r="H618" s="104">
        <f>SUM(G458)</f>
        <v>303101.58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860340.19</v>
      </c>
      <c r="H619" s="104">
        <f>SUM(H458)</f>
        <v>860340.19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106011.93</v>
      </c>
      <c r="H621" s="104">
        <f>SUM(J458)</f>
        <v>106011.93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10784635.52</v>
      </c>
      <c r="H622" s="104">
        <f>SUM(F462)</f>
        <v>10784635.52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860340.19</v>
      </c>
      <c r="H623" s="104">
        <f>SUM(H462)</f>
        <v>860340.19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318928.27</v>
      </c>
      <c r="H625" s="104">
        <f>SUM(G462)</f>
        <v>318928.27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106011.93000000001</v>
      </c>
      <c r="H627" s="164">
        <f>SUM(J458)</f>
        <v>106011.93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32531.27</v>
      </c>
      <c r="H629" s="104">
        <f>SUM(F451)</f>
        <v>32531.27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349824.79</v>
      </c>
      <c r="H630" s="104">
        <f>SUM(G451)</f>
        <v>349824.79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382356.06</v>
      </c>
      <c r="H632" s="104">
        <f>SUM(I451)</f>
        <v>382356.06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6011.93</v>
      </c>
      <c r="H634" s="104">
        <f>H400</f>
        <v>6011.9299999999994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106011.93</v>
      </c>
      <c r="H636" s="104">
        <f>L400</f>
        <v>106011.93000000001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438755.58</v>
      </c>
      <c r="H637" s="104">
        <f>L200+L218+L236</f>
        <v>438755.58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96045.98000000001</v>
      </c>
      <c r="H638" s="104">
        <f>(J249+J330)-(J247+J328)</f>
        <v>96045.98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172374.29</v>
      </c>
      <c r="H639" s="104">
        <f>H588</f>
        <v>172374.28999999998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91441.48</v>
      </c>
      <c r="H640" s="104">
        <f>I588</f>
        <v>91441.48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174939.81</v>
      </c>
      <c r="H641" s="104">
        <f>J588</f>
        <v>174939.81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4574265.8199999994</v>
      </c>
      <c r="G650" s="19">
        <f>(L221+L301+L351)</f>
        <v>2277721.6900000004</v>
      </c>
      <c r="H650" s="19">
        <f>(L239+L320+L352)</f>
        <v>3890078.97</v>
      </c>
      <c r="I650" s="19">
        <f>SUM(F650:H650)</f>
        <v>10742066.48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61891.50007997598</v>
      </c>
      <c r="G651" s="19">
        <f>(L351/IF(SUM(L350:L352)=0,1,SUM(L350:L352))*(SUM(G89:G102)))</f>
        <v>27653.645633600307</v>
      </c>
      <c r="H651" s="19">
        <f>(L352/IF(SUM(L350:L352)=0,1,SUM(L350:L352))*(SUM(G89:G102)))</f>
        <v>42138.894286423711</v>
      </c>
      <c r="I651" s="19">
        <f>SUM(F651:H651)</f>
        <v>131684.04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172374.29</v>
      </c>
      <c r="G652" s="19">
        <f>(L218+L298)-(J218+J298)</f>
        <v>91441.48</v>
      </c>
      <c r="H652" s="19">
        <f>(L236+L317)-(J236+J317)</f>
        <v>174939.81</v>
      </c>
      <c r="I652" s="19">
        <f>SUM(F652:H652)</f>
        <v>438755.58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316577.54000000004</v>
      </c>
      <c r="G653" s="200">
        <f>SUM(G565:G577)+SUM(I592:I594)+L602</f>
        <v>140936.29999999999</v>
      </c>
      <c r="H653" s="200">
        <f>SUM(H565:H577)+SUM(J592:J594)+L603</f>
        <v>344919.01</v>
      </c>
      <c r="I653" s="19">
        <f>SUM(F653:H653)</f>
        <v>802432.85000000009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4023422.4899200234</v>
      </c>
      <c r="G654" s="19">
        <f>G650-SUM(G651:G653)</f>
        <v>2017690.2643664002</v>
      </c>
      <c r="H654" s="19">
        <f>H650-SUM(H651:H653)</f>
        <v>3328081.2557135765</v>
      </c>
      <c r="I654" s="19">
        <f>I650-SUM(I651:I653)</f>
        <v>9369194.0099999998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287.02999999999997</v>
      </c>
      <c r="G655" s="249">
        <v>122.26</v>
      </c>
      <c r="H655" s="249">
        <v>189.2</v>
      </c>
      <c r="I655" s="19">
        <f>SUM(F655:H655)</f>
        <v>598.49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14017.43</v>
      </c>
      <c r="G657" s="19">
        <f>ROUND(G654/G655,2)</f>
        <v>16503.27</v>
      </c>
      <c r="H657" s="19">
        <f>ROUND(H654/H655,2)</f>
        <v>17590.28</v>
      </c>
      <c r="I657" s="19">
        <f>ROUND(I654/I655,2)</f>
        <v>15654.72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-8.5399999999999991</v>
      </c>
      <c r="I660" s="19">
        <f>SUM(F660:H660)</f>
        <v>-8.5399999999999991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14017.43</v>
      </c>
      <c r="G662" s="19">
        <f>ROUND((G654+G659)/(G655+G660),2)</f>
        <v>16503.27</v>
      </c>
      <c r="H662" s="19">
        <f>ROUND((H654+H659)/(H655+H660),2)</f>
        <v>18421.79</v>
      </c>
      <c r="I662" s="19">
        <f>ROUND((I654+I659)/(I655+I660),2)</f>
        <v>15881.34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DC50-6074-410F-81A0-392F7FA6A925}">
  <sheetPr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HINSDALE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2714640.19</v>
      </c>
      <c r="C9" s="230">
        <f>'DOE25'!G189+'DOE25'!G207+'DOE25'!G225+'DOE25'!G268+'DOE25'!G287+'DOE25'!G306</f>
        <v>1124001.6500000001</v>
      </c>
    </row>
    <row r="10" spans="1:3" x14ac:dyDescent="0.2">
      <c r="A10" t="s">
        <v>810</v>
      </c>
      <c r="B10" s="241">
        <v>2542167.81</v>
      </c>
      <c r="C10" s="241">
        <v>1110690.3700000001</v>
      </c>
    </row>
    <row r="11" spans="1:3" x14ac:dyDescent="0.2">
      <c r="A11" t="s">
        <v>811</v>
      </c>
      <c r="B11" s="241">
        <v>97783.679999999993</v>
      </c>
      <c r="C11" s="241">
        <v>7597.59</v>
      </c>
    </row>
    <row r="12" spans="1:3" x14ac:dyDescent="0.2">
      <c r="A12" t="s">
        <v>812</v>
      </c>
      <c r="B12" s="241">
        <v>74688.7</v>
      </c>
      <c r="C12" s="241">
        <v>5713.69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2714640.1900000004</v>
      </c>
      <c r="C13" s="232">
        <f>SUM(C10:C12)</f>
        <v>1124001.6500000001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1102641.6399999999</v>
      </c>
      <c r="C18" s="230">
        <f>'DOE25'!G190+'DOE25'!G208+'DOE25'!G226+'DOE25'!G269+'DOE25'!G288+'DOE25'!G307</f>
        <v>331448.48999999993</v>
      </c>
    </row>
    <row r="19" spans="1:3" x14ac:dyDescent="0.2">
      <c r="A19" t="s">
        <v>810</v>
      </c>
      <c r="B19" s="241">
        <v>508367.06</v>
      </c>
      <c r="C19" s="241">
        <v>288257.15999999997</v>
      </c>
    </row>
    <row r="20" spans="1:3" x14ac:dyDescent="0.2">
      <c r="A20" t="s">
        <v>811</v>
      </c>
      <c r="B20" s="241">
        <v>591274.57999999996</v>
      </c>
      <c r="C20" s="241">
        <v>42831.81</v>
      </c>
    </row>
    <row r="21" spans="1:3" x14ac:dyDescent="0.2">
      <c r="A21" t="s">
        <v>812</v>
      </c>
      <c r="B21" s="241">
        <v>3000</v>
      </c>
      <c r="C21" s="241">
        <v>359.52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1102641.6399999999</v>
      </c>
      <c r="C22" s="232">
        <f>SUM(C19:C21)</f>
        <v>331448.49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11340</v>
      </c>
      <c r="C27" s="235">
        <f>'DOE25'!G191+'DOE25'!G209+'DOE25'!G227+'DOE25'!G270+'DOE25'!G289+'DOE25'!G308</f>
        <v>867.51</v>
      </c>
    </row>
    <row r="28" spans="1:3" x14ac:dyDescent="0.2">
      <c r="A28" t="s">
        <v>810</v>
      </c>
      <c r="B28" s="241">
        <v>11340</v>
      </c>
      <c r="C28" s="241">
        <v>867.51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11340</v>
      </c>
      <c r="C31" s="232">
        <f>SUM(C28:C30)</f>
        <v>867.51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81674.570000000007</v>
      </c>
      <c r="C36" s="236">
        <f>'DOE25'!G192+'DOE25'!G210+'DOE25'!G228+'DOE25'!G271+'DOE25'!G290+'DOE25'!G309</f>
        <v>8674.74</v>
      </c>
    </row>
    <row r="37" spans="1:3" x14ac:dyDescent="0.2">
      <c r="A37" t="s">
        <v>810</v>
      </c>
      <c r="B37" s="241">
        <v>24844.37</v>
      </c>
      <c r="C37" s="241">
        <v>2935.93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56830.2</v>
      </c>
      <c r="C39" s="241">
        <v>5738.81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81674.569999999992</v>
      </c>
      <c r="C40" s="232">
        <f>SUM(C37:C39)</f>
        <v>8674.74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202E-ADA3-4261-BBF6-1A1389F41392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HINSDALE SCHOOL DISTRICT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5932571.3300000001</v>
      </c>
      <c r="D5" s="20">
        <f>SUM('DOE25'!L189:L192)+SUM('DOE25'!L207:L210)+SUM('DOE25'!L225:L228)-F5-G5</f>
        <v>5912233.1099999994</v>
      </c>
      <c r="E5" s="244"/>
      <c r="F5" s="256">
        <f>SUM('DOE25'!J189:J192)+SUM('DOE25'!J207:J210)+SUM('DOE25'!J225:J228)</f>
        <v>6232.03</v>
      </c>
      <c r="G5" s="53">
        <f>SUM('DOE25'!K189:K192)+SUM('DOE25'!K207:K210)+SUM('DOE25'!K225:K228)</f>
        <v>14106.19</v>
      </c>
      <c r="H5" s="260"/>
    </row>
    <row r="6" spans="1:9" x14ac:dyDescent="0.2">
      <c r="A6" s="32">
        <v>2100</v>
      </c>
      <c r="B6" t="s">
        <v>832</v>
      </c>
      <c r="C6" s="246">
        <f t="shared" si="0"/>
        <v>659987</v>
      </c>
      <c r="D6" s="20">
        <f>'DOE25'!L194+'DOE25'!L212+'DOE25'!L230-F6-G6</f>
        <v>659907</v>
      </c>
      <c r="E6" s="244"/>
      <c r="F6" s="256">
        <f>'DOE25'!J194+'DOE25'!J212+'DOE25'!J230</f>
        <v>0</v>
      </c>
      <c r="G6" s="53">
        <f>'DOE25'!K194+'DOE25'!K212+'DOE25'!K230</f>
        <v>80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154642.88</v>
      </c>
      <c r="D7" s="20">
        <f>'DOE25'!L195+'DOE25'!L213+'DOE25'!L231-F7-G7</f>
        <v>154642.88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311871.62000000011</v>
      </c>
      <c r="D8" s="244"/>
      <c r="E8" s="20">
        <f>'DOE25'!L196+'DOE25'!L214+'DOE25'!L232-F8-G8-D9-D11</f>
        <v>304885.3000000001</v>
      </c>
      <c r="F8" s="256">
        <f>'DOE25'!J196+'DOE25'!J214+'DOE25'!J232</f>
        <v>0</v>
      </c>
      <c r="G8" s="53">
        <f>'DOE25'!K196+'DOE25'!K214+'DOE25'!K232</f>
        <v>6986.3200000000006</v>
      </c>
      <c r="H8" s="260"/>
    </row>
    <row r="9" spans="1:9" x14ac:dyDescent="0.2">
      <c r="A9" s="32">
        <v>2310</v>
      </c>
      <c r="B9" t="s">
        <v>849</v>
      </c>
      <c r="C9" s="246">
        <f t="shared" si="0"/>
        <v>48086.16</v>
      </c>
      <c r="D9" s="245">
        <v>48086.16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12635.4</v>
      </c>
      <c r="D10" s="244"/>
      <c r="E10" s="245">
        <v>12635.4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129986.04</v>
      </c>
      <c r="D11" s="245">
        <v>129986.04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832966.41</v>
      </c>
      <c r="D12" s="20">
        <f>'DOE25'!L197+'DOE25'!L215+'DOE25'!L233-F12-G12</f>
        <v>829442.45000000007</v>
      </c>
      <c r="E12" s="244"/>
      <c r="F12" s="256">
        <f>'DOE25'!J197+'DOE25'!J215+'DOE25'!J233</f>
        <v>0</v>
      </c>
      <c r="G12" s="53">
        <f>'DOE25'!K197+'DOE25'!K215+'DOE25'!K233</f>
        <v>3523.96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957388.87999999989</v>
      </c>
      <c r="D14" s="20">
        <f>'DOE25'!L199+'DOE25'!L217+'DOE25'!L235-F14-G14</f>
        <v>949938.22999999986</v>
      </c>
      <c r="E14" s="244"/>
      <c r="F14" s="256">
        <f>'DOE25'!J199+'DOE25'!J217+'DOE25'!J235</f>
        <v>7450.6500000000005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438755.58</v>
      </c>
      <c r="D15" s="20">
        <f>'DOE25'!L200+'DOE25'!L218+'DOE25'!L236-F15-G15</f>
        <v>438755.58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96542.12000000001</v>
      </c>
      <c r="D16" s="244"/>
      <c r="E16" s="20">
        <f>'DOE25'!L201+'DOE25'!L219+'DOE25'!L237-F16-G16</f>
        <v>82843.100000000006</v>
      </c>
      <c r="F16" s="256">
        <f>'DOE25'!J201+'DOE25'!J219+'DOE25'!J237</f>
        <v>13387.02</v>
      </c>
      <c r="G16" s="53">
        <f>'DOE25'!K201+'DOE25'!K219+'DOE25'!K237</f>
        <v>312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1121837.5</v>
      </c>
      <c r="D25" s="244"/>
      <c r="E25" s="244"/>
      <c r="F25" s="259"/>
      <c r="G25" s="257"/>
      <c r="H25" s="258">
        <f>'DOE25'!L252+'DOE25'!L253+'DOE25'!L333+'DOE25'!L334</f>
        <v>1121837.5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318928.27</v>
      </c>
      <c r="D29" s="20">
        <f>'DOE25'!L350+'DOE25'!L351+'DOE25'!L352-'DOE25'!I359-F29-G29</f>
        <v>317303.27</v>
      </c>
      <c r="E29" s="244"/>
      <c r="F29" s="256">
        <f>'DOE25'!J350+'DOE25'!J351+'DOE25'!J352</f>
        <v>1625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860340.19</v>
      </c>
      <c r="D31" s="20">
        <f>'DOE25'!L282+'DOE25'!L301+'DOE25'!L320+'DOE25'!L325+'DOE25'!L326+'DOE25'!L327-F31-G31</f>
        <v>780299.90999999992</v>
      </c>
      <c r="E31" s="244"/>
      <c r="F31" s="256">
        <f>'DOE25'!J282+'DOE25'!J301+'DOE25'!J320+'DOE25'!J325+'DOE25'!J326+'DOE25'!J327</f>
        <v>68976.28</v>
      </c>
      <c r="G31" s="53">
        <f>'DOE25'!K282+'DOE25'!K301+'DOE25'!K320+'DOE25'!K325+'DOE25'!K326+'DOE25'!K327</f>
        <v>11064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10220594.629999999</v>
      </c>
      <c r="E33" s="247">
        <f>SUM(E5:E31)</f>
        <v>400363.80000000016</v>
      </c>
      <c r="F33" s="247">
        <f>SUM(F5:F31)</f>
        <v>97670.98</v>
      </c>
      <c r="G33" s="247">
        <f>SUM(G5:G31)</f>
        <v>36072.47</v>
      </c>
      <c r="H33" s="247">
        <f>SUM(H5:H31)</f>
        <v>1121837.5</v>
      </c>
    </row>
    <row r="35" spans="2:8" ht="12" thickBot="1" x14ac:dyDescent="0.25">
      <c r="B35" s="254" t="s">
        <v>878</v>
      </c>
      <c r="D35" s="255">
        <f>E33</f>
        <v>400363.80000000016</v>
      </c>
      <c r="E35" s="250"/>
    </row>
    <row r="36" spans="2:8" ht="12" thickTop="1" x14ac:dyDescent="0.2">
      <c r="B36" t="s">
        <v>846</v>
      </c>
      <c r="D36" s="20">
        <f>D33</f>
        <v>10220594.629999999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1045-EF3E-4F45-BA98-397B09C27D3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521425.51</v>
      </c>
      <c r="D9" s="95">
        <f>'DOE25'!G9</f>
        <v>23900.54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1730.39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299237.52</v>
      </c>
      <c r="D12" s="95">
        <f>'DOE25'!G12</f>
        <v>0</v>
      </c>
      <c r="E12" s="95">
        <f>'DOE25'!H12</f>
        <v>99365.98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9282.26</v>
      </c>
      <c r="D13" s="95">
        <f>'DOE25'!G13</f>
        <v>16109.18</v>
      </c>
      <c r="E13" s="95">
        <f>'DOE25'!H13</f>
        <v>201579.97</v>
      </c>
      <c r="F13" s="95">
        <f>'DOE25'!I13</f>
        <v>0</v>
      </c>
      <c r="G13" s="95">
        <f>'DOE25'!J13</f>
        <v>382356.06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1893.83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831675.68</v>
      </c>
      <c r="D19" s="41">
        <f>SUM(D9:D18)</f>
        <v>41903.550000000003</v>
      </c>
      <c r="E19" s="41">
        <f>SUM(E9:E18)</f>
        <v>300945.95</v>
      </c>
      <c r="F19" s="41">
        <f>SUM(F9:F18)</f>
        <v>0</v>
      </c>
      <c r="G19" s="41">
        <f>SUM(G9:G18)</f>
        <v>382356.06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98708.98</v>
      </c>
      <c r="D22" s="95">
        <f>'DOE25'!G23</f>
        <v>57730.239999999998</v>
      </c>
      <c r="E22" s="95">
        <f>'DOE25'!H23</f>
        <v>245373.54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98992.31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41630.29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465964.77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55572.41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705296.35</v>
      </c>
      <c r="D32" s="41">
        <f>SUM(D22:D31)</f>
        <v>57730.239999999998</v>
      </c>
      <c r="E32" s="41">
        <f>SUM(E22:E31)</f>
        <v>300945.95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-15826.69</v>
      </c>
      <c r="E40" s="95">
        <f>'DOE25'!H41</f>
        <v>0</v>
      </c>
      <c r="F40" s="95">
        <f>'DOE25'!I41</f>
        <v>0</v>
      </c>
      <c r="G40" s="95">
        <f>'DOE25'!J41</f>
        <v>382356.06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126379.33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126379.33</v>
      </c>
      <c r="D42" s="41">
        <f>SUM(D34:D41)</f>
        <v>-15826.69</v>
      </c>
      <c r="E42" s="41">
        <f>SUM(E34:E41)</f>
        <v>0</v>
      </c>
      <c r="F42" s="41">
        <f>SUM(F34:F41)</f>
        <v>0</v>
      </c>
      <c r="G42" s="41">
        <f>SUM(G34:G41)</f>
        <v>382356.06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831675.67999999993</v>
      </c>
      <c r="D43" s="41">
        <f>D42+D32</f>
        <v>41903.549999999996</v>
      </c>
      <c r="E43" s="41">
        <f>E42+E32</f>
        <v>300945.95</v>
      </c>
      <c r="F43" s="41">
        <f>F42+F32</f>
        <v>0</v>
      </c>
      <c r="G43" s="41">
        <f>G42+G32</f>
        <v>382356.06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4396355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45806.97</v>
      </c>
      <c r="D49" s="24" t="s">
        <v>312</v>
      </c>
      <c r="E49" s="95">
        <f>'DOE25'!H71</f>
        <v>41100.89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6011.93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131684.04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62028.490000000005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107835.46</v>
      </c>
      <c r="D54" s="130">
        <f>SUM(D49:D53)</f>
        <v>131684.04</v>
      </c>
      <c r="E54" s="130">
        <f>SUM(E49:E53)</f>
        <v>41100.89</v>
      </c>
      <c r="F54" s="130">
        <f>SUM(F49:F53)</f>
        <v>0</v>
      </c>
      <c r="G54" s="130">
        <f>SUM(G49:G53)</f>
        <v>6011.93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4504190.46</v>
      </c>
      <c r="D55" s="22">
        <f>D48+D54</f>
        <v>131684.04</v>
      </c>
      <c r="E55" s="22">
        <f>E48+E54</f>
        <v>41100.89</v>
      </c>
      <c r="F55" s="22">
        <f>F48+F54</f>
        <v>0</v>
      </c>
      <c r="G55" s="22">
        <f>G48+G54</f>
        <v>6011.93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4483100.22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549647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162600.78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5195348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436735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147016.49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86479.32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3562.35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670230.81000000006</v>
      </c>
      <c r="D70" s="130">
        <f>SUM(D64:D69)</f>
        <v>3562.35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5865578.8100000005</v>
      </c>
      <c r="D73" s="130">
        <f>SUM(D71:D72)+D70+D62</f>
        <v>3562.35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81240.81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71526.47</v>
      </c>
      <c r="D80" s="95">
        <f>SUM('DOE25'!G145:G153)</f>
        <v>167855.19</v>
      </c>
      <c r="E80" s="95">
        <f>SUM('DOE25'!H145:H153)</f>
        <v>737998.49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71526.47</v>
      </c>
      <c r="D83" s="131">
        <f>SUM(D77:D82)</f>
        <v>167855.19</v>
      </c>
      <c r="E83" s="131">
        <f>SUM(E77:E82)</f>
        <v>819239.3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10441295.74</v>
      </c>
      <c r="D96" s="86">
        <f>D55+D73+D83+D95</f>
        <v>303101.58</v>
      </c>
      <c r="E96" s="86">
        <f>E55+E73+E83+E95</f>
        <v>860340.19000000006</v>
      </c>
      <c r="F96" s="86">
        <f>F55+F73+F83+F95</f>
        <v>0</v>
      </c>
      <c r="G96" s="86">
        <f>G55+G73+G95</f>
        <v>106011.93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3608310.0199999996</v>
      </c>
      <c r="D101" s="24" t="s">
        <v>312</v>
      </c>
      <c r="E101" s="95">
        <f>('DOE25'!L268)+('DOE25'!L287)+('DOE25'!L306)</f>
        <v>609991.63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2026476.89</v>
      </c>
      <c r="D102" s="24" t="s">
        <v>312</v>
      </c>
      <c r="E102" s="95">
        <f>('DOE25'!L269)+('DOE25'!L288)+('DOE25'!L307)</f>
        <v>171567.87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135276.34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162508.07999999999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5932571.3299999991</v>
      </c>
      <c r="D107" s="86">
        <f>SUM(D101:D106)</f>
        <v>0</v>
      </c>
      <c r="E107" s="86">
        <f>SUM(E101:E106)</f>
        <v>781559.5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659987</v>
      </c>
      <c r="D110" s="24" t="s">
        <v>312</v>
      </c>
      <c r="E110" s="95">
        <f>+('DOE25'!L273)+('DOE25'!L292)+('DOE25'!L311)</f>
        <v>1361.09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154642.88</v>
      </c>
      <c r="D111" s="24" t="s">
        <v>312</v>
      </c>
      <c r="E111" s="95">
        <f>+('DOE25'!L274)+('DOE25'!L293)+('DOE25'!L312)</f>
        <v>66155.600000000006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489943.82000000007</v>
      </c>
      <c r="D112" s="24" t="s">
        <v>312</v>
      </c>
      <c r="E112" s="95">
        <f>+('DOE25'!L275)+('DOE25'!L294)+('DOE25'!L313)</f>
        <v>11064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832966.41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957388.87999999989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438755.58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96542.12000000001</v>
      </c>
      <c r="D117" s="24" t="s">
        <v>312</v>
      </c>
      <c r="E117" s="95">
        <f>+('DOE25'!L280)+('DOE25'!L299)+('DOE25'!L318)</f>
        <v>200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318928.27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3630226.6900000004</v>
      </c>
      <c r="D120" s="86">
        <f>SUM(D110:D119)</f>
        <v>318928.27</v>
      </c>
      <c r="E120" s="86">
        <f>SUM(E110:E119)</f>
        <v>78780.69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655000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466837.5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2.82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106009.11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-6011.9300000000076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1221837.5000000002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10784635.52</v>
      </c>
      <c r="D137" s="86">
        <f>(D107+D120+D136)</f>
        <v>318928.27</v>
      </c>
      <c r="E137" s="86">
        <f>(E107+E120+E136)</f>
        <v>860340.19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06/06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13032960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10415000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10415000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655000</v>
      </c>
    </row>
    <row r="151" spans="1:7" x14ac:dyDescent="0.2">
      <c r="A151" s="22" t="s">
        <v>35</v>
      </c>
      <c r="B151" s="137">
        <f>'DOE25'!F488</f>
        <v>9760000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9760000</v>
      </c>
    </row>
    <row r="152" spans="1:7" x14ac:dyDescent="0.2">
      <c r="A152" s="22" t="s">
        <v>36</v>
      </c>
      <c r="B152" s="137">
        <f>'DOE25'!F489</f>
        <v>3214890.75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3214890.75</v>
      </c>
    </row>
    <row r="153" spans="1:7" x14ac:dyDescent="0.2">
      <c r="A153" s="22" t="s">
        <v>37</v>
      </c>
      <c r="B153" s="137">
        <f>'DOE25'!F490</f>
        <v>12974890.75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12974890.75</v>
      </c>
    </row>
    <row r="154" spans="1:7" x14ac:dyDescent="0.2">
      <c r="A154" s="22" t="s">
        <v>38</v>
      </c>
      <c r="B154" s="137">
        <f>'DOE25'!F491</f>
        <v>655000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655000</v>
      </c>
    </row>
    <row r="155" spans="1:7" x14ac:dyDescent="0.2">
      <c r="A155" s="22" t="s">
        <v>39</v>
      </c>
      <c r="B155" s="137">
        <f>'DOE25'!F492</f>
        <v>427843.5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427843.5</v>
      </c>
    </row>
    <row r="156" spans="1:7" x14ac:dyDescent="0.2">
      <c r="A156" s="22" t="s">
        <v>269</v>
      </c>
      <c r="B156" s="137">
        <f>'DOE25'!F493</f>
        <v>1082843.5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1082843.5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95E9-2B2A-4658-A5FE-353203AA3039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HINSDALE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14017</v>
      </c>
    </row>
    <row r="5" spans="1:4" x14ac:dyDescent="0.2">
      <c r="B5" t="s">
        <v>735</v>
      </c>
      <c r="C5" s="179">
        <f>IF('DOE25'!G655+'DOE25'!G660=0,0,ROUND('DOE25'!G662,0))</f>
        <v>16503</v>
      </c>
    </row>
    <row r="6" spans="1:4" x14ac:dyDescent="0.2">
      <c r="B6" t="s">
        <v>62</v>
      </c>
      <c r="C6" s="179">
        <f>IF('DOE25'!H655+'DOE25'!H660=0,0,ROUND('DOE25'!H662,0))</f>
        <v>18422</v>
      </c>
    </row>
    <row r="7" spans="1:4" x14ac:dyDescent="0.2">
      <c r="B7" t="s">
        <v>736</v>
      </c>
      <c r="C7" s="179">
        <f>IF('DOE25'!I655+'DOE25'!I660=0,0,ROUND('DOE25'!I662,0))</f>
        <v>15881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4218302</v>
      </c>
      <c r="D10" s="182">
        <f>ROUND((C10/$C$28)*100,1)</f>
        <v>38.1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2198045</v>
      </c>
      <c r="D11" s="182">
        <f>ROUND((C11/$C$28)*100,1)</f>
        <v>19.8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135276</v>
      </c>
      <c r="D12" s="182">
        <f>ROUND((C12/$C$28)*100,1)</f>
        <v>1.2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162508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661348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220798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597750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832966</v>
      </c>
      <c r="D18" s="182">
        <f t="shared" si="0"/>
        <v>7.5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957389</v>
      </c>
      <c r="D20" s="182">
        <f t="shared" si="0"/>
        <v>8.6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438756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466838</v>
      </c>
      <c r="D25" s="182">
        <f t="shared" si="0"/>
        <v>4.2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187243.96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11077219.960000001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11077219.960000001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655000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4396355</v>
      </c>
      <c r="D35" s="182">
        <f t="shared" ref="D35:D40" si="1">ROUND((C35/$C$41)*100,1)</f>
        <v>38.299999999999997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154948.27999999933</v>
      </c>
      <c r="D36" s="182">
        <f t="shared" si="1"/>
        <v>1.3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5195348</v>
      </c>
      <c r="D37" s="182">
        <f t="shared" si="1"/>
        <v>45.3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673793</v>
      </c>
      <c r="D38" s="182">
        <f t="shared" si="1"/>
        <v>5.9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1058621</v>
      </c>
      <c r="D39" s="182">
        <f t="shared" si="1"/>
        <v>9.1999999999999993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11479065.279999999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F854-F60A-4E6F-89C7-A2540F1F5A1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HINSDALE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2011-11-22T17:33:33Z</cp:lastPrinted>
  <dcterms:created xsi:type="dcterms:W3CDTF">1997-12-04T19:04:30Z</dcterms:created>
  <dcterms:modified xsi:type="dcterms:W3CDTF">2025-01-10T19:50:54Z</dcterms:modified>
</cp:coreProperties>
</file>