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2273972-DFCE-40B5-8D3C-6DB20C6E4ED2}" xr6:coauthVersionLast="47" xr6:coauthVersionMax="47" xr10:uidLastSave="{00000000-0000-0000-0000-000000000000}"/>
  <workbookProtection workbookPassword="B30A" lockStructure="1"/>
  <bookViews>
    <workbookView xWindow="31740" yWindow="2940" windowWidth="21600" windowHeight="11505" tabRatio="855" xr2:uid="{D84D01DC-899D-4862-B818-ADC8211DFFC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F513" i="1"/>
  <c r="G513" i="1" s="1"/>
  <c r="F512" i="1"/>
  <c r="G512" i="1" s="1"/>
  <c r="G518" i="1"/>
  <c r="G517" i="1"/>
  <c r="F517" i="1"/>
  <c r="F518" i="1"/>
  <c r="L518" i="1" s="1"/>
  <c r="G541" i="1" s="1"/>
  <c r="J581" i="1"/>
  <c r="J588" i="1" s="1"/>
  <c r="H641" i="1" s="1"/>
  <c r="I581" i="1"/>
  <c r="I588" i="1" s="1"/>
  <c r="H640" i="1" s="1"/>
  <c r="J640" i="1" s="1"/>
  <c r="H236" i="1"/>
  <c r="L236" i="1" s="1"/>
  <c r="H218" i="1"/>
  <c r="L218" i="1"/>
  <c r="H228" i="1"/>
  <c r="H210" i="1"/>
  <c r="H221" i="1" s="1"/>
  <c r="H227" i="1"/>
  <c r="H235" i="1"/>
  <c r="I514" i="1"/>
  <c r="G231" i="1"/>
  <c r="G213" i="1"/>
  <c r="L213" i="1" s="1"/>
  <c r="G221" i="1"/>
  <c r="G249" i="1" s="1"/>
  <c r="G263" i="1" s="1"/>
  <c r="C37" i="10"/>
  <c r="C60" i="2"/>
  <c r="B2" i="13"/>
  <c r="F8" i="13"/>
  <c r="G8" i="13"/>
  <c r="L196" i="1"/>
  <c r="C17" i="10" s="1"/>
  <c r="L214" i="1"/>
  <c r="L232" i="1"/>
  <c r="C112" i="2"/>
  <c r="D39" i="13"/>
  <c r="F13" i="13"/>
  <c r="G13" i="13"/>
  <c r="L198" i="1"/>
  <c r="L216" i="1"/>
  <c r="L234" i="1"/>
  <c r="E13" i="13" s="1"/>
  <c r="C13" i="13" s="1"/>
  <c r="F16" i="13"/>
  <c r="G16" i="13"/>
  <c r="L201" i="1"/>
  <c r="L219" i="1"/>
  <c r="L237" i="1"/>
  <c r="C117" i="2" s="1"/>
  <c r="F5" i="13"/>
  <c r="G5" i="13"/>
  <c r="L189" i="1"/>
  <c r="L203" i="1" s="1"/>
  <c r="L190" i="1"/>
  <c r="L191" i="1"/>
  <c r="L192" i="1"/>
  <c r="L207" i="1"/>
  <c r="L208" i="1"/>
  <c r="C102" i="2" s="1"/>
  <c r="L209" i="1"/>
  <c r="C12" i="10" s="1"/>
  <c r="L225" i="1"/>
  <c r="L226" i="1"/>
  <c r="L227" i="1"/>
  <c r="L228" i="1"/>
  <c r="F6" i="13"/>
  <c r="D6" i="13" s="1"/>
  <c r="C6" i="13" s="1"/>
  <c r="G6" i="13"/>
  <c r="L194" i="1"/>
  <c r="L212" i="1"/>
  <c r="L230" i="1"/>
  <c r="F7" i="13"/>
  <c r="G7" i="13"/>
  <c r="L195" i="1"/>
  <c r="L231" i="1"/>
  <c r="F12" i="13"/>
  <c r="D12" i="13" s="1"/>
  <c r="C12" i="13" s="1"/>
  <c r="G12" i="13"/>
  <c r="L197" i="1"/>
  <c r="L215" i="1"/>
  <c r="L233" i="1"/>
  <c r="F14" i="13"/>
  <c r="G14" i="13"/>
  <c r="L199" i="1"/>
  <c r="C115" i="2" s="1"/>
  <c r="L217" i="1"/>
  <c r="L235" i="1"/>
  <c r="C20" i="10"/>
  <c r="F15" i="13"/>
  <c r="G15" i="13"/>
  <c r="L200" i="1"/>
  <c r="F652" i="1" s="1"/>
  <c r="F17" i="13"/>
  <c r="G17" i="13"/>
  <c r="L243" i="1"/>
  <c r="C24" i="10" s="1"/>
  <c r="F18" i="13"/>
  <c r="G18" i="13"/>
  <c r="L244" i="1"/>
  <c r="D18" i="13" s="1"/>
  <c r="C18" i="13" s="1"/>
  <c r="F19" i="13"/>
  <c r="G19" i="13"/>
  <c r="L245" i="1"/>
  <c r="C106" i="2" s="1"/>
  <c r="D19" i="13"/>
  <c r="C19" i="13"/>
  <c r="F29" i="13"/>
  <c r="D29" i="13" s="1"/>
  <c r="C29" i="13" s="1"/>
  <c r="G29" i="13"/>
  <c r="L350" i="1"/>
  <c r="L351" i="1"/>
  <c r="F651" i="1" s="1"/>
  <c r="I651" i="1" s="1"/>
  <c r="L352" i="1"/>
  <c r="H651" i="1" s="1"/>
  <c r="I359" i="1"/>
  <c r="J282" i="1"/>
  <c r="J301" i="1"/>
  <c r="J320" i="1"/>
  <c r="F31" i="13" s="1"/>
  <c r="K282" i="1"/>
  <c r="G31" i="13" s="1"/>
  <c r="K301" i="1"/>
  <c r="K320" i="1"/>
  <c r="L268" i="1"/>
  <c r="L269" i="1"/>
  <c r="L270" i="1"/>
  <c r="E103" i="2" s="1"/>
  <c r="L271" i="1"/>
  <c r="E104" i="2" s="1"/>
  <c r="L273" i="1"/>
  <c r="L274" i="1"/>
  <c r="L275" i="1"/>
  <c r="L282" i="1" s="1"/>
  <c r="L276" i="1"/>
  <c r="C18" i="10" s="1"/>
  <c r="L277" i="1"/>
  <c r="E114" i="2" s="1"/>
  <c r="L278" i="1"/>
  <c r="L279" i="1"/>
  <c r="L280" i="1"/>
  <c r="L287" i="1"/>
  <c r="L288" i="1"/>
  <c r="L289" i="1"/>
  <c r="L290" i="1"/>
  <c r="L292" i="1"/>
  <c r="C15" i="10" s="1"/>
  <c r="L293" i="1"/>
  <c r="L294" i="1"/>
  <c r="E112" i="2" s="1"/>
  <c r="L295" i="1"/>
  <c r="L296" i="1"/>
  <c r="L297" i="1"/>
  <c r="L298" i="1"/>
  <c r="E116" i="2" s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E106" i="2"/>
  <c r="L326" i="1"/>
  <c r="L327" i="1"/>
  <c r="L252" i="1"/>
  <c r="C123" i="2" s="1"/>
  <c r="L253" i="1"/>
  <c r="H25" i="13"/>
  <c r="C25" i="13" s="1"/>
  <c r="H33" i="13"/>
  <c r="L333" i="1"/>
  <c r="E123" i="2"/>
  <c r="L334" i="1"/>
  <c r="L247" i="1"/>
  <c r="C122" i="2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96" i="2" s="1"/>
  <c r="G51" i="2"/>
  <c r="G53" i="2"/>
  <c r="G54" i="2" s="1"/>
  <c r="F2" i="11"/>
  <c r="L603" i="1"/>
  <c r="H653" i="1"/>
  <c r="L602" i="1"/>
  <c r="G653" i="1"/>
  <c r="L601" i="1"/>
  <c r="L604" i="1" s="1"/>
  <c r="F653" i="1"/>
  <c r="C40" i="10"/>
  <c r="F52" i="1"/>
  <c r="G52" i="1"/>
  <c r="H52" i="1"/>
  <c r="I52" i="1"/>
  <c r="F71" i="1"/>
  <c r="F86" i="1"/>
  <c r="F103" i="1"/>
  <c r="G103" i="1"/>
  <c r="G104" i="1"/>
  <c r="G185" i="1" s="1"/>
  <c r="G618" i="1" s="1"/>
  <c r="J618" i="1" s="1"/>
  <c r="H71" i="1"/>
  <c r="E49" i="2" s="1"/>
  <c r="E54" i="2" s="1"/>
  <c r="H104" i="1"/>
  <c r="H185" i="1" s="1"/>
  <c r="G619" i="1" s="1"/>
  <c r="J619" i="1" s="1"/>
  <c r="H86" i="1"/>
  <c r="H103" i="1"/>
  <c r="I103" i="1"/>
  <c r="I104" i="1"/>
  <c r="J103" i="1"/>
  <c r="F113" i="1"/>
  <c r="F128" i="1"/>
  <c r="G113" i="1"/>
  <c r="G128" i="1"/>
  <c r="G132" i="1"/>
  <c r="H113" i="1"/>
  <c r="H128" i="1"/>
  <c r="H132" i="1"/>
  <c r="I113" i="1"/>
  <c r="I132" i="1" s="1"/>
  <c r="I128" i="1"/>
  <c r="J113" i="1"/>
  <c r="J128" i="1"/>
  <c r="J132" i="1"/>
  <c r="F139" i="1"/>
  <c r="C77" i="2" s="1"/>
  <c r="C83" i="2" s="1"/>
  <c r="F154" i="1"/>
  <c r="F161" i="1"/>
  <c r="G139" i="1"/>
  <c r="G154" i="1"/>
  <c r="H139" i="1"/>
  <c r="H154" i="1"/>
  <c r="I139" i="1"/>
  <c r="I161" i="1" s="1"/>
  <c r="I154" i="1"/>
  <c r="L242" i="1"/>
  <c r="C23" i="10" s="1"/>
  <c r="L324" i="1"/>
  <c r="L246" i="1"/>
  <c r="L260" i="1"/>
  <c r="L261" i="1"/>
  <c r="C135" i="2" s="1"/>
  <c r="L341" i="1"/>
  <c r="E134" i="2" s="1"/>
  <c r="L342" i="1"/>
  <c r="E135" i="2"/>
  <c r="I655" i="1"/>
  <c r="I660" i="1"/>
  <c r="I659" i="1"/>
  <c r="C4" i="10"/>
  <c r="C42" i="10"/>
  <c r="L366" i="1"/>
  <c r="L367" i="1"/>
  <c r="C29" i="10" s="1"/>
  <c r="L368" i="1"/>
  <c r="L369" i="1"/>
  <c r="L370" i="1"/>
  <c r="L371" i="1"/>
  <c r="L372" i="1"/>
  <c r="B2" i="10"/>
  <c r="L336" i="1"/>
  <c r="E126" i="2"/>
  <c r="L337" i="1"/>
  <c r="E127" i="2" s="1"/>
  <c r="E136" i="2" s="1"/>
  <c r="L338" i="1"/>
  <c r="E129" i="2" s="1"/>
  <c r="L339" i="1"/>
  <c r="K343" i="1"/>
  <c r="L511" i="1"/>
  <c r="L516" i="1"/>
  <c r="L519" i="1" s="1"/>
  <c r="G539" i="1"/>
  <c r="L517" i="1"/>
  <c r="G540" i="1" s="1"/>
  <c r="L521" i="1"/>
  <c r="L524" i="1" s="1"/>
  <c r="L522" i="1"/>
  <c r="H540" i="1"/>
  <c r="L523" i="1"/>
  <c r="H541" i="1" s="1"/>
  <c r="H542" i="1" s="1"/>
  <c r="L526" i="1"/>
  <c r="L527" i="1"/>
  <c r="L529" i="1" s="1"/>
  <c r="I540" i="1"/>
  <c r="L528" i="1"/>
  <c r="I541" i="1" s="1"/>
  <c r="I542" i="1" s="1"/>
  <c r="L531" i="1"/>
  <c r="J539" i="1"/>
  <c r="J542" i="1" s="1"/>
  <c r="L532" i="1"/>
  <c r="J540" i="1"/>
  <c r="L533" i="1"/>
  <c r="J541" i="1"/>
  <c r="E124" i="2"/>
  <c r="K262" i="1"/>
  <c r="J262" i="1"/>
  <c r="L262" i="1" s="1"/>
  <c r="I262" i="1"/>
  <c r="H262" i="1"/>
  <c r="G262" i="1"/>
  <c r="F262" i="1"/>
  <c r="A1" i="2"/>
  <c r="A2" i="2"/>
  <c r="C9" i="2"/>
  <c r="D9" i="2"/>
  <c r="E9" i="2"/>
  <c r="E19" i="2" s="1"/>
  <c r="F9" i="2"/>
  <c r="F19" i="2" s="1"/>
  <c r="F10" i="2"/>
  <c r="F12" i="2"/>
  <c r="F13" i="2"/>
  <c r="F14" i="2"/>
  <c r="F15" i="2"/>
  <c r="F16" i="2"/>
  <c r="F17" i="2"/>
  <c r="F18" i="2"/>
  <c r="I431" i="1"/>
  <c r="J9" i="1"/>
  <c r="G9" i="2"/>
  <c r="C10" i="2"/>
  <c r="C19" i="2" s="1"/>
  <c r="D10" i="2"/>
  <c r="E10" i="2"/>
  <c r="I432" i="1"/>
  <c r="J10" i="1"/>
  <c r="G10" i="2" s="1"/>
  <c r="C11" i="2"/>
  <c r="C12" i="2"/>
  <c r="D12" i="2"/>
  <c r="E12" i="2"/>
  <c r="I433" i="1"/>
  <c r="J12" i="1"/>
  <c r="G12" i="2"/>
  <c r="C13" i="2"/>
  <c r="D13" i="2"/>
  <c r="E13" i="2"/>
  <c r="I434" i="1"/>
  <c r="J13" i="1"/>
  <c r="G13" i="2" s="1"/>
  <c r="C14" i="2"/>
  <c r="D14" i="2"/>
  <c r="E14" i="2"/>
  <c r="I435" i="1"/>
  <c r="J14" i="1"/>
  <c r="G14" i="2"/>
  <c r="C16" i="2"/>
  <c r="D16" i="2"/>
  <c r="E16" i="2"/>
  <c r="C17" i="2"/>
  <c r="D17" i="2"/>
  <c r="E17" i="2"/>
  <c r="I436" i="1"/>
  <c r="J17" i="1" s="1"/>
  <c r="G17" i="2" s="1"/>
  <c r="C18" i="2"/>
  <c r="D18" i="2"/>
  <c r="E18" i="2"/>
  <c r="I437" i="1"/>
  <c r="J18" i="1" s="1"/>
  <c r="G18" i="2" s="1"/>
  <c r="C22" i="2"/>
  <c r="C32" i="2" s="1"/>
  <c r="C43" i="2" s="1"/>
  <c r="C23" i="2"/>
  <c r="C24" i="2"/>
  <c r="C25" i="2"/>
  <c r="C26" i="2"/>
  <c r="C27" i="2"/>
  <c r="C28" i="2"/>
  <c r="C29" i="2"/>
  <c r="C30" i="2"/>
  <c r="C31" i="2"/>
  <c r="C34" i="2"/>
  <c r="C35" i="2"/>
  <c r="C36" i="2"/>
  <c r="C37" i="2"/>
  <c r="C38" i="2"/>
  <c r="C40" i="2"/>
  <c r="C41" i="2"/>
  <c r="C42" i="2"/>
  <c r="D22" i="2"/>
  <c r="D32" i="2" s="1"/>
  <c r="E22" i="2"/>
  <c r="E32" i="2" s="1"/>
  <c r="F22" i="2"/>
  <c r="I440" i="1"/>
  <c r="J23" i="1"/>
  <c r="G22" i="2" s="1"/>
  <c r="D23" i="2"/>
  <c r="E23" i="2"/>
  <c r="F23" i="2"/>
  <c r="I441" i="1"/>
  <c r="J24" i="1"/>
  <c r="G23" i="2"/>
  <c r="D24" i="2"/>
  <c r="E24" i="2"/>
  <c r="F24" i="2"/>
  <c r="F32" i="2" s="1"/>
  <c r="F43" i="2" s="1"/>
  <c r="I442" i="1"/>
  <c r="J25" i="1" s="1"/>
  <c r="G24" i="2" s="1"/>
  <c r="D25" i="2"/>
  <c r="E25" i="2"/>
  <c r="F25" i="2"/>
  <c r="F26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I444" i="1" s="1"/>
  <c r="I451" i="1" s="1"/>
  <c r="H632" i="1" s="1"/>
  <c r="J32" i="1"/>
  <c r="G31" i="2"/>
  <c r="D34" i="2"/>
  <c r="D42" i="2" s="1"/>
  <c r="D43" i="2" s="1"/>
  <c r="E34" i="2"/>
  <c r="F34" i="2"/>
  <c r="D35" i="2"/>
  <c r="E35" i="2"/>
  <c r="F35" i="2"/>
  <c r="D36" i="2"/>
  <c r="E36" i="2"/>
  <c r="F36" i="2"/>
  <c r="I446" i="1"/>
  <c r="J37" i="1"/>
  <c r="G36" i="2" s="1"/>
  <c r="D37" i="2"/>
  <c r="E37" i="2"/>
  <c r="E42" i="2" s="1"/>
  <c r="F37" i="2"/>
  <c r="I447" i="1"/>
  <c r="J38" i="1"/>
  <c r="G37" i="2" s="1"/>
  <c r="D38" i="2"/>
  <c r="E38" i="2"/>
  <c r="F38" i="2"/>
  <c r="I448" i="1"/>
  <c r="J40" i="1"/>
  <c r="G39" i="2"/>
  <c r="D40" i="2"/>
  <c r="E40" i="2"/>
  <c r="F40" i="2"/>
  <c r="I449" i="1"/>
  <c r="J41" i="1"/>
  <c r="G40" i="2" s="1"/>
  <c r="D41" i="2"/>
  <c r="E41" i="2"/>
  <c r="F41" i="2"/>
  <c r="C48" i="2"/>
  <c r="D48" i="2"/>
  <c r="E48" i="2"/>
  <c r="E55" i="2" s="1"/>
  <c r="F48" i="2"/>
  <c r="C50" i="2"/>
  <c r="E50" i="2"/>
  <c r="C51" i="2"/>
  <c r="D51" i="2"/>
  <c r="E51" i="2"/>
  <c r="F51" i="2"/>
  <c r="D52" i="2"/>
  <c r="C53" i="2"/>
  <c r="D53" i="2"/>
  <c r="E53" i="2"/>
  <c r="F53" i="2"/>
  <c r="F54" i="2"/>
  <c r="F55" i="2"/>
  <c r="F96" i="2" s="1"/>
  <c r="C58" i="2"/>
  <c r="C59" i="2"/>
  <c r="C61" i="2"/>
  <c r="C62" i="2" s="1"/>
  <c r="C73" i="2" s="1"/>
  <c r="D61" i="2"/>
  <c r="D62" i="2"/>
  <c r="E61" i="2"/>
  <c r="E62" i="2"/>
  <c r="F61" i="2"/>
  <c r="F62" i="2"/>
  <c r="G61" i="2"/>
  <c r="G62" i="2"/>
  <c r="C64" i="2"/>
  <c r="F64" i="2"/>
  <c r="C65" i="2"/>
  <c r="F65" i="2"/>
  <c r="C66" i="2"/>
  <c r="C67" i="2"/>
  <c r="C68" i="2"/>
  <c r="C69" i="2"/>
  <c r="C70" i="2"/>
  <c r="C71" i="2"/>
  <c r="C72" i="2"/>
  <c r="E68" i="2"/>
  <c r="F68" i="2"/>
  <c r="D69" i="2"/>
  <c r="D70" i="2"/>
  <c r="D71" i="2"/>
  <c r="D73" i="2"/>
  <c r="E69" i="2"/>
  <c r="F69" i="2"/>
  <c r="F70" i="2"/>
  <c r="F73" i="2"/>
  <c r="G69" i="2"/>
  <c r="G70" i="2"/>
  <c r="G73" i="2" s="1"/>
  <c r="E71" i="2"/>
  <c r="E72" i="2"/>
  <c r="E77" i="2"/>
  <c r="E83" i="2" s="1"/>
  <c r="F77" i="2"/>
  <c r="F79" i="2"/>
  <c r="F80" i="2"/>
  <c r="F81" i="2"/>
  <c r="F83" i="2"/>
  <c r="C79" i="2"/>
  <c r="E79" i="2"/>
  <c r="C80" i="2"/>
  <c r="D80" i="2"/>
  <c r="E80" i="2"/>
  <c r="C81" i="2"/>
  <c r="C82" i="2"/>
  <c r="D81" i="2"/>
  <c r="E81" i="2"/>
  <c r="C85" i="2"/>
  <c r="C95" i="2" s="1"/>
  <c r="F85" i="2"/>
  <c r="F95" i="2" s="1"/>
  <c r="C86" i="2"/>
  <c r="F86" i="2"/>
  <c r="D88" i="2"/>
  <c r="E88" i="2"/>
  <c r="E89" i="2"/>
  <c r="E90" i="2"/>
  <c r="E91" i="2"/>
  <c r="E92" i="2"/>
  <c r="E93" i="2"/>
  <c r="E94" i="2"/>
  <c r="E95" i="2"/>
  <c r="F88" i="2"/>
  <c r="G88" i="2"/>
  <c r="C89" i="2"/>
  <c r="D89" i="2"/>
  <c r="F89" i="2"/>
  <c r="G89" i="2"/>
  <c r="C90" i="2"/>
  <c r="D90" i="2"/>
  <c r="D91" i="2"/>
  <c r="D92" i="2"/>
  <c r="D93" i="2"/>
  <c r="D94" i="2"/>
  <c r="D95" i="2"/>
  <c r="G90" i="2"/>
  <c r="G95" i="2"/>
  <c r="C91" i="2"/>
  <c r="F91" i="2"/>
  <c r="C92" i="2"/>
  <c r="C93" i="2"/>
  <c r="C94" i="2"/>
  <c r="F92" i="2"/>
  <c r="F93" i="2"/>
  <c r="F94" i="2"/>
  <c r="E101" i="2"/>
  <c r="E107" i="2" s="1"/>
  <c r="C103" i="2"/>
  <c r="E105" i="2"/>
  <c r="D107" i="2"/>
  <c r="F107" i="2"/>
  <c r="G107" i="2"/>
  <c r="E111" i="2"/>
  <c r="C113" i="2"/>
  <c r="E113" i="2"/>
  <c r="E115" i="2"/>
  <c r="E117" i="2"/>
  <c r="F120" i="2"/>
  <c r="G120" i="2"/>
  <c r="D126" i="2"/>
  <c r="D136" i="2" s="1"/>
  <c r="F126" i="2"/>
  <c r="K411" i="1"/>
  <c r="K426" i="1"/>
  <c r="G126" i="2"/>
  <c r="G136" i="2" s="1"/>
  <c r="K419" i="1"/>
  <c r="K425" i="1"/>
  <c r="L255" i="1"/>
  <c r="C127" i="2"/>
  <c r="L256" i="1"/>
  <c r="C128" i="2"/>
  <c r="L257" i="1"/>
  <c r="C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 s="1"/>
  <c r="G153" i="2" s="1"/>
  <c r="G490" i="1"/>
  <c r="H490" i="1"/>
  <c r="K490" i="1" s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G493" i="1"/>
  <c r="C156" i="2" s="1"/>
  <c r="H493" i="1"/>
  <c r="D156" i="2" s="1"/>
  <c r="I493" i="1"/>
  <c r="E156" i="2"/>
  <c r="J493" i="1"/>
  <c r="F156" i="2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G612" i="1"/>
  <c r="G43" i="1"/>
  <c r="G44" i="1" s="1"/>
  <c r="H608" i="1" s="1"/>
  <c r="G613" i="1"/>
  <c r="J613" i="1" s="1"/>
  <c r="H43" i="1"/>
  <c r="I43" i="1"/>
  <c r="F169" i="1"/>
  <c r="I169" i="1"/>
  <c r="I184" i="1" s="1"/>
  <c r="F175" i="1"/>
  <c r="G175" i="1"/>
  <c r="H175" i="1"/>
  <c r="I175" i="1"/>
  <c r="J175" i="1"/>
  <c r="G635" i="1" s="1"/>
  <c r="J184" i="1"/>
  <c r="F180" i="1"/>
  <c r="F184" i="1" s="1"/>
  <c r="G180" i="1"/>
  <c r="H180" i="1"/>
  <c r="H184" i="1"/>
  <c r="I180" i="1"/>
  <c r="G184" i="1"/>
  <c r="F203" i="1"/>
  <c r="G203" i="1"/>
  <c r="H203" i="1"/>
  <c r="I203" i="1"/>
  <c r="I249" i="1" s="1"/>
  <c r="I263" i="1" s="1"/>
  <c r="J203" i="1"/>
  <c r="J249" i="1" s="1"/>
  <c r="K203" i="1"/>
  <c r="K249" i="1" s="1"/>
  <c r="K263" i="1" s="1"/>
  <c r="F221" i="1"/>
  <c r="F249" i="1" s="1"/>
  <c r="F263" i="1" s="1"/>
  <c r="I221" i="1"/>
  <c r="J221" i="1"/>
  <c r="K221" i="1"/>
  <c r="F239" i="1"/>
  <c r="G239" i="1"/>
  <c r="I239" i="1"/>
  <c r="J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H635" i="1" s="1"/>
  <c r="H400" i="1"/>
  <c r="H634" i="1"/>
  <c r="I400" i="1"/>
  <c r="L405" i="1"/>
  <c r="L406" i="1"/>
  <c r="L407" i="1"/>
  <c r="L408" i="1"/>
  <c r="L409" i="1"/>
  <c r="L410" i="1"/>
  <c r="L411" i="1" s="1"/>
  <c r="L426" i="1" s="1"/>
  <c r="G628" i="1" s="1"/>
  <c r="J628" i="1" s="1"/>
  <c r="F411" i="1"/>
  <c r="F426" i="1" s="1"/>
  <c r="G411" i="1"/>
  <c r="H411" i="1"/>
  <c r="I411" i="1"/>
  <c r="J411" i="1"/>
  <c r="J426" i="1" s="1"/>
  <c r="L413" i="1"/>
  <c r="L414" i="1"/>
  <c r="L415" i="1"/>
  <c r="L416" i="1"/>
  <c r="L417" i="1"/>
  <c r="L418" i="1"/>
  <c r="L419" i="1" s="1"/>
  <c r="F419" i="1"/>
  <c r="G419" i="1"/>
  <c r="G426" i="1" s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I426" i="1"/>
  <c r="F438" i="1"/>
  <c r="G629" i="1" s="1"/>
  <c r="J629" i="1" s="1"/>
  <c r="G438" i="1"/>
  <c r="G630" i="1" s="1"/>
  <c r="H438" i="1"/>
  <c r="G631" i="1" s="1"/>
  <c r="J631" i="1" s="1"/>
  <c r="F444" i="1"/>
  <c r="G444" i="1"/>
  <c r="H444" i="1"/>
  <c r="H451" i="1" s="1"/>
  <c r="H631" i="1" s="1"/>
  <c r="F450" i="1"/>
  <c r="G450" i="1"/>
  <c r="H450" i="1"/>
  <c r="I450" i="1"/>
  <c r="F451" i="1"/>
  <c r="H629" i="1" s="1"/>
  <c r="G451" i="1"/>
  <c r="H630" i="1" s="1"/>
  <c r="F460" i="1"/>
  <c r="G460" i="1"/>
  <c r="H460" i="1"/>
  <c r="I460" i="1"/>
  <c r="I466" i="1" s="1"/>
  <c r="H615" i="1" s="1"/>
  <c r="J615" i="1" s="1"/>
  <c r="J460" i="1"/>
  <c r="J466" i="1" s="1"/>
  <c r="H616" i="1" s="1"/>
  <c r="G464" i="1"/>
  <c r="G466" i="1"/>
  <c r="H613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H514" i="1"/>
  <c r="J514" i="1"/>
  <c r="K514" i="1"/>
  <c r="F519" i="1"/>
  <c r="G519" i="1"/>
  <c r="H519" i="1"/>
  <c r="H535" i="1" s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35" i="1"/>
  <c r="L547" i="1"/>
  <c r="L548" i="1"/>
  <c r="L549" i="1"/>
  <c r="L550" i="1" s="1"/>
  <c r="F550" i="1"/>
  <c r="G550" i="1"/>
  <c r="H550" i="1"/>
  <c r="I550" i="1"/>
  <c r="I561" i="1" s="1"/>
  <c r="J550" i="1"/>
  <c r="J561" i="1" s="1"/>
  <c r="K550" i="1"/>
  <c r="L552" i="1"/>
  <c r="L553" i="1"/>
  <c r="L555" i="1" s="1"/>
  <c r="L554" i="1"/>
  <c r="F555" i="1"/>
  <c r="G555" i="1"/>
  <c r="H555" i="1"/>
  <c r="I555" i="1"/>
  <c r="J555" i="1"/>
  <c r="K555" i="1"/>
  <c r="K561" i="1" s="1"/>
  <c r="L557" i="1"/>
  <c r="L558" i="1"/>
  <c r="L560" i="1" s="1"/>
  <c r="L559" i="1"/>
  <c r="F560" i="1"/>
  <c r="G560" i="1"/>
  <c r="G561" i="1" s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H588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J610" i="1" s="1"/>
  <c r="G614" i="1"/>
  <c r="H617" i="1"/>
  <c r="H618" i="1"/>
  <c r="H619" i="1"/>
  <c r="H620" i="1"/>
  <c r="H621" i="1"/>
  <c r="H623" i="1"/>
  <c r="G624" i="1"/>
  <c r="J624" i="1" s="1"/>
  <c r="H625" i="1"/>
  <c r="H626" i="1"/>
  <c r="H627" i="1"/>
  <c r="H628" i="1"/>
  <c r="G633" i="1"/>
  <c r="G634" i="1"/>
  <c r="J634" i="1"/>
  <c r="H639" i="1"/>
  <c r="G642" i="1"/>
  <c r="H642" i="1"/>
  <c r="J642" i="1" s="1"/>
  <c r="G643" i="1"/>
  <c r="H643" i="1"/>
  <c r="J643" i="1"/>
  <c r="G644" i="1"/>
  <c r="H644" i="1"/>
  <c r="J644" i="1"/>
  <c r="G645" i="1"/>
  <c r="J645" i="1" s="1"/>
  <c r="H645" i="1"/>
  <c r="E8" i="13"/>
  <c r="C8" i="13"/>
  <c r="G651" i="1"/>
  <c r="F132" i="1"/>
  <c r="F185" i="1" s="1"/>
  <c r="G617" i="1" s="1"/>
  <c r="J617" i="1" s="1"/>
  <c r="H44" i="1"/>
  <c r="H609" i="1"/>
  <c r="H466" i="1"/>
  <c r="H614" i="1" s="1"/>
  <c r="J614" i="1" s="1"/>
  <c r="H161" i="1"/>
  <c r="L534" i="1"/>
  <c r="G152" i="2"/>
  <c r="B156" i="2"/>
  <c r="H539" i="1"/>
  <c r="E102" i="2"/>
  <c r="E70" i="2"/>
  <c r="E73" i="2" s="1"/>
  <c r="C25" i="10"/>
  <c r="C35" i="10"/>
  <c r="D14" i="13"/>
  <c r="C14" i="13" s="1"/>
  <c r="C11" i="10"/>
  <c r="I44" i="1"/>
  <c r="H610" i="1"/>
  <c r="G615" i="1"/>
  <c r="C153" i="2"/>
  <c r="G161" i="1"/>
  <c r="D77" i="2"/>
  <c r="D83" i="2" s="1"/>
  <c r="D96" i="2" s="1"/>
  <c r="C114" i="2"/>
  <c r="J43" i="1"/>
  <c r="F561" i="1"/>
  <c r="H426" i="1"/>
  <c r="H561" i="1"/>
  <c r="J535" i="1"/>
  <c r="F42" i="2"/>
  <c r="C124" i="2"/>
  <c r="I539" i="1"/>
  <c r="C26" i="10"/>
  <c r="I653" i="1"/>
  <c r="C49" i="2"/>
  <c r="C54" i="2" s="1"/>
  <c r="C55" i="2" s="1"/>
  <c r="F104" i="1"/>
  <c r="E122" i="2"/>
  <c r="F22" i="13"/>
  <c r="C22" i="13"/>
  <c r="C110" i="2"/>
  <c r="D119" i="2"/>
  <c r="D120" i="2"/>
  <c r="D54" i="2"/>
  <c r="D55" i="2"/>
  <c r="D19" i="2"/>
  <c r="F44" i="1"/>
  <c r="H607" i="1"/>
  <c r="G652" i="1"/>
  <c r="G640" i="1"/>
  <c r="G156" i="2" l="1"/>
  <c r="J630" i="1"/>
  <c r="E43" i="2"/>
  <c r="I185" i="1"/>
  <c r="G620" i="1" s="1"/>
  <c r="J620" i="1" s="1"/>
  <c r="G641" i="1"/>
  <c r="J641" i="1" s="1"/>
  <c r="H652" i="1"/>
  <c r="C116" i="2"/>
  <c r="C120" i="2" s="1"/>
  <c r="G42" i="2"/>
  <c r="G43" i="2" s="1"/>
  <c r="J44" i="1"/>
  <c r="H611" i="1" s="1"/>
  <c r="E96" i="2"/>
  <c r="G19" i="2"/>
  <c r="F650" i="1"/>
  <c r="D7" i="13"/>
  <c r="C7" i="13" s="1"/>
  <c r="C16" i="10"/>
  <c r="C111" i="2"/>
  <c r="J607" i="1"/>
  <c r="G137" i="2"/>
  <c r="J19" i="1"/>
  <c r="G611" i="1" s="1"/>
  <c r="G33" i="13"/>
  <c r="C96" i="2"/>
  <c r="L330" i="1"/>
  <c r="D31" i="13"/>
  <c r="C31" i="13" s="1"/>
  <c r="J638" i="1"/>
  <c r="D137" i="2"/>
  <c r="G32" i="2"/>
  <c r="G542" i="1"/>
  <c r="C39" i="10"/>
  <c r="I652" i="1"/>
  <c r="L561" i="1"/>
  <c r="C130" i="2"/>
  <c r="C133" i="2" s="1"/>
  <c r="C136" i="2" s="1"/>
  <c r="L400" i="1"/>
  <c r="L239" i="1"/>
  <c r="H650" i="1" s="1"/>
  <c r="H654" i="1" s="1"/>
  <c r="G514" i="1"/>
  <c r="G535" i="1" s="1"/>
  <c r="L512" i="1"/>
  <c r="F540" i="1" s="1"/>
  <c r="K540" i="1" s="1"/>
  <c r="H638" i="1"/>
  <c r="J263" i="1"/>
  <c r="J635" i="1"/>
  <c r="H249" i="1"/>
  <c r="H263" i="1" s="1"/>
  <c r="E137" i="2"/>
  <c r="C10" i="10"/>
  <c r="F122" i="2"/>
  <c r="F136" i="2" s="1"/>
  <c r="F137" i="2" s="1"/>
  <c r="H239" i="1"/>
  <c r="C101" i="2"/>
  <c r="L343" i="1"/>
  <c r="C19" i="10"/>
  <c r="G616" i="1"/>
  <c r="J616" i="1" s="1"/>
  <c r="F33" i="13"/>
  <c r="L374" i="1"/>
  <c r="G626" i="1" s="1"/>
  <c r="J626" i="1" s="1"/>
  <c r="I438" i="1"/>
  <c r="G632" i="1" s="1"/>
  <c r="J632" i="1" s="1"/>
  <c r="L513" i="1"/>
  <c r="F541" i="1" s="1"/>
  <c r="K541" i="1" s="1"/>
  <c r="C21" i="10"/>
  <c r="J33" i="1"/>
  <c r="C38" i="10"/>
  <c r="K581" i="1"/>
  <c r="K588" i="1" s="1"/>
  <c r="G637" i="1" s="1"/>
  <c r="C32" i="10"/>
  <c r="L210" i="1"/>
  <c r="D5" i="13" s="1"/>
  <c r="E110" i="2"/>
  <c r="E120" i="2" s="1"/>
  <c r="J104" i="1"/>
  <c r="J185" i="1" s="1"/>
  <c r="E16" i="13"/>
  <c r="C16" i="13" s="1"/>
  <c r="F539" i="1"/>
  <c r="L354" i="1"/>
  <c r="H637" i="1"/>
  <c r="L301" i="1"/>
  <c r="G639" i="1"/>
  <c r="J639" i="1" s="1"/>
  <c r="D15" i="13"/>
  <c r="C15" i="13" s="1"/>
  <c r="C105" i="2"/>
  <c r="D17" i="13"/>
  <c r="C17" i="13" s="1"/>
  <c r="K330" i="1"/>
  <c r="K344" i="1" s="1"/>
  <c r="C5" i="13" l="1"/>
  <c r="D33" i="13"/>
  <c r="D36" i="13" s="1"/>
  <c r="C27" i="10"/>
  <c r="G625" i="1"/>
  <c r="J625" i="1" s="1"/>
  <c r="F542" i="1"/>
  <c r="K539" i="1"/>
  <c r="K542" i="1" s="1"/>
  <c r="H636" i="1"/>
  <c r="G627" i="1"/>
  <c r="J627" i="1" s="1"/>
  <c r="L344" i="1"/>
  <c r="G623" i="1" s="1"/>
  <c r="J623" i="1" s="1"/>
  <c r="C36" i="10"/>
  <c r="F654" i="1"/>
  <c r="C28" i="10"/>
  <c r="D19" i="10" s="1"/>
  <c r="G636" i="1"/>
  <c r="J636" i="1" s="1"/>
  <c r="G621" i="1"/>
  <c r="L514" i="1"/>
  <c r="L535" i="1" s="1"/>
  <c r="J611" i="1"/>
  <c r="L221" i="1"/>
  <c r="C13" i="10"/>
  <c r="C104" i="2"/>
  <c r="J637" i="1"/>
  <c r="C107" i="2"/>
  <c r="C137" i="2" s="1"/>
  <c r="E33" i="13"/>
  <c r="D35" i="13" s="1"/>
  <c r="H662" i="1"/>
  <c r="C6" i="10" s="1"/>
  <c r="H657" i="1"/>
  <c r="F657" i="1" l="1"/>
  <c r="F662" i="1"/>
  <c r="D13" i="10"/>
  <c r="C41" i="10"/>
  <c r="G650" i="1"/>
  <c r="L249" i="1"/>
  <c r="L263" i="1" s="1"/>
  <c r="D22" i="10"/>
  <c r="C30" i="10"/>
  <c r="D11" i="10"/>
  <c r="D25" i="10"/>
  <c r="D15" i="10"/>
  <c r="D23" i="10"/>
  <c r="D18" i="10"/>
  <c r="D26" i="10"/>
  <c r="D17" i="10"/>
  <c r="D24" i="10"/>
  <c r="D20" i="10"/>
  <c r="D12" i="10"/>
  <c r="D16" i="10"/>
  <c r="J621" i="1"/>
  <c r="D21" i="10"/>
  <c r="D27" i="10"/>
  <c r="D10" i="10"/>
  <c r="D28" i="10" s="1"/>
  <c r="G622" i="1" l="1"/>
  <c r="F462" i="1"/>
  <c r="G654" i="1"/>
  <c r="I650" i="1"/>
  <c r="I654" i="1" s="1"/>
  <c r="D40" i="10"/>
  <c r="D37" i="10"/>
  <c r="D35" i="10"/>
  <c r="D39" i="10"/>
  <c r="D38" i="10"/>
  <c r="D36" i="10"/>
  <c r="J622" i="1" l="1"/>
  <c r="D41" i="10"/>
  <c r="I662" i="1"/>
  <c r="C7" i="10" s="1"/>
  <c r="I657" i="1"/>
  <c r="G657" i="1"/>
  <c r="G662" i="1"/>
  <c r="C5" i="10" s="1"/>
  <c r="H622" i="1"/>
  <c r="F464" i="1"/>
  <c r="F466" i="1" s="1"/>
  <c r="H612" i="1" s="1"/>
  <c r="J612" i="1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522E281-B56A-47B7-A641-ECA6FE83083A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D5CC80E-00E0-40A4-85F3-8672649DE4A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8B2DC70-C469-4C24-9F6D-A0652DF9ABA2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71C415C-7B28-4F08-9434-5A523D73B39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2D021A24-793C-4422-8FC5-F07CE5DDF1CC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4088EF4-5123-4FEC-BB2F-F130740A5CAF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88F62F29-FBCF-45F5-9185-F472282D967A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D6FCE68B-15CE-4817-8BDC-2A050FE14E15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23048106-C424-4526-9822-FBCB5FAA68E7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CF755F3E-F3FA-4849-A9F8-BEE5B14E40C9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9D481F68-5041-4C31-8CA8-5BB5131D93A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81EF4BC-3271-4A8E-8999-5D9F2AD6EB01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<sst xmlns="http://schemas.openxmlformats.org/spreadsheetml/2006/main" count="3866" uniqueCount="903">
  <si>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</si>
  <si>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</si>
  <si>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</si>
  <si>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</si>
  <si>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</si>
  <si>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</si>
  <si>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</si>
  <si>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</si>
  <si>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</si>
  <si>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</si>
  <si>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</si>
  <si>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</si>
  <si>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</si>
  <si>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</si>
  <si>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</si>
  <si>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</si>
  <si>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</si>
  <si>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</si>
  <si>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</si>
  <si>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</si>
  <si>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</si>
  <si>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</si>
  <si>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</si>
  <si>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</si>
  <si>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</si>
  <si>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</si>
  <si>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</si>
  <si>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</si>
  <si>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</si>
  <si>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</si>
  <si>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</si>
  <si>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</si>
  <si>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</si>
  <si>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</si>
  <si>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</si>
  <si>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</si>
  <si>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</si>
  <si>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</si>
  <si>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</si>
  <si>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</si>
  <si>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</si>
  <si>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</si>
  <si>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</si>
  <si>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</si>
  <si>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</si>
  <si>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</si>
  <si>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</si>
  <si>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</si>
  <si>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</si>
  <si>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</si>
  <si>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</si>
  <si>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</si>
  <si>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</si>
  <si>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</si>
  <si>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</si>
  <si>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</si>
  <si>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</si>
  <si>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</si>
  <si>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</si>
  <si>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</si>
  <si>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</si>
  <si>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</si>
  <si>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</si>
  <si>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</si>
  <si>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</si>
  <si>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</si>
  <si>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</si>
  <si>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</si>
  <si>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</si>
  <si>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</si>
  <si>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</si>
  <si>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</si>
  <si>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</si>
  <si>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</si>
  <si>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</si>
  <si>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</si>
  <si>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</si>
  <si>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</si>
  <si>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</si>
  <si>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</si>
  <si>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</si>
  <si>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</si>
  <si>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</si>
  <si>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</si>
  <si>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</si>
  <si>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</si>
  <si>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</si>
  <si>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</si>
  <si>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</si>
  <si>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</si>
  <si>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</si>
  <si>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</si>
  <si>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</si>
  <si>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</si>
  <si>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</si>
  <si>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</si>
  <si>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</si>
  <si>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</si>
  <si>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</si>
  <si>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</si>
  <si>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</si>
  <si>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</si>
  <si>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</si>
  <si>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</si>
  <si>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</si>
  <si>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</si>
  <si>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</si>
  <si>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</si>
  <si>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</si>
  <si>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</si>
  <si>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</si>
  <si>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</si>
  <si>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</si>
  <si>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</si>
  <si>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</si>
  <si>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</si>
  <si>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</si>
  <si>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</si>
  <si>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</si>
  <si>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</si>
  <si>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</si>
  <si>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</si>
  <si>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</si>
  <si>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</si>
  <si>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</si>
  <si>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</si>
  <si>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</si>
  <si>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</si>
  <si>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</si>
  <si>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</si>
  <si>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</si>
  <si>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</si>
  <si>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</si>
  <si>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</si>
  <si>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</si>
  <si>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</si>
  <si>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</si>
  <si>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</si>
  <si>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</si>
  <si>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</si>
  <si>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</si>
  <si>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</si>
  <si>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</si>
  <si>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</si>
  <si>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</si>
  <si>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</si>
  <si>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</si>
  <si>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</si>
  <si>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</si>
  <si>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</si>
  <si>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</si>
  <si>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</si>
  <si>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</si>
  <si>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</si>
  <si>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</si>
  <si>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</si>
  <si>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</si>
  <si>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</si>
  <si>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</si>
  <si>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</si>
  <si>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</si>
  <si>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</si>
  <si>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</si>
  <si>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</si>
  <si>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</si>
  <si>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</si>
  <si>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</si>
  <si>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</si>
  <si>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</si>
  <si>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</si>
  <si>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</si>
  <si>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</si>
  <si>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</si>
  <si>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</si>
  <si>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</si>
  <si>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</si>
  <si>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</si>
  <si>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</si>
  <si>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</si>
  <si>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</si>
  <si>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</si>
  <si>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</si>
  <si>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</si>
  <si>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</si>
  <si>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</si>
  <si>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</si>
  <si>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</si>
  <si>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</si>
  <si>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</si>
  <si>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</si>
  <si>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</si>
  <si>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</si>
  <si>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</si>
  <si>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</si>
  <si>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</si>
  <si>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</si>
  <si>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</si>
  <si>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</si>
  <si>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</si>
  <si>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</si>
  <si>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</si>
  <si>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</si>
  <si>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</si>
  <si>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</si>
  <si>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</si>
  <si>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</si>
  <si>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</si>
  <si>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</si>
  <si>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</si>
  <si>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</si>
  <si>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</si>
  <si>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</si>
  <si>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</si>
  <si>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</si>
  <si>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</si>
  <si>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</si>
  <si>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</si>
  <si>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</si>
  <si>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</si>
  <si>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</si>
  <si>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</si>
  <si>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</si>
  <si>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</si>
  <si>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</si>
  <si>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</si>
  <si>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</si>
  <si>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</si>
  <si>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</si>
  <si>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</si>
  <si>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</si>
  <si>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</si>
  <si>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</si>
  <si>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</si>
  <si>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</si>
  <si>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</si>
  <si>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</si>
  <si>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</si>
  <si>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</si>
  <si>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</si>
  <si>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</si>
  <si>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</si>
  <si>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</si>
  <si>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</si>
  <si>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</si>
  <si>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</si>
  <si>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</si>
  <si>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</si>
  <si>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</si>
  <si>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</si>
  <si>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</si>
  <si>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</si>
  <si>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</si>
  <si>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</si>
  <si>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</si>
  <si>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</si>
  <si>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</si>
  <si>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</si>
  <si>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</si>
  <si>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</si>
  <si>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</si>
  <si>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</si>
  <si>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</si>
  <si>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</si>
  <si>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</si>
  <si>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</si>
  <si>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</si>
  <si>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</si>
  <si>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</si>
  <si>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</si>
  <si>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</si>
  <si>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</si>
  <si>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</si>
  <si>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</si>
  <si>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</si>
  <si>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</si>
  <si>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</si>
  <si>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</si>
  <si>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</si>
  <si>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</si>
  <si>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</si>
  <si>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</si>
  <si>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</si>
  <si>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</si>
  <si>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</si>
  <si>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</si>
  <si>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</si>
  <si>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</si>
  <si>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</si>
  <si>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</si>
  <si>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</si>
  <si>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</si>
  <si>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</si>
  <si>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</si>
  <si>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</si>
  <si>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</si>
  <si>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</si>
  <si>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</si>
  <si>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</si>
  <si>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</si>
  <si>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</si>
  <si>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</si>
  <si>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</si>
  <si>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</si>
  <si>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</si>
  <si>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</si>
  <si>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</si>
  <si>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</si>
  <si>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</si>
  <si>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</si>
  <si>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</si>
  <si>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</si>
  <si>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</si>
  <si>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</si>
  <si>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</si>
  <si>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</si>
  <si>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</si>
  <si>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</si>
  <si>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</si>
  <si>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</si>
  <si>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</si>
  <si>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</si>
  <si>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</si>
  <si>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</si>
  <si>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</si>
  <si>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</si>
  <si>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</si>
  <si>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</si>
  <si>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</si>
  <si>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</si>
  <si>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</si>
  <si>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</si>
  <si>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</si>
  <si>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</si>
  <si>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</si>
  <si>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</si>
  <si>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</si>
  <si>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</si>
  <si>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</si>
  <si>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</si>
  <si>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</si>
  <si>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</si>
  <si>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</si>
  <si>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</si>
  <si>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</si>
  <si>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</si>
  <si>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</si>
  <si>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</si>
  <si>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</si>
  <si>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</si>
  <si>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</si>
  <si>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</si>
  <si>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</si>
  <si>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</si>
  <si>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</si>
  <si>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</si>
  <si>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</si>
  <si>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</si>
  <si>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</si>
  <si>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</si>
  <si>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</si>
  <si>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</si>
  <si>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</si>
  <si>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</si>
  <si>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</si>
  <si>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</si>
  <si>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</si>
  <si>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</si>
  <si>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</si>
  <si>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</si>
  <si>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</si>
  <si>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</si>
  <si>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</si>
  <si>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</si>
  <si>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</si>
  <si>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</si>
  <si>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</si>
  <si>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</si>
  <si>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</si>
  <si>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</si>
  <si>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</si>
  <si>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</si>
  <si>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</si>
  <si>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</si>
  <si>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</si>
  <si>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</si>
  <si>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</si>
  <si>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</si>
  <si>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</si>
  <si>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</si>
  <si>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</si>
  <si>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</si>
  <si>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</si>
  <si>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</si>
  <si>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</si>
  <si>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</si>
  <si>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</si>
  <si>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</si>
  <si>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</si>
  <si>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</si>
  <si>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</si>
  <si>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</si>
  <si>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</si>
  <si>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</si>
  <si>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</si>
  <si>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</si>
  <si>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</si>
  <si>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</si>
  <si>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</si>
  <si>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</si>
  <si>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</si>
  <si>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</si>
  <si>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</si>
  <si>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</si>
  <si>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</si>
  <si>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</si>
  <si>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</si>
  <si>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</si>
  <si>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</si>
  <si>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</si>
  <si>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</si>
  <si>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</si>
  <si>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</si>
  <si>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</si>
  <si>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</si>
  <si>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</si>
  <si>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</si>
  <si>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</si>
  <si>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</si>
  <si>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</si>
  <si>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</si>
  <si>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</si>
  <si>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</si>
  <si>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</si>
  <si>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</si>
  <si>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</si>
  <si>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</si>
  <si>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</si>
  <si>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</si>
  <si>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</si>
  <si>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</si>
  <si>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</si>
  <si>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</si>
  <si>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</si>
  <si>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</si>
  <si>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</si>
  <si>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</si>
  <si>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</si>
  <si>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</si>
  <si>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</si>
  <si>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</si>
  <si>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</si>
  <si>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</si>
  <si>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</si>
  <si>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</si>
  <si>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</si>
  <si>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</si>
  <si>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</si>
  <si>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</si>
  <si>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</si>
  <si>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</si>
  <si>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</si>
  <si>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</si>
  <si>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</si>
  <si>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</si>
  <si>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</si>
  <si>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</si>
  <si>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</si>
  <si>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</si>
  <si>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</si>
  <si>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</si>
  <si>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</si>
  <si>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</si>
  <si>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</si>
  <si>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</si>
  <si>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</si>
  <si>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</si>
  <si>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</si>
  <si>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</si>
  <si>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</si>
  <si>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</si>
  <si>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</si>
  <si>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</si>
  <si>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</si>
  <si>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</si>
  <si>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</si>
  <si>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</si>
  <si>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</si>
  <si>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</si>
  <si>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</si>
  <si>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</si>
  <si>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</si>
  <si>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</si>
  <si>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</si>
  <si>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</si>
  <si>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</si>
  <si>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</si>
  <si>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</si>
  <si>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</si>
  <si>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</si>
  <si>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</si>
  <si>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</si>
  <si>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</si>
  <si>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</si>
  <si>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</si>
  <si>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</si>
  <si>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</si>
  <si>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</si>
  <si>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</si>
  <si>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</si>
  <si>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</si>
  <si>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</si>
  <si>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</si>
  <si>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</si>
  <si>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</si>
  <si>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</si>
  <si>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</si>
  <si>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</si>
  <si>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</si>
  <si>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</si>
  <si>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</si>
  <si>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</si>
  <si>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</si>
  <si>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</si>
  <si>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</si>
  <si>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</si>
  <si>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</si>
  <si>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</si>
  <si>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</si>
  <si>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</si>
  <si>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</si>
  <si>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</si>
  <si>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</si>
  <si>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</si>
  <si>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</si>
  <si>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</si>
  <si>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</si>
  <si>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</si>
  <si>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</si>
  <si>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</si>
  <si>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</si>
  <si>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</si>
  <si>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</si>
  <si>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</si>
  <si>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</si>
  <si>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</si>
  <si>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</si>
  <si>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</si>
  <si>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</si>
  <si>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</si>
  <si>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</si>
  <si>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</si>
  <si>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</si>
  <si>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</si>
  <si>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</si>
  <si>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</si>
  <si>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</si>
  <si>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</si>
  <si>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</si>
  <si>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</si>
  <si>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</si>
  <si>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</si>
  <si>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</si>
  <si>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</si>
  <si>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</si>
  <si>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</si>
  <si>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</si>
  <si>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</si>
  <si>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</si>
  <si>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</si>
  <si>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</si>
  <si>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</si>
  <si>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</si>
  <si>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</si>
  <si>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</si>
  <si>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</si>
  <si>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</si>
  <si>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</si>
  <si>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</si>
  <si>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</si>
  <si>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</si>
  <si>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</si>
  <si>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</si>
  <si>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</si>
  <si>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</si>
  <si>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</si>
  <si>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</si>
  <si>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</si>
  <si>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</si>
  <si>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</si>
  <si>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</si>
  <si>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</si>
  <si>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</si>
  <si>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</si>
  <si>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</si>
  <si>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</si>
  <si>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</si>
  <si>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</si>
  <si>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</si>
  <si>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</si>
  <si>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</si>
  <si>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</si>
  <si>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</si>
  <si>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</si>
  <si>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</si>
  <si>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</si>
  <si>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</si>
  <si>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</si>
  <si>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</si>
  <si>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</si>
  <si>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</si>
  <si>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</si>
  <si>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</si>
  <si>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</si>
  <si>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</si>
  <si>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</si>
  <si>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</si>
  <si>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</si>
  <si>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</si>
  <si>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</si>
  <si>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</si>
  <si>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</si>
  <si>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</si>
  <si>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</si>
  <si>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</si>
  <si>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</si>
  <si>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</si>
  <si>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</si>
  <si>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</si>
  <si>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</si>
  <si>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</si>
  <si>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</si>
  <si>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</si>
  <si>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</si>
  <si>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</si>
  <si>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</si>
  <si>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</si>
  <si>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</si>
  <si>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</si>
  <si>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</si>
  <si>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</si>
  <si>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</si>
  <si>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</si>
  <si>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</si>
  <si>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</si>
  <si>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</si>
  <si>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</si>
  <si>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</si>
  <si>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</si>
  <si>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</si>
  <si>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</si>
  <si>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</si>
  <si>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</si>
  <si>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</si>
  <si>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</si>
  <si>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</si>
  <si>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</si>
  <si>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</si>
  <si>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</si>
  <si>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</si>
  <si>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</si>
  <si>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</si>
  <si>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</si>
  <si>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</si>
  <si>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</si>
  <si>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</si>
  <si>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</si>
  <si>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</si>
  <si>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</si>
  <si>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</si>
  <si>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</si>
  <si>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</si>
  <si>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</si>
  <si>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</si>
  <si>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</si>
  <si>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</si>
  <si>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</si>
  <si>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</si>
  <si>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</si>
  <si>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</si>
  <si>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</si>
  <si>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</si>
  <si>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</si>
  <si>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</si>
  <si>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</si>
  <si>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</si>
  <si>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</si>
  <si>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</si>
  <si>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</si>
  <si>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</si>
  <si>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</si>
  <si>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</si>
  <si>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</si>
  <si>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</si>
  <si>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</si>
  <si>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</si>
  <si>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</si>
  <si>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</si>
  <si>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</si>
  <si>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</si>
  <si>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</si>
  <si>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</si>
  <si>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</si>
  <si>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</si>
  <si>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</si>
  <si>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</si>
  <si>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</si>
  <si>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</si>
  <si>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</si>
  <si>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</si>
  <si>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</si>
  <si>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</si>
  <si>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</si>
  <si>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</si>
  <si>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</si>
  <si>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</si>
  <si>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</si>
  <si>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</si>
  <si>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</si>
  <si>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</si>
  <si>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</si>
  <si>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</si>
  <si>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</si>
  <si>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</si>
  <si>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</si>
  <si>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</si>
  <si>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</si>
  <si>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</si>
  <si>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</si>
  <si>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</si>
  <si>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</si>
  <si>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</si>
  <si>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</si>
  <si>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</si>
  <si>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</si>
  <si>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</si>
  <si>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</si>
  <si>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</si>
  <si>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</si>
  <si>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</si>
  <si>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</si>
  <si>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</si>
  <si>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</si>
  <si>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</si>
  <si>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</si>
  <si>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</si>
  <si>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</si>
  <si>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</si>
  <si>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</si>
  <si>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</si>
  <si>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</si>
  <si>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</si>
  <si>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</si>
  <si>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</si>
  <si>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</si>
  <si>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</si>
  <si>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</si>
  <si>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</si>
  <si>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</si>
  <si>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</si>
  <si>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</si>
  <si>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</si>
  <si>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</si>
  <si>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</si>
  <si>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</si>
  <si>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</si>
  <si>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</si>
  <si>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</si>
  <si>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</si>
  <si>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</si>
  <si>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</si>
  <si>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</si>
  <si>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</si>
  <si>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</si>
  <si>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</si>
  <si>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</si>
  <si>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</si>
  <si>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</si>
  <si>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</si>
  <si>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</si>
  <si>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</si>
  <si>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</si>
  <si>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</si>
  <si>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</si>
  <si>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</si>
  <si>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</si>
  <si>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</si>
  <si>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</si>
  <si>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</si>
  <si>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</si>
  <si>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</si>
  <si>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</si>
  <si>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</si>
  <si>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</si>
  <si>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</si>
  <si>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</si>
  <si>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</si>
  <si>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</si>
  <si>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</si>
  <si>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</si>
  <si>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</si>
  <si>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</si>
  <si>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</si>
  <si>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</si>
  <si>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</si>
  <si>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</si>
  <si>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</si>
  <si>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</si>
  <si>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</si>
  <si>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</si>
  <si>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</si>
  <si>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</si>
  <si>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</si>
  <si>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</si>
  <si>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</si>
  <si>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</si>
  <si>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</si>
  <si>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</si>
  <si>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</si>
  <si>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</si>
  <si>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</si>
  <si>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</si>
  <si>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</si>
  <si>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</si>
  <si>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</si>
  <si>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</si>
  <si>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</si>
  <si>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</si>
  <si>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</si>
  <si>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</si>
  <si>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</si>
  <si>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</si>
  <si>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</si>
  <si>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</si>
  <si>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</si>
  <si>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</si>
  <si>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</si>
  <si>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</si>
  <si>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</si>
  <si>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</si>
  <si>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</si>
  <si>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</si>
  <si>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</si>
  <si>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</si>
  <si>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</si>
  <si>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</si>
  <si>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</si>
  <si>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</si>
  <si>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</si>
  <si>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</si>
  <si>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</si>
  <si>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</si>
  <si>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</si>
  <si>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</si>
  <si>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</si>
  <si>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</si>
  <si>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</si>
  <si>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</si>
  <si>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</si>
  <si>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</si>
  <si>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</si>
  <si>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</si>
  <si>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</si>
  <si>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</si>
  <si>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</si>
  <si>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</si>
  <si>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</si>
  <si>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</si>
  <si>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</si>
  <si>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</si>
  <si>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</si>
  <si>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</si>
  <si>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</si>
  <si>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</si>
  <si>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</si>
  <si>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</si>
  <si>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</si>
  <si>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</si>
  <si>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</si>
  <si>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</si>
  <si>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</si>
  <si>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</si>
  <si>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</si>
  <si>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</si>
  <si>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</si>
  <si>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</si>
  <si>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</si>
  <si>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</si>
  <si>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</si>
  <si>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</si>
  <si>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</si>
  <si>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</si>
  <si>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</si>
  <si>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</si>
  <si>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</si>
  <si>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08/04</t>
  </si>
  <si>
    <t>08/24</t>
  </si>
  <si>
    <t>01/03</t>
  </si>
  <si>
    <t>01/13</t>
  </si>
  <si>
    <t>08/00</t>
  </si>
  <si>
    <t>08/15</t>
  </si>
  <si>
    <t>08/96</t>
  </si>
  <si>
    <t>08/16</t>
  </si>
  <si>
    <t>Hollis-Brookline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</si>
</sst>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"/>
    <numFmt numFmtId="165" formatCode="0_)"/>
    <numFmt numFmtId="166" formatCode="0.0%"/>
    <numFmt numFmtId="167" formatCode="0.0"/>
    <numFmt numFmtId="187" formatCode="&quot;$&quot;?,??0.00"/>
    <numFmt numFmtId="188" formatCode="&quot;$&quot;???,??0.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87" fontId="0" fillId="0" borderId="0" xfId="0" applyNumberFormat="1" applyProtection="1">
      <protection locked="0"/>
    </xf>
    <xf numFmtId="188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AE80-8246-4676-A014-6BD0F4883693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260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245776.76</v>
      </c>
      <c r="G9" s="18">
        <v>204354.51</v>
      </c>
      <c r="H9" s="18">
        <v>48442.41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7797.68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195923.69</v>
      </c>
      <c r="G12" s="18">
        <v>370099.38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17040.62</v>
      </c>
      <c r="G13" s="18">
        <v>3011.54</v>
      </c>
      <c r="H13" s="18">
        <v>230292.94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486.96</v>
      </c>
      <c r="G14" s="18">
        <v>1428.5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9250.18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1500</v>
      </c>
      <c r="G17" s="18">
        <v>45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468525.71</v>
      </c>
      <c r="G19" s="41">
        <f>SUM(G9:G18)</f>
        <v>588189.1100000001</v>
      </c>
      <c r="H19" s="41">
        <f>SUM(H9:H18)</f>
        <v>278735.34999999998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100</v>
      </c>
      <c r="G23" s="18">
        <v>371236.29</v>
      </c>
      <c r="H23" s="18">
        <v>194786.76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26360.76</v>
      </c>
      <c r="G24" s="18">
        <v>45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57698.02</v>
      </c>
      <c r="G25" s="18"/>
      <c r="H25" s="18">
        <v>29941.49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100557.68</v>
      </c>
      <c r="G29" s="18">
        <v>1076.71</v>
      </c>
      <c r="H29" s="18">
        <v>5797.29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58111.99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13818.18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242828.44999999998</v>
      </c>
      <c r="G33" s="41">
        <f>SUM(G23:G32)</f>
        <v>386176.18</v>
      </c>
      <c r="H33" s="41">
        <f>SUM(H23:H32)</f>
        <v>230525.54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9250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47776.73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192762.93</v>
      </c>
      <c r="H41" s="18">
        <v>48209.81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177920.53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225697.26</v>
      </c>
      <c r="G43" s="41">
        <f>SUM(G35:G42)</f>
        <v>202012.93</v>
      </c>
      <c r="H43" s="41">
        <f>SUM(H35:H42)</f>
        <v>48209.81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468525.70999999996</v>
      </c>
      <c r="G44" s="41">
        <f>G43+G33</f>
        <v>588189.11</v>
      </c>
      <c r="H44" s="41">
        <f>H43+H33</f>
        <v>278735.34999999998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12023021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12023021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14868.37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7795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14868.37</v>
      </c>
      <c r="G71" s="45" t="s">
        <v>312</v>
      </c>
      <c r="H71" s="41">
        <f>SUM(H55:H70)</f>
        <v>7795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3171.82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454454.18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1091.8599999999999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11069.96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>
        <v>6879.13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15066.779999999999</v>
      </c>
      <c r="G103" s="41">
        <f>SUM(G88:G102)</f>
        <v>454454.18</v>
      </c>
      <c r="H103" s="41">
        <f>SUM(H88:H102)</f>
        <v>7970.99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12052956.149999999</v>
      </c>
      <c r="G104" s="41">
        <f>G52+G103</f>
        <v>454454.18</v>
      </c>
      <c r="H104" s="41">
        <f>H52+H71+H86+H103</f>
        <v>15765.99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2787860.1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2114640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101114.9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5003615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395322.51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119330.62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3086.65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3744.3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3750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517739.78</v>
      </c>
      <c r="G128" s="41">
        <f>SUM(G115:G127)</f>
        <v>3744.3</v>
      </c>
      <c r="H128" s="41">
        <f>SUM(H115:H127)</f>
        <v>3750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5521354.7800000003</v>
      </c>
      <c r="G132" s="41">
        <f>G113+SUM(G128:G129)</f>
        <v>3744.3</v>
      </c>
      <c r="H132" s="41">
        <f>H113+SUM(H128:H131)</f>
        <v>3750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3360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42027.61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36636.699999999997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331269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91862.74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91862.74</v>
      </c>
      <c r="G154" s="41">
        <f>SUM(G142:G153)</f>
        <v>36636.699999999997</v>
      </c>
      <c r="H154" s="41">
        <f>SUM(H142:H153)</f>
        <v>376656.61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91862.74</v>
      </c>
      <c r="G161" s="41">
        <f>G139+G154+SUM(G155:G160)</f>
        <v>36636.699999999997</v>
      </c>
      <c r="H161" s="41">
        <f>H139+H154+SUM(H155:H160)</f>
        <v>376656.61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4033.36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4033.36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4033.36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17670207.029999997</v>
      </c>
      <c r="G185" s="47">
        <f>G104+G132+G161+G184</f>
        <v>494835.18</v>
      </c>
      <c r="H185" s="47">
        <f>H104+H132+H161+H184</f>
        <v>396172.6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1877547.36</v>
      </c>
      <c r="G207" s="18">
        <v>637882.91</v>
      </c>
      <c r="H207" s="18">
        <v>33744.559999999998</v>
      </c>
      <c r="I207" s="18">
        <v>92742.55</v>
      </c>
      <c r="J207" s="18">
        <v>36318.65</v>
      </c>
      <c r="K207" s="18"/>
      <c r="L207" s="19">
        <f>SUM(F207:K207)</f>
        <v>2678236.0299999998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538733</v>
      </c>
      <c r="G208" s="18">
        <v>183030.58</v>
      </c>
      <c r="H208" s="18">
        <v>267965.99</v>
      </c>
      <c r="I208" s="18">
        <v>2997.01</v>
      </c>
      <c r="J208" s="18">
        <v>494.72</v>
      </c>
      <c r="K208" s="18"/>
      <c r="L208" s="19">
        <f>SUM(F208:K208)</f>
        <v>993221.29999999993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42230</v>
      </c>
      <c r="G210" s="18">
        <v>14347.33</v>
      </c>
      <c r="H210" s="18">
        <f>19986.5-10318.5</f>
        <v>9668</v>
      </c>
      <c r="I210" s="18">
        <v>5807.16</v>
      </c>
      <c r="J210" s="18"/>
      <c r="K210" s="18"/>
      <c r="L210" s="19">
        <f>SUM(F210:K210)</f>
        <v>72052.490000000005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288400.56559999997</v>
      </c>
      <c r="G212" s="18">
        <v>97981.97</v>
      </c>
      <c r="H212" s="18">
        <v>144876.41439999998</v>
      </c>
      <c r="I212" s="18"/>
      <c r="J212" s="18">
        <v>1188.25</v>
      </c>
      <c r="K212" s="18"/>
      <c r="L212" s="19">
        <f t="shared" ref="L212:L218" si="2">SUM(F212:K212)</f>
        <v>532447.19999999995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65381.2</v>
      </c>
      <c r="G213" s="18">
        <f>36035.69+28986.41</f>
        <v>65022.100000000006</v>
      </c>
      <c r="H213" s="18">
        <v>1154.44</v>
      </c>
      <c r="I213" s="18">
        <v>8923.26</v>
      </c>
      <c r="J213" s="18">
        <v>547.85</v>
      </c>
      <c r="K213" s="18"/>
      <c r="L213" s="19">
        <f t="shared" si="2"/>
        <v>141028.85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261204.98039999997</v>
      </c>
      <c r="I214" s="18">
        <v>1359</v>
      </c>
      <c r="J214" s="18"/>
      <c r="K214" s="18">
        <v>1660.3632</v>
      </c>
      <c r="L214" s="19">
        <f t="shared" si="2"/>
        <v>264224.34360000002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285126.71000000002</v>
      </c>
      <c r="G215" s="18">
        <v>96869.7</v>
      </c>
      <c r="H215" s="18">
        <v>14006.94</v>
      </c>
      <c r="I215" s="18">
        <v>900.9</v>
      </c>
      <c r="J215" s="18">
        <v>1593.34</v>
      </c>
      <c r="K215" s="18">
        <v>1220.0999999999999</v>
      </c>
      <c r="L215" s="19">
        <f t="shared" si="2"/>
        <v>399717.69000000006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178190.81</v>
      </c>
      <c r="G217" s="18">
        <v>60539.02</v>
      </c>
      <c r="H217" s="18">
        <v>102794.33960000001</v>
      </c>
      <c r="I217" s="18">
        <v>137746.23000000001</v>
      </c>
      <c r="J217" s="18">
        <v>2577</v>
      </c>
      <c r="K217" s="18"/>
      <c r="L217" s="19">
        <f t="shared" si="2"/>
        <v>481847.3996</v>
      </c>
      <c r="M217" s="8"/>
    </row>
    <row r="218" spans="1:13" s="3" customFormat="1" ht="12" customHeight="1" x14ac:dyDescent="0.2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272"/>
      <c r="G218" s="271"/>
      <c r="H218" s="18">
        <f>10318.5+176191.79+90361.06+605.51</f>
        <v>277476.86</v>
      </c>
      <c r="I218" s="18">
        <v>42192.62</v>
      </c>
      <c r="J218" s="18"/>
      <c r="K218" s="18"/>
      <c r="L218" s="19">
        <f t="shared" si="2"/>
        <v>319669.48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3275609.6456000004</v>
      </c>
      <c r="G221" s="41">
        <f>SUM(G207:G220)</f>
        <v>1155673.6099999999</v>
      </c>
      <c r="H221" s="41">
        <f>SUM(H207:H220)</f>
        <v>1112892.5244</v>
      </c>
      <c r="I221" s="41">
        <f>SUM(I207:I220)</f>
        <v>292668.73</v>
      </c>
      <c r="J221" s="41">
        <f>SUM(J207:J220)</f>
        <v>42719.81</v>
      </c>
      <c r="K221" s="41">
        <f t="shared" si="3"/>
        <v>2880.4632000000001</v>
      </c>
      <c r="L221" s="41">
        <f t="shared" si="3"/>
        <v>5882444.7831999995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3298699.63</v>
      </c>
      <c r="G225" s="18">
        <v>1120779.26</v>
      </c>
      <c r="H225" s="18">
        <v>12153.99</v>
      </c>
      <c r="I225" s="18">
        <v>173727.82</v>
      </c>
      <c r="J225" s="18">
        <v>18429.919999999998</v>
      </c>
      <c r="K225" s="18">
        <v>2029.72</v>
      </c>
      <c r="L225" s="19">
        <f>SUM(F225:K225)</f>
        <v>4625820.34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993772.42</v>
      </c>
      <c r="G226" s="18">
        <v>337648.06</v>
      </c>
      <c r="H226" s="18">
        <v>258098.88</v>
      </c>
      <c r="I226" s="18">
        <v>14453.41</v>
      </c>
      <c r="J226" s="18">
        <v>2149.77</v>
      </c>
      <c r="K226" s="18"/>
      <c r="L226" s="19">
        <f>SUM(F226:K226)</f>
        <v>1606122.5399999998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24932.1</v>
      </c>
      <c r="G227" s="18">
        <v>8471.0300000000007</v>
      </c>
      <c r="H227" s="18">
        <f>107954.73-68270.51</f>
        <v>39684.22</v>
      </c>
      <c r="I227" s="18">
        <v>715.97</v>
      </c>
      <c r="J227" s="18"/>
      <c r="K227" s="18"/>
      <c r="L227" s="19">
        <f>SUM(F227:K227)</f>
        <v>73803.320000000007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263274.62</v>
      </c>
      <c r="G228" s="18">
        <v>89451.23</v>
      </c>
      <c r="H228" s="18">
        <f>87059.33-45064.9</f>
        <v>41994.43</v>
      </c>
      <c r="I228" s="18">
        <v>10331.52</v>
      </c>
      <c r="J228" s="18">
        <v>8138.69</v>
      </c>
      <c r="K228" s="18">
        <v>19501</v>
      </c>
      <c r="L228" s="19">
        <f>SUM(F228:K228)</f>
        <v>432691.49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543432.63439999998</v>
      </c>
      <c r="G230" s="18">
        <v>165764.63</v>
      </c>
      <c r="H230" s="18">
        <v>147084.6556</v>
      </c>
      <c r="I230" s="18">
        <v>8832.56</v>
      </c>
      <c r="J230" s="18"/>
      <c r="K230" s="18">
        <v>850</v>
      </c>
      <c r="L230" s="19">
        <f t="shared" ref="L230:L236" si="4">SUM(F230:K230)</f>
        <v>865964.48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178180.76</v>
      </c>
      <c r="G231" s="18">
        <f>85026.89+65916.38</f>
        <v>150943.27000000002</v>
      </c>
      <c r="H231" s="18">
        <v>8301.16</v>
      </c>
      <c r="I231" s="18">
        <v>72221.83</v>
      </c>
      <c r="J231" s="18">
        <v>45292.7</v>
      </c>
      <c r="K231" s="18">
        <v>180</v>
      </c>
      <c r="L231" s="19">
        <f t="shared" si="4"/>
        <v>455119.72000000003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464364.40959999996</v>
      </c>
      <c r="I232" s="18">
        <v>869.76</v>
      </c>
      <c r="J232" s="18"/>
      <c r="K232" s="18">
        <v>2951.7568000000001</v>
      </c>
      <c r="L232" s="19">
        <f t="shared" si="4"/>
        <v>468185.92639999994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384306.74</v>
      </c>
      <c r="G233" s="18">
        <v>130573.58</v>
      </c>
      <c r="H233" s="18">
        <v>60520.91</v>
      </c>
      <c r="I233" s="18">
        <v>1669.39</v>
      </c>
      <c r="J233" s="18">
        <v>743.92</v>
      </c>
      <c r="K233" s="18">
        <v>16207.71</v>
      </c>
      <c r="L233" s="19">
        <f t="shared" si="4"/>
        <v>594022.25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264357.28000000003</v>
      </c>
      <c r="G235" s="18">
        <v>89819.08</v>
      </c>
      <c r="H235" s="18">
        <f>279082.3804-3380.84</f>
        <v>275701.5404</v>
      </c>
      <c r="I235" s="18">
        <v>231532.22</v>
      </c>
      <c r="J235" s="18">
        <v>2768</v>
      </c>
      <c r="K235" s="18"/>
      <c r="L235" s="19">
        <f t="shared" si="4"/>
        <v>864178.12040000001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68270.51+45064.9+176191.79+170753.17+1076.46</f>
        <v>461356.83</v>
      </c>
      <c r="I236" s="18">
        <v>46209.97</v>
      </c>
      <c r="J236" s="18"/>
      <c r="K236" s="18"/>
      <c r="L236" s="19">
        <f t="shared" si="4"/>
        <v>507566.80000000005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5950956.1843999997</v>
      </c>
      <c r="G239" s="41">
        <f t="shared" si="5"/>
        <v>2093450.1400000001</v>
      </c>
      <c r="H239" s="41">
        <f t="shared" si="5"/>
        <v>1769261.0256000001</v>
      </c>
      <c r="I239" s="41">
        <f t="shared" si="5"/>
        <v>560564.44999999995</v>
      </c>
      <c r="J239" s="41">
        <f t="shared" si="5"/>
        <v>77522.999999999985</v>
      </c>
      <c r="K239" s="41">
        <f t="shared" si="5"/>
        <v>41720.186799999996</v>
      </c>
      <c r="L239" s="41">
        <f t="shared" si="5"/>
        <v>10493474.9868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9226565.8300000001</v>
      </c>
      <c r="G249" s="41">
        <f t="shared" si="8"/>
        <v>3249123.75</v>
      </c>
      <c r="H249" s="41">
        <f t="shared" si="8"/>
        <v>2882153.55</v>
      </c>
      <c r="I249" s="41">
        <f t="shared" si="8"/>
        <v>853233.17999999993</v>
      </c>
      <c r="J249" s="41">
        <f t="shared" si="8"/>
        <v>120242.80999999998</v>
      </c>
      <c r="K249" s="41">
        <f t="shared" si="8"/>
        <v>44600.649999999994</v>
      </c>
      <c r="L249" s="41">
        <f t="shared" si="8"/>
        <v>16375919.77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999575.94</v>
      </c>
      <c r="L252" s="19">
        <f>SUM(F252:K252)</f>
        <v>999575.94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893729.06</v>
      </c>
      <c r="L253" s="19">
        <f>SUM(F253:K253)</f>
        <v>893729.06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1893305</v>
      </c>
      <c r="L262" s="41">
        <f t="shared" si="9"/>
        <v>1893305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9226565.8300000001</v>
      </c>
      <c r="G263" s="42">
        <f t="shared" si="11"/>
        <v>3249123.75</v>
      </c>
      <c r="H263" s="42">
        <f t="shared" si="11"/>
        <v>2882153.55</v>
      </c>
      <c r="I263" s="42">
        <f t="shared" si="11"/>
        <v>853233.17999999993</v>
      </c>
      <c r="J263" s="42">
        <f t="shared" si="11"/>
        <v>120242.80999999998</v>
      </c>
      <c r="K263" s="42">
        <f t="shared" si="11"/>
        <v>1937905.65</v>
      </c>
      <c r="L263" s="42">
        <f t="shared" si="11"/>
        <v>18269224.77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4179.6000000000004</v>
      </c>
      <c r="G287" s="18"/>
      <c r="H287" s="18">
        <v>1025.8399999999999</v>
      </c>
      <c r="I287" s="18">
        <v>812.52</v>
      </c>
      <c r="J287" s="18">
        <v>337.32</v>
      </c>
      <c r="K287" s="18"/>
      <c r="L287" s="19">
        <f>SUM(F287:K287)</f>
        <v>6355.2800000000007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25755.71</v>
      </c>
      <c r="G288" s="18"/>
      <c r="H288" s="18">
        <v>21685.49</v>
      </c>
      <c r="I288" s="18">
        <v>12553.01</v>
      </c>
      <c r="J288" s="18">
        <v>49032.56</v>
      </c>
      <c r="K288" s="18"/>
      <c r="L288" s="19">
        <f>SUM(F288:K288)</f>
        <v>109026.76999999999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19365.66</v>
      </c>
      <c r="I290" s="18"/>
      <c r="J290" s="18"/>
      <c r="K290" s="18"/>
      <c r="L290" s="19">
        <f>SUM(F290:K290)</f>
        <v>19365.66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1516.91</v>
      </c>
      <c r="I292" s="18"/>
      <c r="J292" s="18"/>
      <c r="K292" s="18"/>
      <c r="L292" s="19">
        <f t="shared" ref="L292:L298" si="14">SUM(F292:K292)</f>
        <v>1516.91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5467.77</v>
      </c>
      <c r="I293" s="18"/>
      <c r="J293" s="18"/>
      <c r="K293" s="18"/>
      <c r="L293" s="19">
        <f t="shared" si="14"/>
        <v>5467.77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>
        <v>205.69</v>
      </c>
      <c r="I299" s="18"/>
      <c r="J299" s="18"/>
      <c r="K299" s="18"/>
      <c r="L299" s="19">
        <f>SUM(F299:K299)</f>
        <v>205.69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29935.309999999998</v>
      </c>
      <c r="G301" s="42">
        <f t="shared" si="15"/>
        <v>0</v>
      </c>
      <c r="H301" s="42">
        <f t="shared" si="15"/>
        <v>49267.360000000015</v>
      </c>
      <c r="I301" s="42">
        <f t="shared" si="15"/>
        <v>13365.53</v>
      </c>
      <c r="J301" s="42">
        <f t="shared" si="15"/>
        <v>49369.88</v>
      </c>
      <c r="K301" s="42">
        <f t="shared" si="15"/>
        <v>0</v>
      </c>
      <c r="L301" s="41">
        <f t="shared" si="15"/>
        <v>141938.07999999999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7430.4</v>
      </c>
      <c r="G306" s="18"/>
      <c r="H306" s="18">
        <v>1823.72</v>
      </c>
      <c r="I306" s="18">
        <v>1444.49</v>
      </c>
      <c r="J306" s="18">
        <v>599.67999999999995</v>
      </c>
      <c r="K306" s="18"/>
      <c r="L306" s="19">
        <f>SUM(F306:K306)</f>
        <v>11298.289999999999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45787.94</v>
      </c>
      <c r="G307" s="18"/>
      <c r="H307" s="18">
        <v>38551.99</v>
      </c>
      <c r="I307" s="18">
        <v>22316.47</v>
      </c>
      <c r="J307" s="18">
        <v>87168.99</v>
      </c>
      <c r="K307" s="18"/>
      <c r="L307" s="19">
        <f>SUM(F307:K307)</f>
        <v>193825.39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34427.839999999997</v>
      </c>
      <c r="I309" s="18"/>
      <c r="J309" s="18"/>
      <c r="K309" s="18"/>
      <c r="L309" s="19">
        <f>SUM(F309:K309)</f>
        <v>34427.839999999997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2696.74</v>
      </c>
      <c r="I311" s="18"/>
      <c r="J311" s="18"/>
      <c r="K311" s="18"/>
      <c r="L311" s="19">
        <f t="shared" ref="L311:L317" si="16">SUM(F311:K311)</f>
        <v>2696.74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9720.49</v>
      </c>
      <c r="I312" s="18"/>
      <c r="J312" s="18"/>
      <c r="K312" s="18"/>
      <c r="L312" s="19">
        <f t="shared" si="16"/>
        <v>9720.49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v>365.66</v>
      </c>
      <c r="I318" s="18"/>
      <c r="J318" s="18"/>
      <c r="K318" s="18"/>
      <c r="L318" s="19">
        <f>SUM(F318:K318)</f>
        <v>365.66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53218.340000000004</v>
      </c>
      <c r="G320" s="42">
        <f t="shared" si="17"/>
        <v>0</v>
      </c>
      <c r="H320" s="42">
        <f t="shared" si="17"/>
        <v>87586.44</v>
      </c>
      <c r="I320" s="42">
        <f t="shared" si="17"/>
        <v>23760.960000000003</v>
      </c>
      <c r="J320" s="42">
        <f t="shared" si="17"/>
        <v>87768.67</v>
      </c>
      <c r="K320" s="42">
        <f t="shared" si="17"/>
        <v>0</v>
      </c>
      <c r="L320" s="41">
        <f t="shared" si="17"/>
        <v>252334.41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42319.54</v>
      </c>
      <c r="I328" s="18"/>
      <c r="J328" s="18"/>
      <c r="K328" s="18"/>
      <c r="L328" s="19">
        <f t="shared" si="18"/>
        <v>42319.54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42319.54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42319.54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83153.649999999994</v>
      </c>
      <c r="G330" s="41">
        <f t="shared" si="20"/>
        <v>0</v>
      </c>
      <c r="H330" s="41">
        <f t="shared" si="20"/>
        <v>179173.34000000003</v>
      </c>
      <c r="I330" s="41">
        <f t="shared" si="20"/>
        <v>37126.490000000005</v>
      </c>
      <c r="J330" s="41">
        <f t="shared" si="20"/>
        <v>137138.54999999999</v>
      </c>
      <c r="K330" s="41">
        <f t="shared" si="20"/>
        <v>0</v>
      </c>
      <c r="L330" s="41">
        <f t="shared" si="20"/>
        <v>436592.02999999997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83153.649999999994</v>
      </c>
      <c r="G344" s="41">
        <f>G330</f>
        <v>0</v>
      </c>
      <c r="H344" s="41">
        <f>H330</f>
        <v>179173.34000000003</v>
      </c>
      <c r="I344" s="41">
        <f>I330</f>
        <v>37126.490000000005</v>
      </c>
      <c r="J344" s="41">
        <f>J330</f>
        <v>137138.54999999999</v>
      </c>
      <c r="K344" s="47">
        <f>K330+K343</f>
        <v>0</v>
      </c>
      <c r="L344" s="41">
        <f>L330+L343</f>
        <v>436592.02999999997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70270.013200000001</v>
      </c>
      <c r="G351" s="18">
        <v>87.39</v>
      </c>
      <c r="H351" s="18">
        <v>419.5</v>
      </c>
      <c r="I351" s="18">
        <v>81301.600000000006</v>
      </c>
      <c r="J351" s="18">
        <v>966.15</v>
      </c>
      <c r="K351" s="18"/>
      <c r="L351" s="19">
        <f>SUM(F351:K351)</f>
        <v>153044.6532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108219.71680000001</v>
      </c>
      <c r="G352" s="18">
        <v>155.36000000000001</v>
      </c>
      <c r="H352" s="18">
        <v>600.57000000000005</v>
      </c>
      <c r="I352" s="18">
        <v>172064.56</v>
      </c>
      <c r="J352" s="18">
        <v>1334.32</v>
      </c>
      <c r="K352" s="18"/>
      <c r="L352" s="19">
        <f>SUM(F352:K352)</f>
        <v>282374.52680000005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178489.73</v>
      </c>
      <c r="G354" s="47">
        <f t="shared" si="22"/>
        <v>242.75</v>
      </c>
      <c r="H354" s="47">
        <f t="shared" si="22"/>
        <v>1020.07</v>
      </c>
      <c r="I354" s="47">
        <f t="shared" si="22"/>
        <v>253366.16</v>
      </c>
      <c r="J354" s="47">
        <f t="shared" si="22"/>
        <v>2300.4699999999998</v>
      </c>
      <c r="K354" s="47">
        <f t="shared" si="22"/>
        <v>0</v>
      </c>
      <c r="L354" s="47">
        <f t="shared" si="22"/>
        <v>435419.18000000005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thickBot="1" x14ac:dyDescent="0.2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>
        <v>73982.62</v>
      </c>
      <c r="H359" s="63">
        <v>162483.57</v>
      </c>
      <c r="I359" s="56">
        <f>SUM(F359:H359)</f>
        <v>236466.19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Top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v>7318.98</v>
      </c>
      <c r="H360" s="63">
        <v>9580.99</v>
      </c>
      <c r="I360" s="56">
        <f>SUM(F360:H360)</f>
        <v>16899.97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81301.599999999991</v>
      </c>
      <c r="H361" s="47">
        <f>SUM(H359:H360)</f>
        <v>172064.56</v>
      </c>
      <c r="I361" s="47">
        <f>SUM(I359:I360)</f>
        <v>253366.16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824715</v>
      </c>
      <c r="G455" s="18">
        <v>142596.93</v>
      </c>
      <c r="H455" s="18">
        <v>88629.24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17670207.030000001</v>
      </c>
      <c r="G458" s="18">
        <v>494835.18</v>
      </c>
      <c r="H458" s="18">
        <v>396172.6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17670207.030000001</v>
      </c>
      <c r="G460" s="53">
        <f>SUM(G458:G459)</f>
        <v>494835.18</v>
      </c>
      <c r="H460" s="53">
        <f>SUM(H458:H459)</f>
        <v>396172.6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18269224.77</v>
      </c>
      <c r="G462" s="18">
        <v>435419.18</v>
      </c>
      <c r="H462" s="18">
        <v>436592.03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18269224.77</v>
      </c>
      <c r="G464" s="53">
        <f>SUM(G462:G463)</f>
        <v>435419.18</v>
      </c>
      <c r="H464" s="53">
        <f>SUM(H462:H463)</f>
        <v>436592.03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225697.26000000164</v>
      </c>
      <c r="G466" s="53">
        <f>(G455+G460)- G464</f>
        <v>202012.93</v>
      </c>
      <c r="H466" s="53">
        <f>(H455+H460)- H464</f>
        <v>48209.809999999939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15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7980000</v>
      </c>
      <c r="G483" s="18">
        <v>650000</v>
      </c>
      <c r="H483" s="18">
        <v>3200000</v>
      </c>
      <c r="I483" s="18">
        <v>8100000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>
        <v>4.25</v>
      </c>
      <c r="H484" s="18">
        <v>5.2</v>
      </c>
      <c r="I484" s="18">
        <v>5.71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6425000</v>
      </c>
      <c r="G485" s="18">
        <v>220000</v>
      </c>
      <c r="H485" s="18">
        <v>969990.82</v>
      </c>
      <c r="I485" s="18">
        <v>1805242.16</v>
      </c>
      <c r="J485" s="18"/>
      <c r="K485" s="53">
        <f>SUM(F485:J485)</f>
        <v>9420232.9800000004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295000</v>
      </c>
      <c r="G487" s="18">
        <v>65000</v>
      </c>
      <c r="H487" s="18">
        <v>182317.68</v>
      </c>
      <c r="I487" s="18">
        <v>457258.26</v>
      </c>
      <c r="J487" s="18"/>
      <c r="K487" s="53">
        <f t="shared" si="34"/>
        <v>999575.94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6130000</v>
      </c>
      <c r="G488" s="205">
        <v>150000</v>
      </c>
      <c r="H488" s="205">
        <v>787673.15</v>
      </c>
      <c r="I488" s="205">
        <v>1502983.9</v>
      </c>
      <c r="J488" s="205"/>
      <c r="K488" s="206">
        <f t="shared" si="34"/>
        <v>8570657.0500000007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2293780</v>
      </c>
      <c r="G489" s="18">
        <v>6375</v>
      </c>
      <c r="H489" s="18">
        <v>749600.61</v>
      </c>
      <c r="I489" s="18">
        <v>2575491.11</v>
      </c>
      <c r="J489" s="18"/>
      <c r="K489" s="53">
        <f t="shared" si="34"/>
        <v>5625246.7199999997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8423780</v>
      </c>
      <c r="G490" s="42">
        <f>SUM(G488:G489)</f>
        <v>156375</v>
      </c>
      <c r="H490" s="42">
        <f>SUM(H488:H489)</f>
        <v>1537273.76</v>
      </c>
      <c r="I490" s="42">
        <f>SUM(I488:I489)</f>
        <v>4078475.01</v>
      </c>
      <c r="J490" s="42">
        <f>SUM(J488:J489)</f>
        <v>0</v>
      </c>
      <c r="K490" s="42">
        <f t="shared" si="34"/>
        <v>14195903.77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310000</v>
      </c>
      <c r="G491" s="205">
        <v>75000</v>
      </c>
      <c r="H491" s="205">
        <v>164516.49</v>
      </c>
      <c r="I491" s="205">
        <v>286730.34000000003</v>
      </c>
      <c r="J491" s="205"/>
      <c r="K491" s="206">
        <f t="shared" si="34"/>
        <v>836246.83000000007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289034</v>
      </c>
      <c r="G492" s="18">
        <v>3187.5</v>
      </c>
      <c r="H492" s="18">
        <v>141751.01</v>
      </c>
      <c r="I492" s="18">
        <v>392413.41</v>
      </c>
      <c r="J492" s="18"/>
      <c r="K492" s="53">
        <f t="shared" si="34"/>
        <v>826385.91999999993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599034</v>
      </c>
      <c r="G493" s="42">
        <f>SUM(G491:G492)</f>
        <v>78187.5</v>
      </c>
      <c r="H493" s="42">
        <f>SUM(H491:H492)</f>
        <v>306267.5</v>
      </c>
      <c r="I493" s="42">
        <f>SUM(I491:I492)</f>
        <v>679143.75</v>
      </c>
      <c r="J493" s="42">
        <f>SUM(J491:J492)</f>
        <v>0</v>
      </c>
      <c r="K493" s="42">
        <f t="shared" si="34"/>
        <v>1662632.75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567218.6084-34680</f>
        <v>532538.60840000003</v>
      </c>
      <c r="G512" s="18">
        <f>F512*0.1625</f>
        <v>86537.52386500001</v>
      </c>
      <c r="H512" s="18">
        <v>289699.69800000003</v>
      </c>
      <c r="I512" s="18">
        <v>5454.1</v>
      </c>
      <c r="J512" s="18">
        <v>49527.278000000006</v>
      </c>
      <c r="K512" s="18"/>
      <c r="L512" s="88">
        <f>SUM(F512:K512)</f>
        <v>963757.20826500002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1036830.4616-65000</f>
        <v>971830.46160000004</v>
      </c>
      <c r="G513" s="18">
        <f>F513*0.1665</f>
        <v>161809.77185640001</v>
      </c>
      <c r="H513" s="18">
        <v>291064.04680000001</v>
      </c>
      <c r="I513" s="18">
        <v>18821.57</v>
      </c>
      <c r="J513" s="18">
        <v>89318.762000000002</v>
      </c>
      <c r="K513" s="18"/>
      <c r="L513" s="88">
        <f>SUM(F513:K513)</f>
        <v>1532844.6122564001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1504369.07</v>
      </c>
      <c r="G514" s="108">
        <f t="shared" ref="G514:L514" si="35">SUM(G511:G513)</f>
        <v>248347.29572140001</v>
      </c>
      <c r="H514" s="108">
        <f t="shared" si="35"/>
        <v>580763.74479999999</v>
      </c>
      <c r="I514" s="108">
        <f t="shared" si="35"/>
        <v>24275.67</v>
      </c>
      <c r="J514" s="108">
        <f t="shared" si="35"/>
        <v>138846.04</v>
      </c>
      <c r="K514" s="108">
        <f t="shared" si="35"/>
        <v>0</v>
      </c>
      <c r="L514" s="89">
        <f t="shared" si="35"/>
        <v>2496601.8205214003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104531.1956+34680</f>
        <v>139211.19560000001</v>
      </c>
      <c r="G517" s="18">
        <f>9094.2140172+34680*0.1625</f>
        <v>14729.7140172</v>
      </c>
      <c r="H517" s="18">
        <v>126206.96919999998</v>
      </c>
      <c r="I517" s="18">
        <v>1400.71</v>
      </c>
      <c r="J517" s="18"/>
      <c r="K517" s="18"/>
      <c r="L517" s="88">
        <f>SUM(F517:K517)</f>
        <v>281548.58881719998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123262.0644+65000</f>
        <v>188262.0644</v>
      </c>
      <c r="G518" s="18">
        <f>10082.83686792+65000*0.1665</f>
        <v>20905.336867919999</v>
      </c>
      <c r="H518" s="18">
        <v>122007.6508</v>
      </c>
      <c r="I518" s="18">
        <v>3778</v>
      </c>
      <c r="J518" s="18"/>
      <c r="K518" s="18"/>
      <c r="L518" s="88">
        <f>SUM(F518:K518)</f>
        <v>334953.05206791998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327473.26</v>
      </c>
      <c r="G519" s="89">
        <f t="shared" ref="G519:L519" si="36">SUM(G516:G518)</f>
        <v>35635.050885119999</v>
      </c>
      <c r="H519" s="89">
        <f t="shared" si="36"/>
        <v>248214.62</v>
      </c>
      <c r="I519" s="89">
        <f t="shared" si="36"/>
        <v>5178.71</v>
      </c>
      <c r="J519" s="89">
        <f t="shared" si="36"/>
        <v>0</v>
      </c>
      <c r="K519" s="89">
        <f t="shared" si="36"/>
        <v>0</v>
      </c>
      <c r="L519" s="89">
        <f t="shared" si="36"/>
        <v>616501.64088512002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38823.83</v>
      </c>
      <c r="G522" s="18">
        <v>12875.54</v>
      </c>
      <c r="H522" s="18"/>
      <c r="I522" s="18"/>
      <c r="J522" s="18"/>
      <c r="K522" s="18"/>
      <c r="L522" s="88">
        <f>SUM(F522:K522)</f>
        <v>51699.37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69080.149999999994</v>
      </c>
      <c r="G523" s="18">
        <v>22889.84</v>
      </c>
      <c r="H523" s="18"/>
      <c r="I523" s="18"/>
      <c r="J523" s="18"/>
      <c r="K523" s="18"/>
      <c r="L523" s="88">
        <f>SUM(F523:K523)</f>
        <v>91969.989999999991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107903.98</v>
      </c>
      <c r="G524" s="89">
        <f t="shared" ref="G524:L524" si="37">SUM(G521:G523)</f>
        <v>35765.380000000005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143669.35999999999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5607.05</v>
      </c>
      <c r="I527" s="18"/>
      <c r="J527" s="18"/>
      <c r="K527" s="18"/>
      <c r="L527" s="88">
        <f>SUM(F527:K527)</f>
        <v>5607.05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9968.08</v>
      </c>
      <c r="I528" s="18"/>
      <c r="J528" s="18"/>
      <c r="K528" s="18"/>
      <c r="L528" s="88">
        <f>SUM(F528:K528)</f>
        <v>9968.08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15575.130000000001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15575.130000000001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104131.25</v>
      </c>
      <c r="I532" s="18"/>
      <c r="J532" s="18"/>
      <c r="K532" s="18"/>
      <c r="L532" s="88">
        <f>SUM(F532:K532)</f>
        <v>104131.25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187895.98</v>
      </c>
      <c r="I533" s="18"/>
      <c r="J533" s="18"/>
      <c r="K533" s="18"/>
      <c r="L533" s="88">
        <f>SUM(F533:K533)</f>
        <v>187895.98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292027.23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292027.23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1939746.31</v>
      </c>
      <c r="G535" s="89">
        <f t="shared" ref="G535:L535" si="40">G514+G519+G524+G529+G534</f>
        <v>319747.72660652001</v>
      </c>
      <c r="H535" s="89">
        <f t="shared" si="40"/>
        <v>1136580.7248</v>
      </c>
      <c r="I535" s="89">
        <f t="shared" si="40"/>
        <v>29454.379999999997</v>
      </c>
      <c r="J535" s="89">
        <f t="shared" si="40"/>
        <v>138846.04</v>
      </c>
      <c r="K535" s="89">
        <f t="shared" si="40"/>
        <v>0</v>
      </c>
      <c r="L535" s="89">
        <f t="shared" si="40"/>
        <v>3564375.1814065203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963757.20826500002</v>
      </c>
      <c r="G540" s="87">
        <f>L517</f>
        <v>281548.58881719998</v>
      </c>
      <c r="H540" s="87">
        <f>L522</f>
        <v>51699.37</v>
      </c>
      <c r="I540" s="87">
        <f>L527</f>
        <v>5607.05</v>
      </c>
      <c r="J540" s="87">
        <f>L532</f>
        <v>104131.25</v>
      </c>
      <c r="K540" s="87">
        <f>SUM(F540:J540)</f>
        <v>1406743.4670822001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1532844.6122564001</v>
      </c>
      <c r="G541" s="87">
        <f>L518</f>
        <v>334953.05206791998</v>
      </c>
      <c r="H541" s="87">
        <f>L523</f>
        <v>91969.989999999991</v>
      </c>
      <c r="I541" s="87">
        <f>L528</f>
        <v>9968.08</v>
      </c>
      <c r="J541" s="87">
        <f>L533</f>
        <v>187895.98</v>
      </c>
      <c r="K541" s="87">
        <f>SUM(F541:J541)</f>
        <v>2157631.7143243202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2496601.8205214003</v>
      </c>
      <c r="G542" s="89">
        <f t="shared" si="41"/>
        <v>616501.64088512002</v>
      </c>
      <c r="H542" s="89">
        <f t="shared" si="41"/>
        <v>143669.35999999999</v>
      </c>
      <c r="I542" s="89">
        <f t="shared" si="41"/>
        <v>15575.130000000001</v>
      </c>
      <c r="J542" s="89">
        <f t="shared" si="41"/>
        <v>292027.23</v>
      </c>
      <c r="K542" s="89">
        <f t="shared" si="41"/>
        <v>3564375.1814065203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7275</v>
      </c>
      <c r="I565" s="87">
        <f>SUM(F565:H565)</f>
        <v>7275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58202</v>
      </c>
      <c r="I570" s="87">
        <f t="shared" si="46"/>
        <v>58202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242913.19</v>
      </c>
      <c r="H572" s="18">
        <f>109864+27829+8946.9</f>
        <v>146639.9</v>
      </c>
      <c r="I572" s="87">
        <f t="shared" si="46"/>
        <v>389553.08999999997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39684.22</v>
      </c>
      <c r="I574" s="87">
        <f t="shared" si="46"/>
        <v>39684.22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f>203041.780952801+605.51</f>
        <v>203647.29095280101</v>
      </c>
      <c r="J581" s="18">
        <f>193880.611554885+1076.46</f>
        <v>194957.07155488498</v>
      </c>
      <c r="K581" s="104">
        <f t="shared" ref="K581:K587" si="47">SUM(H581:J581)</f>
        <v>398604.36250768602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104131.24556588539</v>
      </c>
      <c r="J582" s="18">
        <v>187895.97985544725</v>
      </c>
      <c r="K582" s="104">
        <f t="shared" si="47"/>
        <v>292027.22542133264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>
        <v>0</v>
      </c>
      <c r="J583" s="18">
        <v>75124.545984599332</v>
      </c>
      <c r="K583" s="104">
        <f t="shared" si="47"/>
        <v>75124.545984599332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11890.943481313614</v>
      </c>
      <c r="J584" s="18">
        <v>49589.202605068735</v>
      </c>
      <c r="K584" s="104">
        <f t="shared" si="47"/>
        <v>61480.146086382345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319669.48</v>
      </c>
      <c r="J588" s="108">
        <f>SUM(J581:J587)</f>
        <v>507566.80000000028</v>
      </c>
      <c r="K588" s="108">
        <f>SUM(K581:K587)</f>
        <v>827236.28000000038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>
        <v>92689.36</v>
      </c>
      <c r="J594" s="18">
        <v>164692</v>
      </c>
      <c r="K594" s="104">
        <f>SUM(H594:J594)</f>
        <v>257381.36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92689.36</v>
      </c>
      <c r="J595" s="108">
        <f>SUM(J592:J594)</f>
        <v>164692</v>
      </c>
      <c r="K595" s="108">
        <f>SUM(K592:K594)</f>
        <v>257381.36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468525.71</v>
      </c>
      <c r="H607" s="109">
        <f>SUM(F44)</f>
        <v>468525.70999999996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588189.1100000001</v>
      </c>
      <c r="H608" s="109">
        <f>SUM(G44)</f>
        <v>588189.11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278735.34999999998</v>
      </c>
      <c r="H609" s="109">
        <f>SUM(H44)</f>
        <v>278735.34999999998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225697.26</v>
      </c>
      <c r="H612" s="109">
        <f>F466</f>
        <v>225697.26000000164</v>
      </c>
      <c r="I612" s="121" t="s">
        <v>106</v>
      </c>
      <c r="J612" s="109">
        <f t="shared" ref="J612:J645" si="49">G612-H612</f>
        <v>-1.6298145055770874E-9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202012.93</v>
      </c>
      <c r="H613" s="109">
        <f>G466</f>
        <v>202012.93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48209.81</v>
      </c>
      <c r="H614" s="109">
        <f>H466</f>
        <v>48209.809999999939</v>
      </c>
      <c r="I614" s="121" t="s">
        <v>110</v>
      </c>
      <c r="J614" s="109">
        <f t="shared" si="49"/>
        <v>5.8207660913467407E-11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17670207.029999997</v>
      </c>
      <c r="H617" s="104">
        <f>SUM(F458)</f>
        <v>17670207.030000001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494835.18</v>
      </c>
      <c r="H618" s="104">
        <f>SUM(G458)</f>
        <v>494835.18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396172.6</v>
      </c>
      <c r="H619" s="104">
        <f>SUM(H458)</f>
        <v>396172.6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18269224.77</v>
      </c>
      <c r="H622" s="104">
        <f>SUM(F462)</f>
        <v>18269224.77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436592.02999999997</v>
      </c>
      <c r="H623" s="104">
        <f>SUM(H462)</f>
        <v>436592.03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253366.16</v>
      </c>
      <c r="H624" s="104">
        <f>I361</f>
        <v>253366.16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435419.18000000005</v>
      </c>
      <c r="H625" s="104">
        <f>SUM(G462)</f>
        <v>435419.18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827236.28000000038</v>
      </c>
      <c r="H637" s="104">
        <f>L200+L218+L236</f>
        <v>827236.28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257381.36</v>
      </c>
      <c r="H638" s="104">
        <f>(J249+J330)-(J247+J328)</f>
        <v>257381.36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319669.48</v>
      </c>
      <c r="H640" s="104">
        <f>I588</f>
        <v>319669.48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507566.80000000005</v>
      </c>
      <c r="H641" s="104">
        <f>J588</f>
        <v>507566.80000000028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6177427.5163999991</v>
      </c>
      <c r="H650" s="19">
        <f>(L239+L320+L352)</f>
        <v>11028183.923599999</v>
      </c>
      <c r="I650" s="19">
        <f>SUM(F650:H650)</f>
        <v>17205611.439999998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159735.22887391035</v>
      </c>
      <c r="H651" s="19">
        <f>(L352/IF(SUM(L350:L352)=0,1,SUM(L350:L352))*(SUM(G89:G102)))</f>
        <v>294718.95112608967</v>
      </c>
      <c r="I651" s="19">
        <f>SUM(F651:H651)</f>
        <v>454454.18000000005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319669.48</v>
      </c>
      <c r="H652" s="19">
        <f>(L236+L317)-(J236+J317)</f>
        <v>507566.80000000005</v>
      </c>
      <c r="I652" s="19">
        <f>SUM(F652:H652)</f>
        <v>827236.28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335602.55</v>
      </c>
      <c r="H653" s="200">
        <f>SUM(H565:H577)+SUM(J592:J594)+L603</f>
        <v>416493.12</v>
      </c>
      <c r="I653" s="19">
        <f>SUM(F653:H653)</f>
        <v>752095.66999999993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5362420.2575260885</v>
      </c>
      <c r="H654" s="19">
        <f>H650-SUM(H651:H653)</f>
        <v>9809405.0524739102</v>
      </c>
      <c r="I654" s="19">
        <f>I650-SUM(I651:I653)</f>
        <v>15171825.309999999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>
        <v>441.12</v>
      </c>
      <c r="H655" s="249">
        <v>891.27</v>
      </c>
      <c r="I655" s="19">
        <f>SUM(F655:H655)</f>
        <v>1332.3899999999999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>
        <f>ROUND(G654/G655,2)</f>
        <v>12156.38</v>
      </c>
      <c r="H657" s="19">
        <f>ROUND(H654/H655,2)</f>
        <v>11006.1</v>
      </c>
      <c r="I657" s="19">
        <f>ROUND(I654/I655,2)</f>
        <v>11386.93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-14.58</v>
      </c>
      <c r="I660" s="19">
        <f>SUM(F660:H660)</f>
        <v>-14.58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>
        <f>ROUND((G654+G659)/(G655+G660),2)</f>
        <v>12156.38</v>
      </c>
      <c r="H662" s="19">
        <f>ROUND((H654+H659)/(H655+H660),2)</f>
        <v>11189.14</v>
      </c>
      <c r="I662" s="19">
        <f>ROUND((I654+I659)/(I655+I660),2)</f>
        <v>11512.91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9F39-375C-41B3-88B8-FCBD15E3DC64}">
  <sheetPr>
    <tabColor indexed="20"/>
  </sheetPr>
  <dimension ref="A1:C52"/>
  <sheetViews>
    <sheetView workbookViewId="0">
      <selection activeCell="H35" sqref="H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Hollis-Brookline CoOp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5187856.99</v>
      </c>
      <c r="C9" s="230">
        <f>'DOE25'!G189+'DOE25'!G207+'DOE25'!G225+'DOE25'!G268+'DOE25'!G287+'DOE25'!G306</f>
        <v>1758662.17</v>
      </c>
    </row>
    <row r="10" spans="1:3" x14ac:dyDescent="0.2">
      <c r="A10" t="s">
        <v>810</v>
      </c>
      <c r="B10" s="241">
        <v>5183495.37</v>
      </c>
      <c r="C10" s="241">
        <v>1758662.17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4361.62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5187856.99</v>
      </c>
      <c r="C13" s="232">
        <f>SUM(C10:C12)</f>
        <v>1758662.17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1604049.0699999998</v>
      </c>
      <c r="C18" s="230">
        <f>'DOE25'!G190+'DOE25'!G208+'DOE25'!G226+'DOE25'!G269+'DOE25'!G288+'DOE25'!G307</f>
        <v>520678.64</v>
      </c>
    </row>
    <row r="19" spans="1:3" x14ac:dyDescent="0.2">
      <c r="A19" t="s">
        <v>810</v>
      </c>
      <c r="B19" s="241">
        <v>813726.71</v>
      </c>
      <c r="C19" s="241">
        <v>264137.87</v>
      </c>
    </row>
    <row r="20" spans="1:3" x14ac:dyDescent="0.2">
      <c r="A20" t="s">
        <v>811</v>
      </c>
      <c r="B20" s="241">
        <v>779766.73</v>
      </c>
      <c r="C20" s="241">
        <v>253114.38</v>
      </c>
    </row>
    <row r="21" spans="1:3" x14ac:dyDescent="0.2">
      <c r="A21" t="s">
        <v>812</v>
      </c>
      <c r="B21" s="241">
        <v>10555.63</v>
      </c>
      <c r="C21" s="241">
        <v>3426.39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1604049.0699999998</v>
      </c>
      <c r="C22" s="232">
        <f>SUM(C19:C21)</f>
        <v>520678.64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24932.1</v>
      </c>
      <c r="C27" s="235">
        <f>'DOE25'!G191+'DOE25'!G209+'DOE25'!G227+'DOE25'!G270+'DOE25'!G289+'DOE25'!G308</f>
        <v>8471.0300000000007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>
        <v>24932.1</v>
      </c>
      <c r="C30" s="241">
        <v>8471.0300000000007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24932.1</v>
      </c>
      <c r="C31" s="232">
        <f>SUM(C28:C30)</f>
        <v>8471.0300000000007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305504.62</v>
      </c>
      <c r="C36" s="236">
        <f>'DOE25'!G192+'DOE25'!G210+'DOE25'!G228+'DOE25'!G271+'DOE25'!G290+'DOE25'!G309</f>
        <v>103798.56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305504.62</v>
      </c>
      <c r="C39" s="241">
        <v>103798.56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305504.62</v>
      </c>
      <c r="C40" s="232">
        <f>SUM(C37:C39)</f>
        <v>103798.56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9589-A49A-4266-A331-718A6EDF0560}">
  <sheetPr>
    <tabColor indexed="11"/>
  </sheetPr>
  <dimension ref="A1:I51"/>
  <sheetViews>
    <sheetView workbookViewId="0">
      <pane ySplit="4" topLeftCell="A5" activePane="bottomLeft" state="frozen"/>
      <selection pane="bottomLeft" activeCell="B29" sqref="B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Hollis-Brookline CoOp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10481947.51</v>
      </c>
      <c r="D5" s="20">
        <f>SUM('DOE25'!L189:L192)+SUM('DOE25'!L207:L210)+SUM('DOE25'!L225:L228)-F5-G5</f>
        <v>10394885.039999999</v>
      </c>
      <c r="E5" s="244"/>
      <c r="F5" s="256">
        <f>SUM('DOE25'!J189:J192)+SUM('DOE25'!J207:J210)+SUM('DOE25'!J225:J228)</f>
        <v>65531.75</v>
      </c>
      <c r="G5" s="53">
        <f>SUM('DOE25'!K189:K192)+SUM('DOE25'!K207:K210)+SUM('DOE25'!K225:K228)</f>
        <v>21530.720000000001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1398411.68</v>
      </c>
      <c r="D6" s="20">
        <f>'DOE25'!L194+'DOE25'!L212+'DOE25'!L230-F6-G6</f>
        <v>1396373.43</v>
      </c>
      <c r="E6" s="244"/>
      <c r="F6" s="256">
        <f>'DOE25'!J194+'DOE25'!J212+'DOE25'!J230</f>
        <v>1188.25</v>
      </c>
      <c r="G6" s="53">
        <f>'DOE25'!K194+'DOE25'!K212+'DOE25'!K230</f>
        <v>850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596148.57000000007</v>
      </c>
      <c r="D7" s="20">
        <f>'DOE25'!L195+'DOE25'!L213+'DOE25'!L231-F7-G7</f>
        <v>550128.02</v>
      </c>
      <c r="E7" s="244"/>
      <c r="F7" s="256">
        <f>'DOE25'!J195+'DOE25'!J213+'DOE25'!J231</f>
        <v>45840.549999999996</v>
      </c>
      <c r="G7" s="53">
        <f>'DOE25'!K195+'DOE25'!K213+'DOE25'!K231</f>
        <v>180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510437.67</v>
      </c>
      <c r="D8" s="244"/>
      <c r="E8" s="20">
        <f>'DOE25'!L196+'DOE25'!L214+'DOE25'!L232-F8-G8-D9-D11</f>
        <v>505825.55</v>
      </c>
      <c r="F8" s="256">
        <f>'DOE25'!J196+'DOE25'!J214+'DOE25'!J232</f>
        <v>0</v>
      </c>
      <c r="G8" s="53">
        <f>'DOE25'!K196+'DOE25'!K214+'DOE25'!K232</f>
        <v>4612.12</v>
      </c>
      <c r="H8" s="260"/>
    </row>
    <row r="9" spans="1:9" x14ac:dyDescent="0.2">
      <c r="A9" s="32">
        <v>2310</v>
      </c>
      <c r="B9" t="s">
        <v>849</v>
      </c>
      <c r="C9" s="246">
        <f t="shared" si="0"/>
        <v>9861.17</v>
      </c>
      <c r="D9" s="245">
        <v>9861.17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13000</v>
      </c>
      <c r="D10" s="244"/>
      <c r="E10" s="245">
        <v>13000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212111.43</v>
      </c>
      <c r="D11" s="245">
        <v>212111.43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993739.94000000018</v>
      </c>
      <c r="D12" s="20">
        <f>'DOE25'!L197+'DOE25'!L215+'DOE25'!L233-F12-G12</f>
        <v>973974.87000000011</v>
      </c>
      <c r="E12" s="244"/>
      <c r="F12" s="256">
        <f>'DOE25'!J197+'DOE25'!J215+'DOE25'!J233</f>
        <v>2337.2599999999998</v>
      </c>
      <c r="G12" s="53">
        <f>'DOE25'!K197+'DOE25'!K215+'DOE25'!K233</f>
        <v>17427.809999999998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1346025.52</v>
      </c>
      <c r="D14" s="20">
        <f>'DOE25'!L199+'DOE25'!L217+'DOE25'!L235-F14-G14</f>
        <v>1340680.52</v>
      </c>
      <c r="E14" s="244"/>
      <c r="F14" s="256">
        <f>'DOE25'!J199+'DOE25'!J217+'DOE25'!J235</f>
        <v>5345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827236.28</v>
      </c>
      <c r="D15" s="20">
        <f>'DOE25'!L200+'DOE25'!L218+'DOE25'!L236-F15-G15</f>
        <v>827236.28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42319.54</v>
      </c>
      <c r="D22" s="244"/>
      <c r="E22" s="244"/>
      <c r="F22" s="256">
        <f>'DOE25'!L247+'DOE25'!L328</f>
        <v>42319.54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1893305</v>
      </c>
      <c r="D25" s="244"/>
      <c r="E25" s="244"/>
      <c r="F25" s="259"/>
      <c r="G25" s="257"/>
      <c r="H25" s="258">
        <f>'DOE25'!L252+'DOE25'!L253+'DOE25'!L333+'DOE25'!L334</f>
        <v>1893305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198952.99000000005</v>
      </c>
      <c r="D29" s="20">
        <f>'DOE25'!L350+'DOE25'!L351+'DOE25'!L352-'DOE25'!I359-F29-G29</f>
        <v>196652.52000000005</v>
      </c>
      <c r="E29" s="244"/>
      <c r="F29" s="256">
        <f>'DOE25'!J350+'DOE25'!J351+'DOE25'!J352</f>
        <v>2300.4699999999998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394272.49</v>
      </c>
      <c r="D31" s="20">
        <f>'DOE25'!L282+'DOE25'!L301+'DOE25'!L320+'DOE25'!L325+'DOE25'!L326+'DOE25'!L327-F31-G31</f>
        <v>257133.94</v>
      </c>
      <c r="E31" s="244"/>
      <c r="F31" s="256">
        <f>'DOE25'!J282+'DOE25'!J301+'DOE25'!J320+'DOE25'!J325+'DOE25'!J326+'DOE25'!J327</f>
        <v>137138.54999999999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16159037.219999995</v>
      </c>
      <c r="E33" s="247">
        <f>SUM(E5:E31)</f>
        <v>518825.55</v>
      </c>
      <c r="F33" s="247">
        <f>SUM(F5:F31)</f>
        <v>302001.37</v>
      </c>
      <c r="G33" s="247">
        <f>SUM(G5:G31)</f>
        <v>44600.649999999994</v>
      </c>
      <c r="H33" s="247">
        <f>SUM(H5:H31)</f>
        <v>1893305</v>
      </c>
    </row>
    <row r="35" spans="2:8" ht="12" thickBot="1" x14ac:dyDescent="0.25">
      <c r="B35" s="254" t="s">
        <v>878</v>
      </c>
      <c r="D35" s="255">
        <f>E33</f>
        <v>518825.55</v>
      </c>
      <c r="E35" s="250"/>
    </row>
    <row r="36" spans="2:8" ht="12" thickTop="1" x14ac:dyDescent="0.2">
      <c r="B36" t="s">
        <v>846</v>
      </c>
      <c r="D36" s="20">
        <f>D33</f>
        <v>16159037.219999995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1F4A-F16A-49C6-B4EE-E28A98B5D6D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41" sqref="A4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Hollis-Brookline CoOp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245776.76</v>
      </c>
      <c r="D9" s="95">
        <f>'DOE25'!G9</f>
        <v>204354.51</v>
      </c>
      <c r="E9" s="95">
        <f>'DOE25'!H9</f>
        <v>48442.41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7797.68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195923.69</v>
      </c>
      <c r="D12" s="95">
        <f>'DOE25'!G12</f>
        <v>370099.38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17040.62</v>
      </c>
      <c r="D13" s="95">
        <f>'DOE25'!G13</f>
        <v>3011.54</v>
      </c>
      <c r="E13" s="95">
        <f>'DOE25'!H13</f>
        <v>230292.94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486.96</v>
      </c>
      <c r="D14" s="95">
        <f>'DOE25'!G14</f>
        <v>1428.5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9250.18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1500</v>
      </c>
      <c r="D17" s="95">
        <f>'DOE25'!G17</f>
        <v>45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468525.71</v>
      </c>
      <c r="D19" s="41">
        <f>SUM(D9:D18)</f>
        <v>588189.1100000001</v>
      </c>
      <c r="E19" s="41">
        <f>SUM(E9:E18)</f>
        <v>278735.34999999998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100</v>
      </c>
      <c r="D22" s="95">
        <f>'DOE25'!G23</f>
        <v>371236.29</v>
      </c>
      <c r="E22" s="95">
        <f>'DOE25'!H23</f>
        <v>194786.76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26360.76</v>
      </c>
      <c r="D23" s="95">
        <f>'DOE25'!G24</f>
        <v>45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57698.02</v>
      </c>
      <c r="D24" s="95">
        <f>'DOE25'!G25</f>
        <v>0</v>
      </c>
      <c r="E24" s="95">
        <f>'DOE25'!H25</f>
        <v>29941.49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100557.68</v>
      </c>
      <c r="D28" s="95">
        <f>'DOE25'!G29</f>
        <v>1076.71</v>
      </c>
      <c r="E28" s="95">
        <f>'DOE25'!H29</f>
        <v>5797.29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58111.99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13818.18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242828.44999999998</v>
      </c>
      <c r="D32" s="41">
        <f>SUM(D22:D31)</f>
        <v>386176.18</v>
      </c>
      <c r="E32" s="41">
        <f>SUM(E22:E31)</f>
        <v>230525.54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9250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47776.73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192762.93</v>
      </c>
      <c r="E40" s="95">
        <f>'DOE25'!H41</f>
        <v>48209.81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177920.53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225697.26</v>
      </c>
      <c r="D42" s="41">
        <f>SUM(D34:D41)</f>
        <v>202012.93</v>
      </c>
      <c r="E42" s="41">
        <f>SUM(E34:E41)</f>
        <v>48209.81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468525.70999999996</v>
      </c>
      <c r="D43" s="41">
        <f>D42+D32</f>
        <v>588189.11</v>
      </c>
      <c r="E43" s="41">
        <f>E42+E32</f>
        <v>278735.34999999998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12023021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14868.37</v>
      </c>
      <c r="D49" s="24" t="s">
        <v>312</v>
      </c>
      <c r="E49" s="95">
        <f>'DOE25'!H71</f>
        <v>7795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3171.82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454454.18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11894.96</v>
      </c>
      <c r="D53" s="95">
        <f>SUM('DOE25'!G90:G102)</f>
        <v>0</v>
      </c>
      <c r="E53" s="95">
        <f>SUM('DOE25'!H90:H102)</f>
        <v>7970.99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29935.15</v>
      </c>
      <c r="D54" s="130">
        <f>SUM(D49:D53)</f>
        <v>454454.18</v>
      </c>
      <c r="E54" s="130">
        <f>SUM(E49:E53)</f>
        <v>15765.99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12052956.15</v>
      </c>
      <c r="D55" s="22">
        <f>D48+D54</f>
        <v>454454.18</v>
      </c>
      <c r="E55" s="22">
        <f>E48+E54</f>
        <v>15765.99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2787860.1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2114640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101114.9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5003615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395322.51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119330.62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3086.65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3744.3</v>
      </c>
      <c r="E69" s="95">
        <f>SUM('DOE25'!H123:H127)</f>
        <v>3750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517739.78</v>
      </c>
      <c r="D70" s="130">
        <f>SUM(D64:D69)</f>
        <v>3744.3</v>
      </c>
      <c r="E70" s="130">
        <f>SUM(E64:E69)</f>
        <v>3750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5521354.7800000003</v>
      </c>
      <c r="D73" s="130">
        <f>SUM(D71:D72)+D70+D62</f>
        <v>3744.3</v>
      </c>
      <c r="E73" s="130">
        <f>SUM(E71:E72)+E70+E62</f>
        <v>3750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91862.74</v>
      </c>
      <c r="D80" s="95">
        <f>SUM('DOE25'!G145:G153)</f>
        <v>36636.699999999997</v>
      </c>
      <c r="E80" s="95">
        <f>SUM('DOE25'!H145:H153)</f>
        <v>376656.61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91862.74</v>
      </c>
      <c r="D83" s="131">
        <f>SUM(D77:D82)</f>
        <v>36636.699999999997</v>
      </c>
      <c r="E83" s="131">
        <f>SUM(E77:E82)</f>
        <v>376656.61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4033.36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4033.36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17670207.029999997</v>
      </c>
      <c r="D96" s="86">
        <f>D55+D73+D83+D95</f>
        <v>494835.18</v>
      </c>
      <c r="E96" s="86">
        <f>E55+E73+E83+E95</f>
        <v>396172.6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7304056.3699999992</v>
      </c>
      <c r="D101" s="24" t="s">
        <v>312</v>
      </c>
      <c r="E101" s="95">
        <f>('DOE25'!L268)+('DOE25'!L287)+('DOE25'!L306)</f>
        <v>17653.57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2599343.84</v>
      </c>
      <c r="D102" s="24" t="s">
        <v>312</v>
      </c>
      <c r="E102" s="95">
        <f>('DOE25'!L269)+('DOE25'!L288)+('DOE25'!L307)</f>
        <v>302852.16000000003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73803.320000000007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504743.98</v>
      </c>
      <c r="D104" s="24" t="s">
        <v>312</v>
      </c>
      <c r="E104" s="95">
        <f>+('DOE25'!L271)+('DOE25'!L290)+('DOE25'!L309)</f>
        <v>53793.5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10481947.51</v>
      </c>
      <c r="D107" s="86">
        <f>SUM(D101:D106)</f>
        <v>0</v>
      </c>
      <c r="E107" s="86">
        <f>SUM(E101:E106)</f>
        <v>374299.23000000004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1398411.68</v>
      </c>
      <c r="D110" s="24" t="s">
        <v>312</v>
      </c>
      <c r="E110" s="95">
        <f>+('DOE25'!L273)+('DOE25'!L292)+('DOE25'!L311)</f>
        <v>4213.6499999999996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596148.57000000007</v>
      </c>
      <c r="D111" s="24" t="s">
        <v>312</v>
      </c>
      <c r="E111" s="95">
        <f>+('DOE25'!L274)+('DOE25'!L293)+('DOE25'!L312)</f>
        <v>15188.26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732410.27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993739.94000000006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1346025.52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827236.28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571.35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435419.18000000005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5893972.2600000007</v>
      </c>
      <c r="D120" s="86">
        <f>SUM(D110:D119)</f>
        <v>435419.18000000005</v>
      </c>
      <c r="E120" s="86">
        <f>SUM(E110:E119)</f>
        <v>19973.259999999998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42319.54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999575.94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893729.06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1893305</v>
      </c>
      <c r="D136" s="141">
        <f>SUM(D122:D135)</f>
        <v>0</v>
      </c>
      <c r="E136" s="141">
        <f>SUM(E122:E135)</f>
        <v>42319.54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18269224.77</v>
      </c>
      <c r="D137" s="86">
        <f>(D107+D120+D136)</f>
        <v>435419.18000000005</v>
      </c>
      <c r="E137" s="86">
        <f>(E107+E120+E136)</f>
        <v>436592.03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15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08/04</v>
      </c>
      <c r="C144" s="152" t="str">
        <f>'DOE25'!G481</f>
        <v>01/03</v>
      </c>
      <c r="D144" s="152" t="str">
        <f>'DOE25'!H481</f>
        <v>08/00</v>
      </c>
      <c r="E144" s="152" t="str">
        <f>'DOE25'!I481</f>
        <v>08/96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08/24</v>
      </c>
      <c r="C145" s="152" t="str">
        <f>'DOE25'!G482</f>
        <v>01/13</v>
      </c>
      <c r="D145" s="152" t="str">
        <f>'DOE25'!H482</f>
        <v>08/15</v>
      </c>
      <c r="E145" s="152" t="str">
        <f>'DOE25'!I482</f>
        <v>08/16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7980000</v>
      </c>
      <c r="C146" s="137">
        <f>'DOE25'!G483</f>
        <v>650000</v>
      </c>
      <c r="D146" s="137">
        <f>'DOE25'!H483</f>
        <v>3200000</v>
      </c>
      <c r="E146" s="137">
        <f>'DOE25'!I483</f>
        <v>8100000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4.25</v>
      </c>
      <c r="D147" s="137">
        <f>'DOE25'!H484</f>
        <v>5.2</v>
      </c>
      <c r="E147" s="137">
        <f>'DOE25'!I484</f>
        <v>5.71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6425000</v>
      </c>
      <c r="C148" s="137">
        <f>'DOE25'!G485</f>
        <v>220000</v>
      </c>
      <c r="D148" s="137">
        <f>'DOE25'!H485</f>
        <v>969990.82</v>
      </c>
      <c r="E148" s="137">
        <f>'DOE25'!I485</f>
        <v>1805242.16</v>
      </c>
      <c r="F148" s="137">
        <f>'DOE25'!J485</f>
        <v>0</v>
      </c>
      <c r="G148" s="138">
        <f>SUM(B148:F148)</f>
        <v>9420232.9800000004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295000</v>
      </c>
      <c r="C150" s="137">
        <f>'DOE25'!G487</f>
        <v>65000</v>
      </c>
      <c r="D150" s="137">
        <f>'DOE25'!H487</f>
        <v>182317.68</v>
      </c>
      <c r="E150" s="137">
        <f>'DOE25'!I487</f>
        <v>457258.26</v>
      </c>
      <c r="F150" s="137">
        <f>'DOE25'!J487</f>
        <v>0</v>
      </c>
      <c r="G150" s="138">
        <f t="shared" si="0"/>
        <v>999575.94</v>
      </c>
    </row>
    <row r="151" spans="1:7" x14ac:dyDescent="0.2">
      <c r="A151" s="22" t="s">
        <v>35</v>
      </c>
      <c r="B151" s="137">
        <f>'DOE25'!F488</f>
        <v>6130000</v>
      </c>
      <c r="C151" s="137">
        <f>'DOE25'!G488</f>
        <v>150000</v>
      </c>
      <c r="D151" s="137">
        <f>'DOE25'!H488</f>
        <v>787673.15</v>
      </c>
      <c r="E151" s="137">
        <f>'DOE25'!I488</f>
        <v>1502983.9</v>
      </c>
      <c r="F151" s="137">
        <f>'DOE25'!J488</f>
        <v>0</v>
      </c>
      <c r="G151" s="138">
        <f t="shared" si="0"/>
        <v>8570657.0500000007</v>
      </c>
    </row>
    <row r="152" spans="1:7" x14ac:dyDescent="0.2">
      <c r="A152" s="22" t="s">
        <v>36</v>
      </c>
      <c r="B152" s="137">
        <f>'DOE25'!F489</f>
        <v>2293780</v>
      </c>
      <c r="C152" s="137">
        <f>'DOE25'!G489</f>
        <v>6375</v>
      </c>
      <c r="D152" s="137">
        <f>'DOE25'!H489</f>
        <v>749600.61</v>
      </c>
      <c r="E152" s="137">
        <f>'DOE25'!I489</f>
        <v>2575491.11</v>
      </c>
      <c r="F152" s="137">
        <f>'DOE25'!J489</f>
        <v>0</v>
      </c>
      <c r="G152" s="138">
        <f t="shared" si="0"/>
        <v>5625246.7199999997</v>
      </c>
    </row>
    <row r="153" spans="1:7" x14ac:dyDescent="0.2">
      <c r="A153" s="22" t="s">
        <v>37</v>
      </c>
      <c r="B153" s="137">
        <f>'DOE25'!F490</f>
        <v>8423780</v>
      </c>
      <c r="C153" s="137">
        <f>'DOE25'!G490</f>
        <v>156375</v>
      </c>
      <c r="D153" s="137">
        <f>'DOE25'!H490</f>
        <v>1537273.76</v>
      </c>
      <c r="E153" s="137">
        <f>'DOE25'!I490</f>
        <v>4078475.01</v>
      </c>
      <c r="F153" s="137">
        <f>'DOE25'!J490</f>
        <v>0</v>
      </c>
      <c r="G153" s="138">
        <f t="shared" si="0"/>
        <v>14195903.77</v>
      </c>
    </row>
    <row r="154" spans="1:7" x14ac:dyDescent="0.2">
      <c r="A154" s="22" t="s">
        <v>38</v>
      </c>
      <c r="B154" s="137">
        <f>'DOE25'!F491</f>
        <v>310000</v>
      </c>
      <c r="C154" s="137">
        <f>'DOE25'!G491</f>
        <v>75000</v>
      </c>
      <c r="D154" s="137">
        <f>'DOE25'!H491</f>
        <v>164516.49</v>
      </c>
      <c r="E154" s="137">
        <f>'DOE25'!I491</f>
        <v>286730.34000000003</v>
      </c>
      <c r="F154" s="137">
        <f>'DOE25'!J491</f>
        <v>0</v>
      </c>
      <c r="G154" s="138">
        <f t="shared" si="0"/>
        <v>836246.83000000007</v>
      </c>
    </row>
    <row r="155" spans="1:7" x14ac:dyDescent="0.2">
      <c r="A155" s="22" t="s">
        <v>39</v>
      </c>
      <c r="B155" s="137">
        <f>'DOE25'!F492</f>
        <v>289034</v>
      </c>
      <c r="C155" s="137">
        <f>'DOE25'!G492</f>
        <v>3187.5</v>
      </c>
      <c r="D155" s="137">
        <f>'DOE25'!H492</f>
        <v>141751.01</v>
      </c>
      <c r="E155" s="137">
        <f>'DOE25'!I492</f>
        <v>392413.41</v>
      </c>
      <c r="F155" s="137">
        <f>'DOE25'!J492</f>
        <v>0</v>
      </c>
      <c r="G155" s="138">
        <f t="shared" si="0"/>
        <v>826385.91999999993</v>
      </c>
    </row>
    <row r="156" spans="1:7" x14ac:dyDescent="0.2">
      <c r="A156" s="22" t="s">
        <v>269</v>
      </c>
      <c r="B156" s="137">
        <f>'DOE25'!F493</f>
        <v>599034</v>
      </c>
      <c r="C156" s="137">
        <f>'DOE25'!G493</f>
        <v>78187.5</v>
      </c>
      <c r="D156" s="137">
        <f>'DOE25'!H493</f>
        <v>306267.5</v>
      </c>
      <c r="E156" s="137">
        <f>'DOE25'!I493</f>
        <v>679143.75</v>
      </c>
      <c r="F156" s="137">
        <f>'DOE25'!J493</f>
        <v>0</v>
      </c>
      <c r="G156" s="138">
        <f t="shared" si="0"/>
        <v>1662632.75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440-4CFE-481D-8D1D-6BED84E890E4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Hollis-Brookline CoOp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12156</v>
      </c>
    </row>
    <row r="6" spans="1:4" x14ac:dyDescent="0.2">
      <c r="B6" t="s">
        <v>62</v>
      </c>
      <c r="C6" s="179">
        <f>IF('DOE25'!H655+'DOE25'!H660=0,0,ROUND('DOE25'!H662,0))</f>
        <v>11189</v>
      </c>
    </row>
    <row r="7" spans="1:4" x14ac:dyDescent="0.2">
      <c r="B7" t="s">
        <v>736</v>
      </c>
      <c r="C7" s="179">
        <f>IF('DOE25'!I655+'DOE25'!I660=0,0,ROUND('DOE25'!I662,0))</f>
        <v>11513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7321710</v>
      </c>
      <c r="D10" s="182">
        <f>ROUND((C10/$C$28)*100,1)</f>
        <v>41.5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2902196</v>
      </c>
      <c r="D11" s="182">
        <f>ROUND((C11/$C$28)*100,1)</f>
        <v>16.399999999999999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73803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558537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1402625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611337</v>
      </c>
      <c r="D16" s="182">
        <f t="shared" si="0"/>
        <v>3.5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732982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993740</v>
      </c>
      <c r="D18" s="182">
        <f t="shared" si="0"/>
        <v>5.6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1346026</v>
      </c>
      <c r="D20" s="182">
        <f t="shared" si="0"/>
        <v>7.6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827236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893729</v>
      </c>
      <c r="D25" s="182">
        <f t="shared" si="0"/>
        <v>5.0999999999999996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-19035.179999999993</v>
      </c>
      <c r="D27" s="182">
        <f t="shared" si="0"/>
        <v>-0.1</v>
      </c>
    </row>
    <row r="28" spans="1:4" x14ac:dyDescent="0.2">
      <c r="B28" s="187" t="s">
        <v>754</v>
      </c>
      <c r="C28" s="180">
        <f>SUM(C10:C27)</f>
        <v>17644885.82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42320</v>
      </c>
    </row>
    <row r="30" spans="1:4" x14ac:dyDescent="0.2">
      <c r="B30" s="187" t="s">
        <v>760</v>
      </c>
      <c r="C30" s="180">
        <f>SUM(C28:C29)</f>
        <v>17687205.82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999576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12023021</v>
      </c>
      <c r="D35" s="182">
        <f t="shared" ref="D35:D40" si="1">ROUND((C35/$C$41)*100,1)</f>
        <v>66.400000000000006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45701.139999998733</v>
      </c>
      <c r="D36" s="182">
        <f t="shared" si="1"/>
        <v>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5003615</v>
      </c>
      <c r="D37" s="182">
        <f t="shared" si="1"/>
        <v>27.6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525234</v>
      </c>
      <c r="D38" s="182">
        <f t="shared" si="1"/>
        <v>2.9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505156</v>
      </c>
      <c r="D39" s="182">
        <f t="shared" si="1"/>
        <v>2.8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18102727.140000001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E31B-87F0-4585-B081-AC712287E5F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Hollis-Brookline CoOp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879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DC39:DM39"/>
    <mergeCell ref="DP39:DZ39"/>
    <mergeCell ref="EC39:EM39"/>
    <mergeCell ref="GC39:GM39"/>
    <mergeCell ref="EP40:EZ40"/>
    <mergeCell ref="P39:Z39"/>
    <mergeCell ref="AC39:AM39"/>
    <mergeCell ref="AP39:AZ39"/>
    <mergeCell ref="BP39:BZ39"/>
    <mergeCell ref="CC39:CM39"/>
    <mergeCell ref="GP39:GZ39"/>
    <mergeCell ref="IC39:IM39"/>
    <mergeCell ref="GP38:GZ38"/>
    <mergeCell ref="HC38:HM38"/>
    <mergeCell ref="HP39:HZ39"/>
    <mergeCell ref="HC39:H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2011-10-27T12:40:19Z</cp:lastPrinted>
  <dcterms:created xsi:type="dcterms:W3CDTF">1997-12-04T19:04:30Z</dcterms:created>
  <dcterms:modified xsi:type="dcterms:W3CDTF">2025-01-10T19:50:36Z</dcterms:modified>
</cp:coreProperties>
</file>