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CC8E398-77C9-4D6F-AD7D-D7AF5980BCAB}" xr6:coauthVersionLast="47" xr6:coauthVersionMax="47" xr10:uidLastSave="{00000000-0000-0000-0000-000000000000}"/>
  <workbookProtection workbookPassword="B30A" lockStructure="1"/>
  <bookViews>
    <workbookView xWindow="32430" yWindow="3630" windowWidth="21600" windowHeight="11505" tabRatio="855" xr2:uid="{C93F1125-88DD-4214-A188-E443F87ACED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10"/>
  <c r="C6" i="10"/>
  <c r="I659" i="1"/>
  <c r="C26" i="10"/>
  <c r="C35" i="10"/>
  <c r="C37" i="10"/>
  <c r="F113" i="1"/>
  <c r="C40" i="10"/>
  <c r="C42" i="10"/>
  <c r="A1" i="2"/>
  <c r="A2" i="2"/>
  <c r="C9" i="2"/>
  <c r="D9" i="2"/>
  <c r="E9" i="2"/>
  <c r="F9" i="2"/>
  <c r="C10" i="2"/>
  <c r="D10" i="2"/>
  <c r="E10" i="2"/>
  <c r="F10" i="2"/>
  <c r="C11" i="2"/>
  <c r="C12" i="2"/>
  <c r="D12" i="2"/>
  <c r="E12" i="2"/>
  <c r="F12" i="2"/>
  <c r="C13" i="2"/>
  <c r="D13" i="2"/>
  <c r="E13" i="2"/>
  <c r="E19" i="2" s="1"/>
  <c r="F13" i="2"/>
  <c r="F19" i="2" s="1"/>
  <c r="C14" i="2"/>
  <c r="D14" i="2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C22" i="2"/>
  <c r="C32" i="2" s="1"/>
  <c r="D22" i="2"/>
  <c r="D32" i="2" s="1"/>
  <c r="E22" i="2"/>
  <c r="E32" i="2" s="1"/>
  <c r="F22" i="2"/>
  <c r="C23" i="2"/>
  <c r="D23" i="2"/>
  <c r="E23" i="2"/>
  <c r="F23" i="2"/>
  <c r="F32" i="2" s="1"/>
  <c r="C24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C43" i="2" s="1"/>
  <c r="D34" i="2"/>
  <c r="E34" i="2"/>
  <c r="F34" i="2"/>
  <c r="C35" i="2"/>
  <c r="D35" i="2"/>
  <c r="D42" i="2" s="1"/>
  <c r="D43" i="2" s="1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E42" i="2"/>
  <c r="E43" i="2" s="1"/>
  <c r="F42" i="2"/>
  <c r="F43" i="2" s="1"/>
  <c r="G48" i="2"/>
  <c r="C49" i="2"/>
  <c r="C51" i="2"/>
  <c r="D51" i="2"/>
  <c r="E51" i="2"/>
  <c r="F51" i="2"/>
  <c r="G51" i="2"/>
  <c r="D52" i="2"/>
  <c r="C53" i="2"/>
  <c r="D53" i="2"/>
  <c r="D54" i="2" s="1"/>
  <c r="E53" i="2"/>
  <c r="F53" i="2"/>
  <c r="G53" i="2"/>
  <c r="F54" i="2"/>
  <c r="G54" i="2"/>
  <c r="G55" i="2"/>
  <c r="C58" i="2"/>
  <c r="C62" i="2" s="1"/>
  <c r="C59" i="2"/>
  <c r="C60" i="2"/>
  <c r="C61" i="2"/>
  <c r="D61" i="2"/>
  <c r="E61" i="2"/>
  <c r="F61" i="2"/>
  <c r="G61" i="2"/>
  <c r="G62" i="2" s="1"/>
  <c r="D62" i="2"/>
  <c r="E62" i="2"/>
  <c r="E73" i="2" s="1"/>
  <c r="F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D69" i="2"/>
  <c r="D70" i="2" s="1"/>
  <c r="D73" i="2" s="1"/>
  <c r="E69" i="2"/>
  <c r="F69" i="2"/>
  <c r="G69" i="2"/>
  <c r="G70" i="2" s="1"/>
  <c r="G73" i="2" s="1"/>
  <c r="E70" i="2"/>
  <c r="C71" i="2"/>
  <c r="D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D107" i="2"/>
  <c r="F107" i="2"/>
  <c r="G107" i="2"/>
  <c r="C114" i="2"/>
  <c r="F120" i="2"/>
  <c r="G120" i="2"/>
  <c r="F126" i="2"/>
  <c r="D126" i="2"/>
  <c r="D136" i="2" s="1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156" i="2"/>
  <c r="B2" i="13"/>
  <c r="F6" i="13"/>
  <c r="G6" i="13"/>
  <c r="F8" i="13"/>
  <c r="C9" i="13"/>
  <c r="C10" i="13"/>
  <c r="C11" i="13"/>
  <c r="F13" i="13"/>
  <c r="G13" i="13"/>
  <c r="G14" i="13"/>
  <c r="F15" i="13"/>
  <c r="G15" i="13"/>
  <c r="G16" i="13"/>
  <c r="F17" i="13"/>
  <c r="G17" i="13"/>
  <c r="D17" i="13"/>
  <c r="C17" i="13" s="1"/>
  <c r="F18" i="13"/>
  <c r="G18" i="13"/>
  <c r="F19" i="13"/>
  <c r="G19" i="13"/>
  <c r="H25" i="13"/>
  <c r="C25" i="13" s="1"/>
  <c r="F29" i="13"/>
  <c r="G29" i="13"/>
  <c r="D39" i="13"/>
  <c r="B1" i="12"/>
  <c r="B4" i="12"/>
  <c r="B13" i="12"/>
  <c r="C13" i="12"/>
  <c r="B22" i="12"/>
  <c r="C22" i="12"/>
  <c r="B27" i="12"/>
  <c r="A31" i="12" s="1"/>
  <c r="C27" i="12"/>
  <c r="B31" i="12"/>
  <c r="C31" i="12"/>
  <c r="B40" i="12"/>
  <c r="C40" i="12"/>
  <c r="F19" i="1"/>
  <c r="G19" i="1"/>
  <c r="G608" i="1" s="1"/>
  <c r="H19" i="1"/>
  <c r="G609" i="1" s="1"/>
  <c r="J609" i="1" s="1"/>
  <c r="I19" i="1"/>
  <c r="F33" i="1"/>
  <c r="G33" i="1"/>
  <c r="G44" i="1" s="1"/>
  <c r="H608" i="1" s="1"/>
  <c r="H33" i="1"/>
  <c r="I33" i="1"/>
  <c r="J37" i="1"/>
  <c r="G36" i="2" s="1"/>
  <c r="G42" i="2" s="1"/>
  <c r="F43" i="1"/>
  <c r="F44" i="1" s="1"/>
  <c r="H607" i="1" s="1"/>
  <c r="G43" i="1"/>
  <c r="H43" i="1"/>
  <c r="I43" i="1"/>
  <c r="H44" i="1"/>
  <c r="I44" i="1"/>
  <c r="H610" i="1" s="1"/>
  <c r="J610" i="1" s="1"/>
  <c r="F52" i="1"/>
  <c r="C48" i="2" s="1"/>
  <c r="G52" i="1"/>
  <c r="D48" i="2" s="1"/>
  <c r="D55" i="2" s="1"/>
  <c r="H52" i="1"/>
  <c r="E48" i="2" s="1"/>
  <c r="E55" i="2" s="1"/>
  <c r="I52" i="1"/>
  <c r="F48" i="2" s="1"/>
  <c r="F55" i="2" s="1"/>
  <c r="J52" i="1"/>
  <c r="F71" i="1"/>
  <c r="F104" i="1" s="1"/>
  <c r="H71" i="1"/>
  <c r="E49" i="2" s="1"/>
  <c r="E54" i="2" s="1"/>
  <c r="F86" i="1"/>
  <c r="C50" i="2" s="1"/>
  <c r="H86" i="1"/>
  <c r="E50" i="2" s="1"/>
  <c r="F103" i="1"/>
  <c r="G103" i="1"/>
  <c r="G104" i="1" s="1"/>
  <c r="H103" i="1"/>
  <c r="I103" i="1"/>
  <c r="J103" i="1"/>
  <c r="I104" i="1"/>
  <c r="I185" i="1" s="1"/>
  <c r="G620" i="1" s="1"/>
  <c r="J620" i="1" s="1"/>
  <c r="J104" i="1"/>
  <c r="G113" i="1"/>
  <c r="H113" i="1"/>
  <c r="I113" i="1"/>
  <c r="I132" i="1" s="1"/>
  <c r="J113" i="1"/>
  <c r="J132" i="1" s="1"/>
  <c r="F128" i="1"/>
  <c r="F132" i="1" s="1"/>
  <c r="G128" i="1"/>
  <c r="H128" i="1"/>
  <c r="I128" i="1"/>
  <c r="J128" i="1"/>
  <c r="G132" i="1"/>
  <c r="H132" i="1"/>
  <c r="F139" i="1"/>
  <c r="F161" i="1" s="1"/>
  <c r="G139" i="1"/>
  <c r="G161" i="1" s="1"/>
  <c r="H139" i="1"/>
  <c r="H161" i="1" s="1"/>
  <c r="I139" i="1"/>
  <c r="F77" i="2" s="1"/>
  <c r="F83" i="2" s="1"/>
  <c r="F154" i="1"/>
  <c r="G154" i="1"/>
  <c r="H154" i="1"/>
  <c r="I154" i="1"/>
  <c r="I161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189" i="1"/>
  <c r="L189" i="1" s="1"/>
  <c r="G189" i="1"/>
  <c r="C9" i="12" s="1"/>
  <c r="H189" i="1"/>
  <c r="I189" i="1"/>
  <c r="I203" i="1" s="1"/>
  <c r="J189" i="1"/>
  <c r="J203" i="1" s="1"/>
  <c r="J249" i="1" s="1"/>
  <c r="K189" i="1"/>
  <c r="K203" i="1" s="1"/>
  <c r="K249" i="1" s="1"/>
  <c r="K263" i="1" s="1"/>
  <c r="F190" i="1"/>
  <c r="B18" i="12" s="1"/>
  <c r="A22" i="12" s="1"/>
  <c r="G190" i="1"/>
  <c r="C18" i="12" s="1"/>
  <c r="H190" i="1"/>
  <c r="I190" i="1"/>
  <c r="J190" i="1"/>
  <c r="K190" i="1"/>
  <c r="L190" i="1"/>
  <c r="C11" i="10" s="1"/>
  <c r="L191" i="1"/>
  <c r="C103" i="2" s="1"/>
  <c r="F192" i="1"/>
  <c r="L192" i="1" s="1"/>
  <c r="G192" i="1"/>
  <c r="C36" i="12" s="1"/>
  <c r="H192" i="1"/>
  <c r="I192" i="1"/>
  <c r="J192" i="1"/>
  <c r="F194" i="1"/>
  <c r="G194" i="1"/>
  <c r="H194" i="1"/>
  <c r="I194" i="1"/>
  <c r="L194" i="1" s="1"/>
  <c r="J194" i="1"/>
  <c r="K194" i="1"/>
  <c r="F195" i="1"/>
  <c r="L195" i="1" s="1"/>
  <c r="G195" i="1"/>
  <c r="G203" i="1" s="1"/>
  <c r="G249" i="1" s="1"/>
  <c r="G263" i="1" s="1"/>
  <c r="H195" i="1"/>
  <c r="I195" i="1"/>
  <c r="J195" i="1"/>
  <c r="F7" i="13" s="1"/>
  <c r="K195" i="1"/>
  <c r="G7" i="13" s="1"/>
  <c r="F196" i="1"/>
  <c r="G196" i="1"/>
  <c r="H196" i="1"/>
  <c r="I196" i="1"/>
  <c r="K196" i="1"/>
  <c r="G8" i="13" s="1"/>
  <c r="L196" i="1"/>
  <c r="C17" i="10" s="1"/>
  <c r="F197" i="1"/>
  <c r="L197" i="1" s="1"/>
  <c r="G197" i="1"/>
  <c r="H197" i="1"/>
  <c r="I197" i="1"/>
  <c r="J197" i="1"/>
  <c r="F12" i="13" s="1"/>
  <c r="K197" i="1"/>
  <c r="G12" i="13" s="1"/>
  <c r="L198" i="1"/>
  <c r="F199" i="1"/>
  <c r="L199" i="1" s="1"/>
  <c r="G199" i="1"/>
  <c r="H199" i="1"/>
  <c r="I199" i="1"/>
  <c r="J199" i="1"/>
  <c r="F14" i="13" s="1"/>
  <c r="H200" i="1"/>
  <c r="L200" i="1"/>
  <c r="C116" i="2" s="1"/>
  <c r="F201" i="1"/>
  <c r="L201" i="1" s="1"/>
  <c r="G201" i="1"/>
  <c r="H201" i="1"/>
  <c r="I201" i="1"/>
  <c r="J201" i="1"/>
  <c r="F16" i="13" s="1"/>
  <c r="H203" i="1"/>
  <c r="F207" i="1"/>
  <c r="G207" i="1"/>
  <c r="H207" i="1"/>
  <c r="H221" i="1" s="1"/>
  <c r="I207" i="1"/>
  <c r="I221" i="1" s="1"/>
  <c r="J207" i="1"/>
  <c r="K207" i="1"/>
  <c r="L207" i="1"/>
  <c r="F208" i="1"/>
  <c r="L208" i="1" s="1"/>
  <c r="C102" i="2" s="1"/>
  <c r="G208" i="1"/>
  <c r="H208" i="1"/>
  <c r="I208" i="1"/>
  <c r="J208" i="1"/>
  <c r="L209" i="1"/>
  <c r="F210" i="1"/>
  <c r="L210" i="1" s="1"/>
  <c r="G210" i="1"/>
  <c r="H210" i="1"/>
  <c r="I210" i="1"/>
  <c r="J210" i="1"/>
  <c r="K210" i="1"/>
  <c r="F212" i="1"/>
  <c r="G212" i="1"/>
  <c r="H212" i="1"/>
  <c r="I212" i="1"/>
  <c r="K212" i="1"/>
  <c r="L212" i="1"/>
  <c r="F213" i="1"/>
  <c r="L213" i="1" s="1"/>
  <c r="G213" i="1"/>
  <c r="H213" i="1"/>
  <c r="I213" i="1"/>
  <c r="J213" i="1"/>
  <c r="J221" i="1" s="1"/>
  <c r="K213" i="1"/>
  <c r="F214" i="1"/>
  <c r="G214" i="1"/>
  <c r="H214" i="1"/>
  <c r="I214" i="1"/>
  <c r="K214" i="1"/>
  <c r="L214" i="1"/>
  <c r="F215" i="1"/>
  <c r="G215" i="1"/>
  <c r="L215" i="1" s="1"/>
  <c r="H215" i="1"/>
  <c r="I215" i="1"/>
  <c r="J215" i="1"/>
  <c r="K215" i="1"/>
  <c r="L216" i="1"/>
  <c r="F217" i="1"/>
  <c r="G217" i="1"/>
  <c r="H217" i="1"/>
  <c r="L217" i="1" s="1"/>
  <c r="I217" i="1"/>
  <c r="J217" i="1"/>
  <c r="H218" i="1"/>
  <c r="L218" i="1"/>
  <c r="G640" i="1" s="1"/>
  <c r="J640" i="1" s="1"/>
  <c r="F219" i="1"/>
  <c r="G219" i="1"/>
  <c r="H219" i="1"/>
  <c r="I219" i="1"/>
  <c r="J219" i="1"/>
  <c r="L219" i="1" s="1"/>
  <c r="G221" i="1"/>
  <c r="K221" i="1"/>
  <c r="F225" i="1"/>
  <c r="G225" i="1"/>
  <c r="H225" i="1"/>
  <c r="L225" i="1"/>
  <c r="F226" i="1"/>
  <c r="L226" i="1" s="1"/>
  <c r="G226" i="1"/>
  <c r="H226" i="1"/>
  <c r="L227" i="1"/>
  <c r="H228" i="1"/>
  <c r="L228" i="1"/>
  <c r="L230" i="1"/>
  <c r="L231" i="1"/>
  <c r="L232" i="1"/>
  <c r="L233" i="1"/>
  <c r="L234" i="1"/>
  <c r="L235" i="1"/>
  <c r="H236" i="1"/>
  <c r="L236" i="1"/>
  <c r="L237" i="1"/>
  <c r="F239" i="1"/>
  <c r="G239" i="1"/>
  <c r="H239" i="1"/>
  <c r="I239" i="1"/>
  <c r="J239" i="1"/>
  <c r="K239" i="1"/>
  <c r="L242" i="1"/>
  <c r="C105" i="2" s="1"/>
  <c r="L243" i="1"/>
  <c r="C106" i="2" s="1"/>
  <c r="L244" i="1"/>
  <c r="D18" i="13" s="1"/>
  <c r="C18" i="13" s="1"/>
  <c r="L245" i="1"/>
  <c r="D19" i="13" s="1"/>
  <c r="C19" i="13" s="1"/>
  <c r="L246" i="1"/>
  <c r="H247" i="1"/>
  <c r="H248" i="1" s="1"/>
  <c r="L247" i="1"/>
  <c r="C122" i="2" s="1"/>
  <c r="F248" i="1"/>
  <c r="G248" i="1"/>
  <c r="I248" i="1"/>
  <c r="J248" i="1"/>
  <c r="K248" i="1"/>
  <c r="L252" i="1"/>
  <c r="C123" i="2" s="1"/>
  <c r="L253" i="1"/>
  <c r="C124" i="2" s="1"/>
  <c r="L255" i="1"/>
  <c r="C127" i="2" s="1"/>
  <c r="L256" i="1"/>
  <c r="C128" i="2" s="1"/>
  <c r="L257" i="1"/>
  <c r="C129" i="2" s="1"/>
  <c r="L258" i="1"/>
  <c r="L260" i="1"/>
  <c r="L261" i="1"/>
  <c r="C135" i="2" s="1"/>
  <c r="F262" i="1"/>
  <c r="L262" i="1" s="1"/>
  <c r="G262" i="1"/>
  <c r="H262" i="1"/>
  <c r="I262" i="1"/>
  <c r="J262" i="1"/>
  <c r="K262" i="1"/>
  <c r="F268" i="1"/>
  <c r="L268" i="1" s="1"/>
  <c r="G268" i="1"/>
  <c r="H268" i="1"/>
  <c r="I268" i="1"/>
  <c r="I282" i="1" s="1"/>
  <c r="I330" i="1" s="1"/>
  <c r="I344" i="1" s="1"/>
  <c r="J268" i="1"/>
  <c r="J282" i="1" s="1"/>
  <c r="F269" i="1"/>
  <c r="G269" i="1"/>
  <c r="H269" i="1"/>
  <c r="I269" i="1"/>
  <c r="J269" i="1"/>
  <c r="L269" i="1"/>
  <c r="L270" i="1"/>
  <c r="E103" i="2" s="1"/>
  <c r="F271" i="1"/>
  <c r="G271" i="1"/>
  <c r="H271" i="1"/>
  <c r="L271" i="1" s="1"/>
  <c r="E104" i="2" s="1"/>
  <c r="F273" i="1"/>
  <c r="L273" i="1" s="1"/>
  <c r="E110" i="2" s="1"/>
  <c r="G273" i="1"/>
  <c r="H273" i="1"/>
  <c r="I273" i="1"/>
  <c r="F274" i="1"/>
  <c r="L274" i="1" s="1"/>
  <c r="E111" i="2" s="1"/>
  <c r="G274" i="1"/>
  <c r="H274" i="1"/>
  <c r="I274" i="1"/>
  <c r="L275" i="1"/>
  <c r="E112" i="2" s="1"/>
  <c r="L276" i="1"/>
  <c r="E113" i="2" s="1"/>
  <c r="K277" i="1"/>
  <c r="K282" i="1" s="1"/>
  <c r="L278" i="1"/>
  <c r="E115" i="2" s="1"/>
  <c r="L279" i="1"/>
  <c r="E116" i="2" s="1"/>
  <c r="L280" i="1"/>
  <c r="E117" i="2" s="1"/>
  <c r="G282" i="1"/>
  <c r="H282" i="1"/>
  <c r="F287" i="1"/>
  <c r="F301" i="1" s="1"/>
  <c r="G287" i="1"/>
  <c r="G301" i="1" s="1"/>
  <c r="H287" i="1"/>
  <c r="H301" i="1" s="1"/>
  <c r="I287" i="1"/>
  <c r="I301" i="1" s="1"/>
  <c r="J287" i="1"/>
  <c r="F288" i="1"/>
  <c r="L288" i="1" s="1"/>
  <c r="G288" i="1"/>
  <c r="H288" i="1"/>
  <c r="I288" i="1"/>
  <c r="J288" i="1"/>
  <c r="L289" i="1"/>
  <c r="F290" i="1"/>
  <c r="G290" i="1"/>
  <c r="L290" i="1"/>
  <c r="F292" i="1"/>
  <c r="H292" i="1"/>
  <c r="I292" i="1"/>
  <c r="L292" i="1"/>
  <c r="F293" i="1"/>
  <c r="G293" i="1"/>
  <c r="H293" i="1"/>
  <c r="I293" i="1"/>
  <c r="L293" i="1"/>
  <c r="L294" i="1"/>
  <c r="L295" i="1"/>
  <c r="K296" i="1"/>
  <c r="K301" i="1" s="1"/>
  <c r="L297" i="1"/>
  <c r="L298" i="1"/>
  <c r="L299" i="1"/>
  <c r="J301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F320" i="1"/>
  <c r="G320" i="1"/>
  <c r="H320" i="1"/>
  <c r="I320" i="1"/>
  <c r="J320" i="1"/>
  <c r="K320" i="1"/>
  <c r="L324" i="1"/>
  <c r="E105" i="2" s="1"/>
  <c r="L325" i="1"/>
  <c r="E106" i="2" s="1"/>
  <c r="L326" i="1"/>
  <c r="L327" i="1"/>
  <c r="L328" i="1"/>
  <c r="E122" i="2" s="1"/>
  <c r="F329" i="1"/>
  <c r="L329" i="1" s="1"/>
  <c r="G329" i="1"/>
  <c r="H329" i="1"/>
  <c r="I329" i="1"/>
  <c r="J329" i="1"/>
  <c r="K329" i="1"/>
  <c r="L333" i="1"/>
  <c r="L343" i="1" s="1"/>
  <c r="L334" i="1"/>
  <c r="E124" i="2" s="1"/>
  <c r="L336" i="1"/>
  <c r="E126" i="2" s="1"/>
  <c r="L337" i="1"/>
  <c r="E127" i="2" s="1"/>
  <c r="L338" i="1"/>
  <c r="E129" i="2" s="1"/>
  <c r="L339" i="1"/>
  <c r="L341" i="1"/>
  <c r="L342" i="1"/>
  <c r="E135" i="2" s="1"/>
  <c r="K343" i="1"/>
  <c r="L350" i="1"/>
  <c r="L354" i="1" s="1"/>
  <c r="L351" i="1"/>
  <c r="L352" i="1"/>
  <c r="L353" i="1"/>
  <c r="F354" i="1"/>
  <c r="G354" i="1"/>
  <c r="H354" i="1"/>
  <c r="I354" i="1"/>
  <c r="J354" i="1"/>
  <c r="K354" i="1"/>
  <c r="I359" i="1"/>
  <c r="I360" i="1"/>
  <c r="F361" i="1"/>
  <c r="G361" i="1"/>
  <c r="H361" i="1"/>
  <c r="I361" i="1"/>
  <c r="L366" i="1"/>
  <c r="F122" i="2" s="1"/>
  <c r="F136" i="2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L384" i="1"/>
  <c r="F385" i="1"/>
  <c r="G385" i="1"/>
  <c r="H385" i="1"/>
  <c r="I385" i="1"/>
  <c r="I400" i="1" s="1"/>
  <c r="L387" i="1"/>
  <c r="L388" i="1"/>
  <c r="L393" i="1" s="1"/>
  <c r="C131" i="2" s="1"/>
  <c r="L389" i="1"/>
  <c r="L390" i="1"/>
  <c r="L391" i="1"/>
  <c r="L392" i="1"/>
  <c r="F393" i="1"/>
  <c r="G393" i="1"/>
  <c r="H393" i="1"/>
  <c r="I393" i="1"/>
  <c r="L395" i="1"/>
  <c r="L396" i="1"/>
  <c r="L399" i="1" s="1"/>
  <c r="C132" i="2" s="1"/>
  <c r="L397" i="1"/>
  <c r="L398" i="1"/>
  <c r="F399" i="1"/>
  <c r="G399" i="1"/>
  <c r="H399" i="1"/>
  <c r="I399" i="1"/>
  <c r="F400" i="1"/>
  <c r="G400" i="1"/>
  <c r="H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K411" i="1"/>
  <c r="K426" i="1" s="1"/>
  <c r="G126" i="2" s="1"/>
  <c r="G136" i="2" s="1"/>
  <c r="L413" i="1"/>
  <c r="L414" i="1"/>
  <c r="L415" i="1"/>
  <c r="L416" i="1"/>
  <c r="L417" i="1"/>
  <c r="L418" i="1"/>
  <c r="F419" i="1"/>
  <c r="G419" i="1"/>
  <c r="H419" i="1"/>
  <c r="I419" i="1"/>
  <c r="J419" i="1"/>
  <c r="J426" i="1" s="1"/>
  <c r="K419" i="1"/>
  <c r="L419" i="1"/>
  <c r="L421" i="1"/>
  <c r="L422" i="1"/>
  <c r="L423" i="1"/>
  <c r="L424" i="1"/>
  <c r="F425" i="1"/>
  <c r="G425" i="1"/>
  <c r="H425" i="1"/>
  <c r="I425" i="1"/>
  <c r="J425" i="1"/>
  <c r="K425" i="1"/>
  <c r="L425" i="1"/>
  <c r="F426" i="1"/>
  <c r="I431" i="1"/>
  <c r="J9" i="1" s="1"/>
  <c r="I432" i="1"/>
  <c r="J10" i="1" s="1"/>
  <c r="G10" i="2" s="1"/>
  <c r="I433" i="1"/>
  <c r="J12" i="1" s="1"/>
  <c r="G12" i="2" s="1"/>
  <c r="I434" i="1"/>
  <c r="J13" i="1" s="1"/>
  <c r="G13" i="2" s="1"/>
  <c r="I435" i="1"/>
  <c r="J14" i="1" s="1"/>
  <c r="G14" i="2" s="1"/>
  <c r="I436" i="1"/>
  <c r="J17" i="1" s="1"/>
  <c r="G17" i="2" s="1"/>
  <c r="I437" i="1"/>
  <c r="J18" i="1" s="1"/>
  <c r="G18" i="2" s="1"/>
  <c r="F438" i="1"/>
  <c r="G438" i="1"/>
  <c r="H438" i="1"/>
  <c r="I440" i="1"/>
  <c r="I444" i="1" s="1"/>
  <c r="I441" i="1"/>
  <c r="J24" i="1" s="1"/>
  <c r="G23" i="2" s="1"/>
  <c r="I442" i="1"/>
  <c r="J25" i="1" s="1"/>
  <c r="G24" i="2" s="1"/>
  <c r="I443" i="1"/>
  <c r="J32" i="1" s="1"/>
  <c r="G31" i="2" s="1"/>
  <c r="F444" i="1"/>
  <c r="G444" i="1"/>
  <c r="G451" i="1" s="1"/>
  <c r="H630" i="1" s="1"/>
  <c r="J630" i="1" s="1"/>
  <c r="H444" i="1"/>
  <c r="H451" i="1" s="1"/>
  <c r="H631" i="1" s="1"/>
  <c r="I446" i="1"/>
  <c r="I447" i="1"/>
  <c r="J38" i="1" s="1"/>
  <c r="G37" i="2" s="1"/>
  <c r="I448" i="1"/>
  <c r="J40" i="1" s="1"/>
  <c r="G39" i="2" s="1"/>
  <c r="I449" i="1"/>
  <c r="J41" i="1" s="1"/>
  <c r="G40" i="2" s="1"/>
  <c r="F450" i="1"/>
  <c r="G450" i="1"/>
  <c r="H450" i="1"/>
  <c r="F451" i="1"/>
  <c r="F460" i="1"/>
  <c r="G460" i="1"/>
  <c r="G466" i="1" s="1"/>
  <c r="H613" i="1" s="1"/>
  <c r="H460" i="1"/>
  <c r="H466" i="1" s="1"/>
  <c r="H614" i="1" s="1"/>
  <c r="J614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F466" i="1"/>
  <c r="H612" i="1" s="1"/>
  <c r="K485" i="1"/>
  <c r="K486" i="1"/>
  <c r="K487" i="1"/>
  <c r="K488" i="1"/>
  <c r="K489" i="1"/>
  <c r="F490" i="1"/>
  <c r="K490" i="1" s="1"/>
  <c r="G490" i="1"/>
  <c r="C153" i="2" s="1"/>
  <c r="H490" i="1"/>
  <c r="D153" i="2" s="1"/>
  <c r="I490" i="1"/>
  <c r="E153" i="2" s="1"/>
  <c r="J490" i="1"/>
  <c r="F153" i="2" s="1"/>
  <c r="K491" i="1"/>
  <c r="K492" i="1"/>
  <c r="F493" i="1"/>
  <c r="G493" i="1"/>
  <c r="C156" i="2" s="1"/>
  <c r="H493" i="1"/>
  <c r="D156" i="2" s="1"/>
  <c r="I493" i="1"/>
  <c r="E156" i="2" s="1"/>
  <c r="J493" i="1"/>
  <c r="F156" i="2" s="1"/>
  <c r="K493" i="1"/>
  <c r="F507" i="1"/>
  <c r="G507" i="1"/>
  <c r="H507" i="1"/>
  <c r="I507" i="1"/>
  <c r="F511" i="1"/>
  <c r="F514" i="1" s="1"/>
  <c r="G511" i="1"/>
  <c r="L511" i="1" s="1"/>
  <c r="H511" i="1"/>
  <c r="I511" i="1"/>
  <c r="J511" i="1"/>
  <c r="J514" i="1" s="1"/>
  <c r="J535" i="1" s="1"/>
  <c r="K511" i="1"/>
  <c r="K514" i="1" s="1"/>
  <c r="K535" i="1" s="1"/>
  <c r="F512" i="1"/>
  <c r="L512" i="1" s="1"/>
  <c r="F540" i="1" s="1"/>
  <c r="G512" i="1"/>
  <c r="H512" i="1"/>
  <c r="I512" i="1"/>
  <c r="J512" i="1"/>
  <c r="F513" i="1"/>
  <c r="G513" i="1"/>
  <c r="H513" i="1"/>
  <c r="L513" i="1"/>
  <c r="F541" i="1" s="1"/>
  <c r="H514" i="1"/>
  <c r="H535" i="1" s="1"/>
  <c r="I514" i="1"/>
  <c r="I535" i="1" s="1"/>
  <c r="F516" i="1"/>
  <c r="L516" i="1" s="1"/>
  <c r="G516" i="1"/>
  <c r="H516" i="1"/>
  <c r="H519" i="1" s="1"/>
  <c r="I516" i="1"/>
  <c r="J516" i="1"/>
  <c r="F517" i="1"/>
  <c r="L517" i="1" s="1"/>
  <c r="G540" i="1" s="1"/>
  <c r="G517" i="1"/>
  <c r="G519" i="1" s="1"/>
  <c r="H517" i="1"/>
  <c r="I517" i="1"/>
  <c r="F518" i="1"/>
  <c r="G518" i="1"/>
  <c r="L518" i="1" s="1"/>
  <c r="G541" i="1" s="1"/>
  <c r="H518" i="1"/>
  <c r="F519" i="1"/>
  <c r="I519" i="1"/>
  <c r="J519" i="1"/>
  <c r="K519" i="1"/>
  <c r="F521" i="1"/>
  <c r="G521" i="1"/>
  <c r="H521" i="1"/>
  <c r="I521" i="1"/>
  <c r="L521" i="1" s="1"/>
  <c r="F522" i="1"/>
  <c r="G522" i="1"/>
  <c r="G524" i="1" s="1"/>
  <c r="H522" i="1"/>
  <c r="I522" i="1"/>
  <c r="L522" i="1"/>
  <c r="F523" i="1"/>
  <c r="L523" i="1" s="1"/>
  <c r="H541" i="1" s="1"/>
  <c r="G523" i="1"/>
  <c r="H523" i="1"/>
  <c r="I523" i="1"/>
  <c r="H524" i="1"/>
  <c r="I524" i="1"/>
  <c r="J524" i="1"/>
  <c r="K524" i="1"/>
  <c r="L526" i="1"/>
  <c r="I539" i="1" s="1"/>
  <c r="I542" i="1" s="1"/>
  <c r="L527" i="1"/>
  <c r="L528" i="1"/>
  <c r="F529" i="1"/>
  <c r="G529" i="1"/>
  <c r="H529" i="1"/>
  <c r="I529" i="1"/>
  <c r="J529" i="1"/>
  <c r="K529" i="1"/>
  <c r="L531" i="1"/>
  <c r="L532" i="1"/>
  <c r="J540" i="1" s="1"/>
  <c r="L533" i="1"/>
  <c r="J541" i="1" s="1"/>
  <c r="F534" i="1"/>
  <c r="G534" i="1"/>
  <c r="H534" i="1"/>
  <c r="I534" i="1"/>
  <c r="J534" i="1"/>
  <c r="K534" i="1"/>
  <c r="J539" i="1"/>
  <c r="H540" i="1"/>
  <c r="I540" i="1"/>
  <c r="I541" i="1"/>
  <c r="L547" i="1"/>
  <c r="L548" i="1"/>
  <c r="L549" i="1"/>
  <c r="F550" i="1"/>
  <c r="G550" i="1"/>
  <c r="H550" i="1"/>
  <c r="I550" i="1"/>
  <c r="J550" i="1"/>
  <c r="J561" i="1" s="1"/>
  <c r="K550" i="1"/>
  <c r="K561" i="1" s="1"/>
  <c r="L550" i="1"/>
  <c r="G552" i="1"/>
  <c r="H552" i="1"/>
  <c r="I552" i="1"/>
  <c r="L552" i="1"/>
  <c r="G553" i="1"/>
  <c r="L553" i="1" s="1"/>
  <c r="I553" i="1"/>
  <c r="L554" i="1"/>
  <c r="F555" i="1"/>
  <c r="H555" i="1"/>
  <c r="I555" i="1"/>
  <c r="J555" i="1"/>
  <c r="K555" i="1"/>
  <c r="F557" i="1"/>
  <c r="F560" i="1" s="1"/>
  <c r="F561" i="1" s="1"/>
  <c r="G557" i="1"/>
  <c r="G560" i="1" s="1"/>
  <c r="I557" i="1"/>
  <c r="J557" i="1"/>
  <c r="L557" i="1"/>
  <c r="F558" i="1"/>
  <c r="L558" i="1" s="1"/>
  <c r="G558" i="1"/>
  <c r="H558" i="1"/>
  <c r="H560" i="1" s="1"/>
  <c r="H561" i="1" s="1"/>
  <c r="I558" i="1"/>
  <c r="I560" i="1" s="1"/>
  <c r="L559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J588" i="1"/>
  <c r="K592" i="1"/>
  <c r="K593" i="1"/>
  <c r="H594" i="1"/>
  <c r="K594" i="1" s="1"/>
  <c r="I594" i="1"/>
  <c r="I595" i="1"/>
  <c r="J595" i="1"/>
  <c r="F601" i="1"/>
  <c r="G601" i="1"/>
  <c r="L601" i="1"/>
  <c r="F602" i="1"/>
  <c r="F604" i="1" s="1"/>
  <c r="G602" i="1"/>
  <c r="H602" i="1"/>
  <c r="L602" i="1"/>
  <c r="L604" i="1" s="1"/>
  <c r="L603" i="1"/>
  <c r="G604" i="1"/>
  <c r="H604" i="1"/>
  <c r="I604" i="1"/>
  <c r="J604" i="1"/>
  <c r="K604" i="1"/>
  <c r="G607" i="1"/>
  <c r="H609" i="1"/>
  <c r="G610" i="1"/>
  <c r="G612" i="1"/>
  <c r="G613" i="1"/>
  <c r="G614" i="1"/>
  <c r="G615" i="1"/>
  <c r="H617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29" i="1"/>
  <c r="J629" i="1" s="1"/>
  <c r="H629" i="1"/>
  <c r="G630" i="1"/>
  <c r="G631" i="1"/>
  <c r="J631" i="1" s="1"/>
  <c r="G633" i="1"/>
  <c r="J633" i="1" s="1"/>
  <c r="H633" i="1"/>
  <c r="G634" i="1"/>
  <c r="H634" i="1"/>
  <c r="J634" i="1"/>
  <c r="G635" i="1"/>
  <c r="J635" i="1" s="1"/>
  <c r="H635" i="1"/>
  <c r="H637" i="1"/>
  <c r="G639" i="1"/>
  <c r="J639" i="1" s="1"/>
  <c r="H639" i="1"/>
  <c r="H640" i="1"/>
  <c r="G641" i="1"/>
  <c r="J641" i="1" s="1"/>
  <c r="H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F651" i="1"/>
  <c r="I651" i="1" s="1"/>
  <c r="G651" i="1"/>
  <c r="H651" i="1"/>
  <c r="F652" i="1"/>
  <c r="I652" i="1" s="1"/>
  <c r="G652" i="1"/>
  <c r="H652" i="1"/>
  <c r="F653" i="1"/>
  <c r="I653" i="1" s="1"/>
  <c r="G653" i="1"/>
  <c r="H653" i="1"/>
  <c r="I655" i="1"/>
  <c r="I660" i="1"/>
  <c r="G625" i="1" l="1"/>
  <c r="J625" i="1" s="1"/>
  <c r="C27" i="10"/>
  <c r="C16" i="10"/>
  <c r="C111" i="2"/>
  <c r="D7" i="13"/>
  <c r="C7" i="13" s="1"/>
  <c r="L203" i="1"/>
  <c r="C10" i="10"/>
  <c r="C101" i="2"/>
  <c r="C107" i="2" s="1"/>
  <c r="J615" i="1"/>
  <c r="G31" i="13"/>
  <c r="K330" i="1"/>
  <c r="K344" i="1" s="1"/>
  <c r="C55" i="2"/>
  <c r="G137" i="2"/>
  <c r="G96" i="2"/>
  <c r="H539" i="1"/>
  <c r="H542" i="1" s="1"/>
  <c r="L524" i="1"/>
  <c r="K595" i="1"/>
  <c r="G638" i="1" s="1"/>
  <c r="J638" i="1" s="1"/>
  <c r="L561" i="1"/>
  <c r="L239" i="1"/>
  <c r="H650" i="1" s="1"/>
  <c r="H654" i="1" s="1"/>
  <c r="C15" i="10"/>
  <c r="D6" i="13"/>
  <c r="C6" i="13" s="1"/>
  <c r="C110" i="2"/>
  <c r="F137" i="2"/>
  <c r="C18" i="10"/>
  <c r="D12" i="13"/>
  <c r="C12" i="13" s="1"/>
  <c r="C113" i="2"/>
  <c r="J613" i="1"/>
  <c r="J542" i="1"/>
  <c r="G185" i="1"/>
  <c r="G618" i="1" s="1"/>
  <c r="J618" i="1" s="1"/>
  <c r="J608" i="1"/>
  <c r="C54" i="2"/>
  <c r="J612" i="1"/>
  <c r="E102" i="2"/>
  <c r="H249" i="1"/>
  <c r="H263" i="1" s="1"/>
  <c r="C115" i="2"/>
  <c r="C20" i="10"/>
  <c r="D14" i="13"/>
  <c r="C14" i="13" s="1"/>
  <c r="C73" i="2"/>
  <c r="I561" i="1"/>
  <c r="K540" i="1"/>
  <c r="C130" i="2"/>
  <c r="L400" i="1"/>
  <c r="C38" i="10"/>
  <c r="G156" i="2"/>
  <c r="L519" i="1"/>
  <c r="G539" i="1"/>
  <c r="G542" i="1" s="1"/>
  <c r="H330" i="1"/>
  <c r="H344" i="1" s="1"/>
  <c r="H638" i="1"/>
  <c r="J263" i="1"/>
  <c r="F185" i="1"/>
  <c r="G617" i="1" s="1"/>
  <c r="J617" i="1" s="1"/>
  <c r="L560" i="1"/>
  <c r="K541" i="1"/>
  <c r="J19" i="1"/>
  <c r="G611" i="1" s="1"/>
  <c r="G9" i="2"/>
  <c r="G19" i="2" s="1"/>
  <c r="G330" i="1"/>
  <c r="G344" i="1" s="1"/>
  <c r="L248" i="1"/>
  <c r="L221" i="1"/>
  <c r="C117" i="2"/>
  <c r="E16" i="13"/>
  <c r="C16" i="13" s="1"/>
  <c r="I249" i="1"/>
  <c r="I263" i="1" s="1"/>
  <c r="L555" i="1"/>
  <c r="L514" i="1"/>
  <c r="F539" i="1"/>
  <c r="F31" i="13"/>
  <c r="J330" i="1"/>
  <c r="J344" i="1" s="1"/>
  <c r="C104" i="2"/>
  <c r="C13" i="10"/>
  <c r="C39" i="10"/>
  <c r="J185" i="1"/>
  <c r="F96" i="2"/>
  <c r="C12" i="10"/>
  <c r="H595" i="1"/>
  <c r="G555" i="1"/>
  <c r="G561" i="1" s="1"/>
  <c r="G514" i="1"/>
  <c r="G535" i="1" s="1"/>
  <c r="L374" i="1"/>
  <c r="G626" i="1" s="1"/>
  <c r="J626" i="1" s="1"/>
  <c r="L287" i="1"/>
  <c r="E101" i="2" s="1"/>
  <c r="E107" i="2" s="1"/>
  <c r="E137" i="2" s="1"/>
  <c r="F282" i="1"/>
  <c r="F330" i="1" s="1"/>
  <c r="F344" i="1" s="1"/>
  <c r="F203" i="1"/>
  <c r="F249" i="1" s="1"/>
  <c r="F263" i="1" s="1"/>
  <c r="B36" i="12"/>
  <c r="A40" i="12" s="1"/>
  <c r="F22" i="13"/>
  <c r="C22" i="13" s="1"/>
  <c r="C32" i="10"/>
  <c r="C25" i="10"/>
  <c r="L529" i="1"/>
  <c r="I450" i="1"/>
  <c r="I451" i="1" s="1"/>
  <c r="H632" i="1" s="1"/>
  <c r="L296" i="1"/>
  <c r="E8" i="13"/>
  <c r="E77" i="2"/>
  <c r="E83" i="2" s="1"/>
  <c r="E96" i="2" s="1"/>
  <c r="C24" i="10"/>
  <c r="J43" i="1"/>
  <c r="B9" i="12"/>
  <c r="A13" i="12" s="1"/>
  <c r="E13" i="13"/>
  <c r="C13" i="13" s="1"/>
  <c r="G5" i="13"/>
  <c r="G33" i="13" s="1"/>
  <c r="E123" i="2"/>
  <c r="E136" i="2" s="1"/>
  <c r="D77" i="2"/>
  <c r="D83" i="2" s="1"/>
  <c r="D96" i="2" s="1"/>
  <c r="C29" i="10"/>
  <c r="C23" i="10"/>
  <c r="J607" i="1"/>
  <c r="L534" i="1"/>
  <c r="F221" i="1"/>
  <c r="F5" i="13"/>
  <c r="D119" i="2"/>
  <c r="D120" i="2" s="1"/>
  <c r="D137" i="2" s="1"/>
  <c r="C112" i="2"/>
  <c r="C77" i="2"/>
  <c r="C83" i="2" s="1"/>
  <c r="C21" i="10"/>
  <c r="L277" i="1"/>
  <c r="E114" i="2" s="1"/>
  <c r="E120" i="2" s="1"/>
  <c r="H104" i="1"/>
  <c r="H185" i="1" s="1"/>
  <c r="G619" i="1" s="1"/>
  <c r="J619" i="1" s="1"/>
  <c r="B153" i="2"/>
  <c r="G153" i="2" s="1"/>
  <c r="F524" i="1"/>
  <c r="F535" i="1" s="1"/>
  <c r="I438" i="1"/>
  <c r="G632" i="1" s="1"/>
  <c r="D29" i="13"/>
  <c r="C29" i="13" s="1"/>
  <c r="D15" i="13"/>
  <c r="C15" i="13" s="1"/>
  <c r="J23" i="1"/>
  <c r="H33" i="13"/>
  <c r="J632" i="1" l="1"/>
  <c r="E33" i="13"/>
  <c r="D35" i="13" s="1"/>
  <c r="C8" i="13"/>
  <c r="K539" i="1"/>
  <c r="K542" i="1" s="1"/>
  <c r="F542" i="1"/>
  <c r="L535" i="1"/>
  <c r="C36" i="10"/>
  <c r="L249" i="1"/>
  <c r="L263" i="1" s="1"/>
  <c r="G622" i="1" s="1"/>
  <c r="J622" i="1" s="1"/>
  <c r="F650" i="1"/>
  <c r="C19" i="10"/>
  <c r="C28" i="10" s="1"/>
  <c r="G627" i="1"/>
  <c r="J627" i="1" s="1"/>
  <c r="H636" i="1"/>
  <c r="G636" i="1"/>
  <c r="J636" i="1" s="1"/>
  <c r="G621" i="1"/>
  <c r="J621" i="1" s="1"/>
  <c r="C120" i="2"/>
  <c r="G650" i="1"/>
  <c r="G654" i="1" s="1"/>
  <c r="C133" i="2"/>
  <c r="C136" i="2" s="1"/>
  <c r="H657" i="1"/>
  <c r="H662" i="1"/>
  <c r="C96" i="2"/>
  <c r="J33" i="1"/>
  <c r="G22" i="2"/>
  <c r="G32" i="2" s="1"/>
  <c r="G43" i="2" s="1"/>
  <c r="D5" i="13"/>
  <c r="F33" i="13"/>
  <c r="J44" i="1"/>
  <c r="H611" i="1" s="1"/>
  <c r="J611" i="1" s="1"/>
  <c r="G616" i="1"/>
  <c r="L301" i="1"/>
  <c r="L282" i="1"/>
  <c r="D22" i="10" l="1"/>
  <c r="C30" i="10"/>
  <c r="D26" i="10"/>
  <c r="D17" i="10"/>
  <c r="D11" i="10"/>
  <c r="D25" i="10"/>
  <c r="D27" i="10"/>
  <c r="D16" i="10"/>
  <c r="D24" i="10"/>
  <c r="D23" i="10"/>
  <c r="D21" i="10"/>
  <c r="D10" i="10"/>
  <c r="D13" i="10"/>
  <c r="D20" i="10"/>
  <c r="D18" i="10"/>
  <c r="D12" i="10"/>
  <c r="D15" i="10"/>
  <c r="C137" i="2"/>
  <c r="J616" i="1"/>
  <c r="G657" i="1"/>
  <c r="G662" i="1"/>
  <c r="C5" i="10" s="1"/>
  <c r="I650" i="1"/>
  <c r="I654" i="1" s="1"/>
  <c r="F654" i="1"/>
  <c r="D31" i="13"/>
  <c r="C31" i="13" s="1"/>
  <c r="L330" i="1"/>
  <c r="L344" i="1" s="1"/>
  <c r="G623" i="1" s="1"/>
  <c r="J623" i="1" s="1"/>
  <c r="D19" i="10"/>
  <c r="C5" i="13"/>
  <c r="D33" i="13"/>
  <c r="D36" i="13" s="1"/>
  <c r="C41" i="10"/>
  <c r="D36" i="10" s="1"/>
  <c r="D28" i="10" l="1"/>
  <c r="F662" i="1"/>
  <c r="C4" i="10" s="1"/>
  <c r="F657" i="1"/>
  <c r="I657" i="1"/>
  <c r="I662" i="1"/>
  <c r="C7" i="10" s="1"/>
  <c r="H646" i="1"/>
  <c r="D37" i="10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5C7681B-0867-43D7-B04D-076679E14C7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92683B5-9794-4AE4-BE2B-252E3FFCEDCB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97176D3-0ACF-41CF-A962-8F83F49E7BED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6E84146-8BFD-4174-B20C-73C058A92CF9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3DCF274-5FA7-411B-B99E-ABD49039078F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44BF54E-9C87-4A53-9962-5ED2B589B62B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0279DE22-6EC2-442A-812E-1B25E1538A5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5A37C7D-5552-4F08-94AE-D7F6C21EBC20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D36F8A03-9859-4C2C-9387-6A8464373EA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6805965-731C-429B-9350-DD53D006036D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BB6B9652-A2FC-42B4-909A-5C29FDBFF0CB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EC69CF0-5BD3-45D4-811D-2B2522C1A3E9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<sst xmlns="http://schemas.openxmlformats.org/spreadsheetml/2006/main" count="3866" uniqueCount="903">
  <si>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</si>
  <si>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</si>
  <si>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</si>
  <si>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</si>
  <si>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</si>
  <si>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</si>
  <si>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</si>
  <si>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</si>
  <si>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</si>
  <si>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</si>
  <si>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</si>
  <si>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</si>
  <si>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</si>
  <si>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</si>
  <si>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</si>
  <si>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</si>
  <si>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</si>
  <si>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</si>
  <si>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</si>
  <si>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</si>
  <si>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</si>
  <si>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</si>
  <si>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</si>
  <si>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</si>
  <si>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</si>
  <si>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</si>
  <si>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</si>
  <si>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</si>
  <si>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</si>
  <si>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</si>
  <si>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</si>
  <si>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</si>
  <si>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</si>
  <si>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</si>
  <si>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</si>
  <si>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</si>
  <si>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</si>
  <si>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</si>
  <si>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</si>
  <si>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</si>
  <si>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</si>
  <si>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</si>
  <si>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</si>
  <si>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</si>
  <si>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</si>
  <si>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</si>
  <si>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</si>
  <si>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</si>
  <si>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</si>
  <si>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</si>
  <si>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</si>
  <si>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</si>
  <si>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</si>
  <si>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</si>
  <si>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</si>
  <si>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</si>
  <si>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</si>
  <si>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</si>
  <si>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</si>
  <si>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</si>
  <si>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</si>
  <si>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</si>
  <si>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</si>
  <si>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</si>
  <si>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</si>
  <si>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</si>
  <si>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</si>
  <si>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</si>
  <si>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</si>
  <si>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</si>
  <si>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</si>
  <si>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</si>
  <si>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</si>
  <si>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</si>
  <si>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</si>
  <si>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</si>
  <si>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</si>
  <si>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</si>
  <si>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</si>
  <si>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</si>
  <si>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</si>
  <si>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</si>
  <si>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</si>
  <si>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</si>
  <si>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</si>
  <si>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</si>
  <si>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</si>
  <si>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</si>
  <si>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</si>
  <si>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</si>
  <si>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</si>
  <si>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</si>
  <si>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</si>
  <si>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</si>
  <si>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</si>
  <si>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</si>
  <si>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</si>
  <si>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</si>
  <si>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</si>
  <si>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</si>
  <si>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</si>
  <si>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</si>
  <si>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</si>
  <si>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</si>
  <si>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</si>
  <si>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</si>
  <si>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</si>
  <si>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</si>
  <si>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</si>
  <si>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</si>
  <si>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</si>
  <si>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</si>
  <si>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</si>
  <si>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</si>
  <si>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</si>
  <si>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</si>
  <si>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</si>
  <si>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</si>
  <si>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</si>
  <si>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</si>
  <si>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</si>
  <si>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</si>
  <si>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</si>
  <si>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</si>
  <si>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</si>
  <si>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</si>
  <si>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</si>
  <si>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</si>
  <si>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</si>
  <si>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</si>
  <si>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</si>
  <si>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</si>
  <si>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</si>
  <si>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</si>
  <si>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</si>
  <si>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</si>
  <si>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</si>
  <si>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</si>
  <si>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</si>
  <si>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</si>
  <si>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</si>
  <si>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</si>
  <si>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</si>
  <si>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</si>
  <si>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</si>
  <si>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</si>
  <si>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</si>
  <si>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</si>
  <si>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</si>
  <si>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</si>
  <si>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</si>
  <si>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</si>
  <si>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</si>
  <si>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</si>
  <si>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</si>
  <si>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</si>
  <si>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</si>
  <si>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</si>
  <si>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</si>
  <si>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</si>
  <si>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</si>
  <si>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</si>
  <si>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</si>
  <si>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</si>
  <si>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</si>
  <si>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</si>
  <si>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</si>
  <si>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</si>
  <si>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</si>
  <si>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</si>
  <si>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</si>
  <si>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</si>
  <si>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</si>
  <si>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</si>
  <si>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</si>
  <si>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</si>
  <si>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</si>
  <si>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</si>
  <si>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</si>
  <si>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</si>
  <si>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</si>
  <si>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</si>
  <si>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</si>
  <si>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</si>
  <si>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</si>
  <si>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</si>
  <si>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</si>
  <si>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</si>
  <si>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</si>
  <si>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</si>
  <si>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</si>
  <si>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</si>
  <si>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</si>
  <si>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</si>
  <si>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</si>
  <si>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</si>
  <si>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</si>
  <si>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</si>
  <si>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</si>
  <si>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</si>
  <si>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</si>
  <si>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</si>
  <si>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</si>
  <si>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</si>
  <si>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</si>
  <si>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</si>
  <si>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</si>
  <si>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</si>
  <si>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</si>
  <si>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</si>
  <si>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</si>
  <si>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</si>
  <si>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</si>
  <si>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</si>
  <si>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</si>
  <si>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</si>
  <si>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</si>
  <si>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</si>
  <si>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</si>
  <si>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</si>
  <si>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</si>
  <si>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</si>
  <si>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</si>
  <si>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</si>
  <si>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</si>
  <si>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</si>
  <si>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</si>
  <si>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</si>
  <si>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</si>
  <si>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</si>
  <si>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</si>
  <si>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</si>
  <si>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</si>
  <si>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</si>
  <si>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</si>
  <si>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</si>
  <si>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</si>
  <si>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</si>
  <si>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</si>
  <si>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</si>
  <si>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</si>
  <si>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</si>
  <si>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</si>
  <si>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</si>
  <si>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</si>
  <si>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</si>
  <si>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</si>
  <si>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</si>
  <si>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</si>
  <si>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</si>
  <si>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</si>
  <si>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</si>
  <si>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</si>
  <si>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</si>
  <si>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</si>
  <si>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</si>
  <si>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</si>
  <si>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</si>
  <si>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</si>
  <si>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</si>
  <si>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</si>
  <si>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</si>
  <si>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</si>
  <si>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</si>
  <si>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</si>
  <si>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</si>
  <si>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</si>
  <si>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</si>
  <si>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</si>
  <si>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</si>
  <si>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</si>
  <si>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</si>
  <si>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</si>
  <si>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</si>
  <si>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</si>
  <si>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</si>
  <si>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</si>
  <si>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</si>
  <si>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</si>
  <si>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</si>
  <si>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</si>
  <si>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</si>
  <si>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</si>
  <si>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</si>
  <si>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</si>
  <si>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</si>
  <si>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</si>
  <si>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</si>
  <si>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</si>
  <si>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</si>
  <si>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</si>
  <si>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</si>
  <si>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</si>
  <si>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</si>
  <si>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</si>
  <si>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</si>
  <si>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</si>
  <si>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</si>
  <si>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</si>
  <si>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</si>
  <si>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</si>
  <si>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</si>
  <si>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</si>
  <si>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</si>
  <si>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</si>
  <si>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</si>
  <si>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</si>
  <si>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</si>
  <si>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</si>
  <si>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</si>
  <si>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</si>
  <si>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</si>
  <si>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</si>
  <si>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</si>
  <si>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</si>
  <si>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</si>
  <si>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</si>
  <si>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</si>
  <si>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</si>
  <si>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</si>
  <si>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</si>
  <si>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</si>
  <si>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</si>
  <si>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</si>
  <si>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</si>
  <si>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</si>
  <si>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</si>
  <si>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</si>
  <si>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</si>
  <si>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</si>
  <si>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</si>
  <si>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</si>
  <si>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</si>
  <si>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</si>
  <si>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</si>
  <si>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</si>
  <si>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</si>
  <si>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</si>
  <si>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</si>
  <si>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</si>
  <si>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</si>
  <si>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</si>
  <si>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</si>
  <si>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</si>
  <si>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</si>
  <si>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</si>
  <si>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</si>
  <si>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</si>
  <si>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</si>
  <si>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</si>
  <si>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</si>
  <si>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</si>
  <si>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</si>
  <si>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</si>
  <si>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</si>
  <si>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</si>
  <si>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</si>
  <si>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</si>
  <si>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</si>
  <si>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</si>
  <si>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</si>
  <si>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</si>
  <si>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</si>
  <si>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</si>
  <si>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</si>
  <si>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</si>
  <si>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</si>
  <si>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</si>
  <si>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</si>
  <si>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</si>
  <si>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</si>
  <si>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</si>
  <si>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</si>
  <si>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</si>
  <si>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</si>
  <si>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</si>
  <si>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</si>
  <si>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</si>
  <si>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</si>
  <si>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</si>
  <si>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</si>
  <si>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</si>
  <si>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</si>
  <si>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</si>
  <si>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</si>
  <si>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</si>
  <si>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</si>
  <si>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</si>
  <si>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</si>
  <si>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</si>
  <si>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</si>
  <si>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</si>
  <si>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</si>
  <si>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</si>
  <si>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</si>
  <si>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</si>
  <si>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</si>
  <si>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</si>
  <si>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</si>
  <si>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</si>
  <si>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</si>
  <si>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</si>
  <si>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</si>
  <si>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</si>
  <si>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</si>
  <si>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</si>
  <si>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</si>
  <si>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</si>
  <si>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</si>
  <si>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</si>
  <si>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</si>
  <si>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</si>
  <si>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</si>
  <si>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</si>
  <si>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</si>
  <si>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</si>
  <si>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</si>
  <si>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</si>
  <si>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</si>
  <si>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</si>
  <si>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</si>
  <si>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</si>
  <si>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</si>
  <si>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</si>
  <si>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</si>
  <si>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</si>
  <si>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</si>
  <si>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</si>
  <si>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</si>
  <si>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</si>
  <si>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</si>
  <si>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</si>
  <si>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</si>
  <si>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</si>
  <si>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</si>
  <si>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</si>
  <si>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</si>
  <si>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</si>
  <si>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</si>
  <si>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</si>
  <si>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</si>
  <si>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</si>
  <si>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</si>
  <si>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</si>
  <si>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</si>
  <si>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</si>
  <si>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</si>
  <si>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</si>
  <si>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</si>
  <si>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</si>
  <si>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</si>
  <si>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</si>
  <si>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</si>
  <si>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</si>
  <si>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</si>
  <si>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</si>
  <si>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</si>
  <si>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</si>
  <si>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</si>
  <si>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</si>
  <si>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</si>
  <si>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</si>
  <si>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</si>
  <si>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</si>
  <si>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</si>
  <si>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</si>
  <si>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</si>
  <si>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</si>
  <si>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</si>
  <si>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</si>
  <si>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</si>
  <si>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</si>
  <si>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</si>
  <si>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</si>
  <si>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</si>
  <si>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</si>
  <si>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</si>
  <si>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</si>
  <si>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</si>
  <si>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</si>
  <si>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</si>
  <si>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</si>
  <si>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</si>
  <si>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</si>
  <si>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</si>
  <si>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</si>
  <si>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</si>
  <si>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</si>
  <si>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</si>
  <si>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</si>
  <si>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</si>
  <si>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</si>
  <si>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</si>
  <si>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</si>
  <si>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</si>
  <si>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</si>
  <si>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</si>
  <si>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</si>
  <si>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</si>
  <si>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</si>
  <si>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</si>
  <si>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</si>
  <si>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</si>
  <si>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</si>
  <si>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</si>
  <si>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</si>
  <si>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</si>
  <si>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</si>
  <si>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</si>
  <si>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</si>
  <si>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</si>
  <si>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</si>
  <si>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</si>
  <si>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</si>
  <si>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</si>
  <si>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</si>
  <si>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</si>
  <si>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</si>
  <si>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</si>
  <si>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</si>
  <si>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</si>
  <si>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</si>
  <si>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</si>
  <si>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</si>
  <si>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</si>
  <si>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</si>
  <si>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</si>
  <si>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</si>
  <si>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</si>
  <si>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</si>
  <si>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</si>
  <si>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</si>
  <si>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</si>
  <si>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</si>
  <si>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</si>
  <si>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</si>
  <si>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</si>
  <si>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</si>
  <si>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</si>
  <si>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</si>
  <si>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</si>
  <si>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</si>
  <si>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</si>
  <si>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</si>
  <si>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</si>
  <si>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</si>
  <si>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</si>
  <si>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</si>
  <si>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</si>
  <si>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</si>
  <si>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</si>
  <si>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</si>
  <si>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</si>
  <si>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</si>
  <si>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</si>
  <si>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</si>
  <si>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</si>
  <si>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</si>
  <si>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</si>
  <si>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</si>
  <si>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</si>
  <si>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</si>
  <si>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</si>
  <si>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</si>
  <si>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</si>
  <si>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</si>
  <si>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</si>
  <si>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</si>
  <si>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</si>
  <si>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</si>
  <si>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</si>
  <si>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</si>
  <si>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</si>
  <si>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</si>
  <si>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</si>
  <si>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</si>
  <si>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</si>
  <si>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</si>
  <si>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</si>
  <si>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</si>
  <si>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</si>
  <si>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</si>
  <si>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</si>
  <si>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</si>
  <si>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</si>
  <si>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</si>
  <si>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</si>
  <si>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</si>
  <si>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</si>
  <si>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</si>
  <si>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</si>
  <si>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</si>
  <si>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</si>
  <si>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</si>
  <si>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</si>
  <si>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</si>
  <si>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</si>
  <si>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</si>
  <si>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</si>
  <si>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</si>
  <si>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</si>
  <si>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</si>
  <si>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</si>
  <si>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</si>
  <si>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</si>
  <si>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</si>
  <si>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</si>
  <si>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</si>
  <si>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</si>
  <si>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</si>
  <si>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</si>
  <si>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</si>
  <si>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</si>
  <si>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</si>
  <si>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</si>
  <si>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</si>
  <si>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</si>
  <si>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</si>
  <si>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</si>
  <si>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</si>
  <si>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</si>
  <si>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</si>
  <si>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</si>
  <si>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</si>
  <si>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</si>
  <si>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</si>
  <si>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</si>
  <si>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</si>
  <si>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</si>
  <si>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</si>
  <si>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</si>
  <si>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</si>
  <si>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</si>
  <si>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</si>
  <si>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</si>
  <si>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</si>
  <si>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</si>
  <si>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</si>
  <si>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</si>
  <si>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</si>
  <si>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</si>
  <si>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</si>
  <si>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</si>
  <si>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</si>
  <si>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</si>
  <si>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</si>
  <si>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</si>
  <si>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</si>
  <si>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</si>
  <si>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</si>
  <si>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</si>
  <si>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</si>
  <si>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</si>
  <si>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</si>
  <si>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</si>
  <si>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</si>
  <si>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</si>
  <si>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</si>
  <si>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</si>
  <si>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</si>
  <si>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</si>
  <si>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</si>
  <si>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</si>
  <si>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</si>
  <si>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</si>
  <si>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</si>
  <si>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</si>
  <si>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</si>
  <si>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</si>
  <si>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</si>
  <si>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</si>
  <si>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</si>
  <si>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</si>
  <si>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</si>
  <si>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</si>
  <si>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</si>
  <si>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</si>
  <si>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</si>
  <si>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</si>
  <si>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</si>
  <si>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</si>
  <si>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</si>
  <si>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</si>
  <si>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</si>
  <si>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</si>
  <si>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</si>
  <si>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</si>
  <si>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</si>
  <si>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</si>
  <si>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</si>
  <si>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</si>
  <si>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</si>
  <si>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</si>
  <si>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</si>
  <si>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</si>
  <si>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</si>
  <si>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</si>
  <si>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</si>
  <si>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</si>
  <si>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</si>
  <si>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</si>
  <si>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</si>
  <si>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</si>
  <si>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</si>
  <si>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</si>
  <si>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</si>
  <si>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</si>
  <si>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</si>
  <si>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</si>
  <si>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</si>
  <si>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</si>
  <si>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</si>
  <si>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</si>
  <si>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</si>
  <si>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</si>
  <si>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</si>
  <si>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</si>
  <si>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</si>
  <si>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</si>
  <si>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</si>
  <si>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</si>
  <si>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</si>
  <si>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</si>
  <si>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</si>
  <si>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</si>
  <si>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</si>
  <si>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</si>
  <si>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</si>
  <si>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</si>
  <si>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</si>
  <si>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</si>
  <si>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</si>
  <si>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</si>
  <si>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</si>
  <si>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</si>
  <si>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</si>
  <si>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</si>
  <si>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</si>
  <si>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</si>
  <si>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</si>
  <si>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</si>
  <si>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</si>
  <si>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</si>
  <si>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</si>
  <si>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</si>
  <si>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</si>
  <si>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</si>
  <si>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</si>
  <si>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</si>
  <si>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</si>
  <si>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</si>
  <si>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</si>
  <si>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</si>
  <si>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</si>
  <si>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</si>
  <si>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</si>
  <si>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</si>
  <si>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</si>
  <si>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</si>
  <si>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</si>
  <si>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</si>
  <si>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</si>
  <si>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</si>
  <si>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</si>
  <si>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</si>
  <si>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</si>
  <si>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</si>
  <si>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</si>
  <si>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</si>
  <si>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</si>
  <si>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</si>
  <si>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</si>
  <si>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</si>
  <si>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</si>
  <si>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</si>
  <si>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</si>
  <si>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</si>
  <si>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</si>
  <si>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</si>
  <si>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</si>
  <si>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</si>
  <si>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</si>
  <si>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</si>
  <si>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</si>
  <si>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</si>
  <si>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</si>
  <si>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</si>
  <si>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</si>
  <si>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</si>
  <si>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</si>
  <si>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</si>
  <si>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</si>
  <si>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</si>
  <si>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</si>
  <si>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</si>
  <si>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</si>
  <si>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</si>
  <si>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</si>
  <si>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</si>
  <si>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</si>
  <si>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</si>
  <si>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</si>
  <si>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</si>
  <si>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</si>
  <si>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</si>
  <si>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</si>
  <si>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</si>
  <si>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</si>
  <si>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</si>
  <si>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</si>
  <si>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</si>
  <si>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</si>
  <si>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</si>
  <si>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</si>
  <si>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</si>
  <si>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</si>
  <si>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</si>
  <si>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</si>
  <si>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</si>
  <si>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</si>
  <si>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</si>
  <si>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</si>
  <si>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</si>
  <si>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</si>
  <si>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</si>
  <si>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</si>
  <si>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</si>
  <si>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</si>
  <si>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</si>
  <si>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</si>
  <si>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</si>
  <si>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</si>
  <si>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</si>
  <si>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</si>
  <si>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</si>
  <si>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</si>
  <si>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</si>
  <si>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</si>
  <si>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</si>
  <si>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</si>
  <si>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</si>
  <si>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</si>
  <si>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</si>
  <si>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</si>
  <si>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</si>
  <si>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</si>
  <si>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</si>
  <si>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</si>
  <si>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</si>
  <si>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</si>
  <si>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</si>
  <si>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</si>
  <si>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</si>
  <si>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</si>
  <si>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</si>
  <si>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</si>
  <si>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</si>
  <si>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</si>
  <si>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</si>
  <si>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</si>
  <si>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</si>
  <si>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</si>
  <si>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</si>
  <si>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</si>
  <si>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</si>
  <si>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</si>
  <si>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</si>
  <si>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</si>
  <si>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</si>
  <si>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</si>
  <si>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</si>
  <si>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</si>
  <si>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</si>
  <si>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</si>
  <si>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</si>
  <si>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</si>
  <si>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</si>
  <si>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</si>
  <si>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</si>
  <si>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</si>
  <si>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</si>
  <si>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</si>
  <si>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</si>
  <si>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</si>
  <si>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</si>
  <si>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</si>
  <si>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</si>
  <si>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</si>
  <si>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</si>
  <si>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</si>
  <si>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</si>
  <si>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</si>
  <si>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</si>
  <si>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</si>
  <si>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Hooksett School District</t>
  </si>
  <si>
    <t>05/02</t>
  </si>
  <si>
    <t>07/22</t>
  </si>
  <si>
    <t>Parent Paid - This amount represents the difference that familes pay for sending their students to Pembroke instead of</t>
  </si>
  <si>
    <t xml:space="preserve"> Manchester SD where the district has a contract with Hooksett SD</t>
  </si>
  <si>
    <t>1&amp; 2</t>
  </si>
  <si>
    <t>Salaries &amp; Benefits for Reg Inst &amp; Special Ed Inst.  - Contract with Manchester SD states that Hooklsett will be responsible</t>
  </si>
  <si>
    <t xml:space="preserve">  for educational staff aides for students attending Manchester SD</t>
  </si>
  <si>
    <t>Impact Fees per FY2011 - MS-24 - Estimated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</si>
</sst>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6FAD-DF2A-41A8-B115-A8ECAF1E107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103" activePane="bottomRight" state="frozen"/>
      <selection pane="topRight" activeCell="F1" sqref="F1"/>
      <selection pane="bottomLeft" activeCell="A4" sqref="A4"/>
      <selection pane="bottomRight" activeCell="G109" sqref="G10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261</v>
      </c>
      <c r="C2" s="21">
        <v>261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1371026.63</v>
      </c>
      <c r="G9" s="18"/>
      <c r="H9" s="18"/>
      <c r="I9" s="18"/>
      <c r="J9" s="67">
        <f>SUM(I431)</f>
        <v>264107.07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251167.3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39672.33</v>
      </c>
      <c r="G13" s="18">
        <v>11258.13</v>
      </c>
      <c r="H13" s="18">
        <v>256584.33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1398.39</v>
      </c>
      <c r="H14" s="18">
        <v>4.9800000000000004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1661866.26</v>
      </c>
      <c r="G19" s="41">
        <f>SUM(G9:G18)</f>
        <v>12656.519999999999</v>
      </c>
      <c r="H19" s="41">
        <f>SUM(H9:H18)</f>
        <v>256589.31</v>
      </c>
      <c r="I19" s="41">
        <f>SUM(I9:I18)</f>
        <v>0</v>
      </c>
      <c r="J19" s="41">
        <f>SUM(J9:J18)</f>
        <v>264107.07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996.96</v>
      </c>
      <c r="H23" s="18">
        <v>250170.34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383924.09</v>
      </c>
      <c r="G25" s="18">
        <v>1388.73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6940.65</v>
      </c>
      <c r="G29" s="18">
        <v>94.99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3177</v>
      </c>
      <c r="G31" s="18">
        <v>10175.84</v>
      </c>
      <c r="H31" s="18">
        <v>6418.97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394041.74000000005</v>
      </c>
      <c r="G33" s="41">
        <f>SUM(G23:G32)</f>
        <v>12656.52</v>
      </c>
      <c r="H33" s="41">
        <f>SUM(H23:H32)</f>
        <v>256589.31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212369.39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264107.07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1055455.1299999999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1267824.52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264107.07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1661866.26</v>
      </c>
      <c r="G44" s="41">
        <f>G43+G33</f>
        <v>12656.52</v>
      </c>
      <c r="H44" s="41">
        <f>H43+H33</f>
        <v>256589.31</v>
      </c>
      <c r="I44" s="41">
        <f>I43+I33</f>
        <v>0</v>
      </c>
      <c r="J44" s="41">
        <f>J43+J33</f>
        <v>264107.07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17256703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55000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17311703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12549.19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3595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8449.15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24593.34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24278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24278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1227.79</v>
      </c>
      <c r="G88" s="18"/>
      <c r="H88" s="18"/>
      <c r="I88" s="18"/>
      <c r="J88" s="18">
        <v>2279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279750.40999999997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150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22020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9734.84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8739.15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15395.53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102.36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47484.83</v>
      </c>
      <c r="G103" s="41">
        <f>SUM(G88:G102)</f>
        <v>279750.40999999997</v>
      </c>
      <c r="H103" s="41">
        <f>SUM(H88:H102)</f>
        <v>9884.84</v>
      </c>
      <c r="I103" s="41">
        <f>SUM(I88:I102)</f>
        <v>0</v>
      </c>
      <c r="J103" s="41">
        <f>SUM(J88:J102)</f>
        <v>2279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17408059.169999998</v>
      </c>
      <c r="G104" s="41">
        <f>G52+G103</f>
        <v>279750.40999999997</v>
      </c>
      <c r="H104" s="41">
        <f>H52+H71+H86+H103</f>
        <v>9884.84</v>
      </c>
      <c r="I104" s="41">
        <f>I52+I103</f>
        <v>0</v>
      </c>
      <c r="J104" s="41">
        <f>J52+J103</f>
        <v>2279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2966397.6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3675736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107590.39999999999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6749724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310500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355809.14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6207.16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15450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681759.14</v>
      </c>
      <c r="G128" s="41">
        <f>SUM(G115:G127)</f>
        <v>6207.16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750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7431483.1399999997</v>
      </c>
      <c r="G132" s="41">
        <f>G113+SUM(G128:G129)</f>
        <v>6207.16</v>
      </c>
      <c r="H132" s="41">
        <f>H113+SUM(H128:H131)</f>
        <v>750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258829.99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68915.360000000001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166067.42000000001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370358.5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133499.70000000001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133499.70000000001</v>
      </c>
      <c r="G154" s="41">
        <f>SUM(G142:G153)</f>
        <v>166067.42000000001</v>
      </c>
      <c r="H154" s="41">
        <f>SUM(H142:H153)</f>
        <v>698103.85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133499.70000000001</v>
      </c>
      <c r="G161" s="41">
        <f>G139+G154+SUM(G155:G160)</f>
        <v>166067.42000000001</v>
      </c>
      <c r="H161" s="41">
        <f>H139+H154+SUM(H155:H160)</f>
        <v>698103.85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118131.75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118131.75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118131.75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24973042.009999998</v>
      </c>
      <c r="G185" s="47">
        <f>G104+G132+G161+G184</f>
        <v>570156.74</v>
      </c>
      <c r="H185" s="47">
        <f>H104+H132+H161+H184</f>
        <v>708738.69</v>
      </c>
      <c r="I185" s="47">
        <f>I104+I132+I161+I184</f>
        <v>0</v>
      </c>
      <c r="J185" s="47">
        <f>J104+J132+J184</f>
        <v>2279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2886328.92+35395.48</f>
        <v>2921724.4</v>
      </c>
      <c r="G189" s="18">
        <f>1290237+48741.59</f>
        <v>1338978.5900000001</v>
      </c>
      <c r="H189" s="18">
        <f>656.4+32692.78+2609</f>
        <v>35958.18</v>
      </c>
      <c r="I189" s="18">
        <f>160968.52</f>
        <v>160968.51999999999</v>
      </c>
      <c r="J189" s="18">
        <f>6046.48</f>
        <v>6046.48</v>
      </c>
      <c r="K189" s="18">
        <f>169</f>
        <v>169</v>
      </c>
      <c r="L189" s="19">
        <f>SUM(F189:K189)</f>
        <v>4463845.17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489872.61+36167.53+76725+55267+72284.4</f>
        <v>730316.54</v>
      </c>
      <c r="G190" s="18">
        <f>279248.17+4219.58+41526.35+29657.73+40510.54</f>
        <v>395162.36999999994</v>
      </c>
      <c r="H190" s="18">
        <f>88825.56+51844.16+2887.95+2340.01</f>
        <v>145897.68000000002</v>
      </c>
      <c r="I190" s="18">
        <f>2445.5+196+1889.84+1126.8</f>
        <v>5658.14</v>
      </c>
      <c r="J190" s="18">
        <f>7577.33+1156</f>
        <v>8733.33</v>
      </c>
      <c r="K190" s="18">
        <f>2171+640</f>
        <v>2811</v>
      </c>
      <c r="L190" s="19">
        <f>SUM(F190:K190)</f>
        <v>1288579.0599999998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6850+5450</f>
        <v>12300</v>
      </c>
      <c r="G192" s="18">
        <f>943.68+854.03</f>
        <v>1797.71</v>
      </c>
      <c r="H192" s="18">
        <f>209.28</f>
        <v>209.28</v>
      </c>
      <c r="I192" s="18">
        <f>331.28</f>
        <v>331.28</v>
      </c>
      <c r="J192" s="18">
        <f>298.65</f>
        <v>298.64999999999998</v>
      </c>
      <c r="K192" s="18"/>
      <c r="L192" s="19">
        <f>SUM(F192:K192)</f>
        <v>14936.92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114176.18+79851.19+171180.8+13620.48</f>
        <v>378828.64999999997</v>
      </c>
      <c r="G194" s="18">
        <f>42296.99+34898.61+77949.13+791.69+1041.96</f>
        <v>156978.38</v>
      </c>
      <c r="H194" s="18">
        <f>15803.32+144+155+1250+51314.25+81823.39</f>
        <v>150489.96000000002</v>
      </c>
      <c r="I194" s="18">
        <f>591.12+3757.98+2137.37+3350.29+1263.45</f>
        <v>11100.210000000001</v>
      </c>
      <c r="J194" s="18">
        <f>362.72+1384.51</f>
        <v>1747.23</v>
      </c>
      <c r="K194" s="18">
        <f>3421.08</f>
        <v>3421.08</v>
      </c>
      <c r="L194" s="19">
        <f t="shared" ref="L194:L200" si="0">SUM(F194:K194)</f>
        <v>702565.50999999989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131355.28+36665.07</f>
        <v>168020.35</v>
      </c>
      <c r="G195" s="18">
        <f>1028.88+83128.7+22797.64</f>
        <v>106955.22</v>
      </c>
      <c r="H195" s="18">
        <f>4155.44+552.5</f>
        <v>4707.9399999999996</v>
      </c>
      <c r="I195" s="18">
        <f>21551.29+1002.89</f>
        <v>22554.18</v>
      </c>
      <c r="J195" s="18">
        <f>8281.48</f>
        <v>8281.48</v>
      </c>
      <c r="K195" s="18">
        <f>218</f>
        <v>218</v>
      </c>
      <c r="L195" s="19">
        <f t="shared" si="0"/>
        <v>310737.17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10010</f>
        <v>10010</v>
      </c>
      <c r="G196" s="18">
        <f>940.01</f>
        <v>940.01</v>
      </c>
      <c r="H196" s="18">
        <f>20438.21+365840.8</f>
        <v>386279.01</v>
      </c>
      <c r="I196" s="18">
        <f>2256.33</f>
        <v>2256.33</v>
      </c>
      <c r="J196" s="18"/>
      <c r="K196" s="18">
        <f>7584.11</f>
        <v>7584.11</v>
      </c>
      <c r="L196" s="19">
        <f t="shared" si="0"/>
        <v>407069.46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448197.39</f>
        <v>448197.39</v>
      </c>
      <c r="G197" s="18">
        <f>169039.71</f>
        <v>169039.71</v>
      </c>
      <c r="H197" s="18">
        <f>8009.95+19264.66+1390.4</f>
        <v>28665.010000000002</v>
      </c>
      <c r="I197" s="18">
        <f>6647.29</f>
        <v>6647.29</v>
      </c>
      <c r="J197" s="18">
        <f>1724.99</f>
        <v>1724.99</v>
      </c>
      <c r="K197" s="18">
        <f>2740</f>
        <v>2740</v>
      </c>
      <c r="L197" s="19">
        <f t="shared" si="0"/>
        <v>657014.39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242082.8+39788.45</f>
        <v>281871.25</v>
      </c>
      <c r="G199" s="18">
        <f>136822.77+21874.8</f>
        <v>158697.56999999998</v>
      </c>
      <c r="H199" s="18">
        <f>114704.9+20716.45+33843.67</f>
        <v>169265.02000000002</v>
      </c>
      <c r="I199" s="18">
        <f>288196.96+675.64</f>
        <v>288872.60000000003</v>
      </c>
      <c r="J199" s="18">
        <f>42198</f>
        <v>42198</v>
      </c>
      <c r="K199" s="18"/>
      <c r="L199" s="19">
        <f t="shared" si="0"/>
        <v>940904.44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7077.08+469730.04</f>
        <v>476807.12</v>
      </c>
      <c r="I200" s="18"/>
      <c r="J200" s="18"/>
      <c r="K200" s="18"/>
      <c r="L200" s="19">
        <f t="shared" si="0"/>
        <v>476807.12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57846.3+45165.25</f>
        <v>103011.55</v>
      </c>
      <c r="G201" s="18">
        <f>16154.38+23144.44</f>
        <v>39298.82</v>
      </c>
      <c r="H201" s="18">
        <f>8325.85+10782.43+1425.65</f>
        <v>20533.93</v>
      </c>
      <c r="I201" s="18">
        <f>2551.79+9181.58</f>
        <v>11733.369999999999</v>
      </c>
      <c r="J201" s="18">
        <f>99957.01</f>
        <v>99957.01</v>
      </c>
      <c r="K201" s="18"/>
      <c r="L201" s="19">
        <f>SUM(F201:K201)</f>
        <v>274534.68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5054280.129999999</v>
      </c>
      <c r="G203" s="41">
        <f t="shared" si="1"/>
        <v>2367848.3799999994</v>
      </c>
      <c r="H203" s="41">
        <f t="shared" si="1"/>
        <v>1418813.1300000001</v>
      </c>
      <c r="I203" s="41">
        <f t="shared" si="1"/>
        <v>510121.92000000004</v>
      </c>
      <c r="J203" s="41">
        <f t="shared" si="1"/>
        <v>168987.16999999998</v>
      </c>
      <c r="K203" s="41">
        <f t="shared" si="1"/>
        <v>16943.189999999999</v>
      </c>
      <c r="L203" s="41">
        <f t="shared" si="1"/>
        <v>9536993.9199999981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1827328.78+18504.18</f>
        <v>1845832.96</v>
      </c>
      <c r="G207" s="18">
        <f>756514.59+25949.09</f>
        <v>782463.67999999993</v>
      </c>
      <c r="H207" s="18">
        <f>2950+17896.93+3858</f>
        <v>24704.93</v>
      </c>
      <c r="I207" s="18">
        <f>75965.93</f>
        <v>75965.929999999993</v>
      </c>
      <c r="J207" s="18">
        <f>1971.26</f>
        <v>1971.26</v>
      </c>
      <c r="K207" s="18">
        <f>91</f>
        <v>91</v>
      </c>
      <c r="L207" s="19">
        <f>SUM(F207:K207)</f>
        <v>2731029.76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333745.81+13896.8+39862+49871+37713.6</f>
        <v>475089.20999999996</v>
      </c>
      <c r="G208" s="18">
        <f>175421.26+1190.11+6526.68+28777.33+21135.94</f>
        <v>233051.32</v>
      </c>
      <c r="H208" s="18">
        <f>81169+1416.08+27916.09+1555.04+1260</f>
        <v>113316.20999999999</v>
      </c>
      <c r="I208" s="18">
        <f>2544.01+542.37+1149.76+606.74</f>
        <v>4842.88</v>
      </c>
      <c r="J208" s="18">
        <f>925</f>
        <v>925</v>
      </c>
      <c r="K208" s="18"/>
      <c r="L208" s="19">
        <f>SUM(F208:K208)</f>
        <v>827224.62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26588.7+23924+8230</f>
        <v>58742.7</v>
      </c>
      <c r="G210" s="18">
        <f>4336.9+2809.83+1267.49</f>
        <v>8414.2199999999993</v>
      </c>
      <c r="H210" s="18">
        <f>308.75+7603.7+290</f>
        <v>8202.4500000000007</v>
      </c>
      <c r="I210" s="18">
        <f>5866.16+1086.17+573.39</f>
        <v>7525.72</v>
      </c>
      <c r="J210" s="18">
        <f>5546.94+3752.25</f>
        <v>9299.1899999999987</v>
      </c>
      <c r="K210" s="18">
        <f>1020.55+400</f>
        <v>1420.55</v>
      </c>
      <c r="L210" s="19">
        <f>SUM(F210:K210)</f>
        <v>93604.83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107379.01+39228.3+67415+51885.6+7334.1</f>
        <v>273242.00999999995</v>
      </c>
      <c r="G212" s="18">
        <f>34469.87+16015.07+31657.72+17205.06+426.3+561.06</f>
        <v>100335.08</v>
      </c>
      <c r="H212" s="18">
        <f>5500+200+2550+4899.5+719.38+27630.75+44058.74</f>
        <v>85558.37</v>
      </c>
      <c r="I212" s="18">
        <f>177.23+1752.79+229.75+410.09+2316.23</f>
        <v>4886.09</v>
      </c>
      <c r="J212" s="18"/>
      <c r="K212" s="18">
        <f>1842.12</f>
        <v>1842.12</v>
      </c>
      <c r="L212" s="19">
        <f t="shared" ref="L212:L218" si="2">SUM(F212:K212)</f>
        <v>465863.67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17545.5+19742.73</f>
        <v>37288.229999999996</v>
      </c>
      <c r="G213" s="18">
        <f>626.65+11616.47+12275.65</f>
        <v>24518.769999999997</v>
      </c>
      <c r="H213" s="18">
        <f>3584.82+297.5</f>
        <v>3882.32</v>
      </c>
      <c r="I213" s="18">
        <f>9961.36+540.02</f>
        <v>10501.380000000001</v>
      </c>
      <c r="J213" s="18">
        <f>6622.56</f>
        <v>6622.56</v>
      </c>
      <c r="K213" s="18">
        <f>257.5</f>
        <v>257.5</v>
      </c>
      <c r="L213" s="19">
        <f t="shared" si="2"/>
        <v>83070.759999999995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5390</f>
        <v>5390</v>
      </c>
      <c r="G214" s="18">
        <f>506.15</f>
        <v>506.15</v>
      </c>
      <c r="H214" s="18">
        <f>11005.19+196991.2</f>
        <v>207996.39</v>
      </c>
      <c r="I214" s="18">
        <f>1214.95</f>
        <v>1214.95</v>
      </c>
      <c r="J214" s="18"/>
      <c r="K214" s="18">
        <f>4083.74</f>
        <v>4083.74</v>
      </c>
      <c r="L214" s="19">
        <f t="shared" si="2"/>
        <v>219191.23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217340.02</f>
        <v>217340.02</v>
      </c>
      <c r="G215" s="18">
        <f>76707.59</f>
        <v>76707.59</v>
      </c>
      <c r="H215" s="18">
        <f>6255.88+14202.93+748.67</f>
        <v>21207.48</v>
      </c>
      <c r="I215" s="18">
        <f>2819.01</f>
        <v>2819.01</v>
      </c>
      <c r="J215" s="18">
        <f>1188.73</f>
        <v>1188.73</v>
      </c>
      <c r="K215" s="18">
        <f>1458.94</f>
        <v>1458.94</v>
      </c>
      <c r="L215" s="19">
        <f t="shared" si="2"/>
        <v>320721.76999999996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168237.29+21424.55</f>
        <v>189661.84</v>
      </c>
      <c r="G217" s="18">
        <f>79397.23+11778.74</f>
        <v>91175.97</v>
      </c>
      <c r="H217" s="18">
        <f>96430.34+11155.01+18223.52</f>
        <v>125808.87</v>
      </c>
      <c r="I217" s="18">
        <f>216190.3+363.81</f>
        <v>216554.11</v>
      </c>
      <c r="J217" s="18">
        <f>16455.95</f>
        <v>16455.95</v>
      </c>
      <c r="K217" s="18"/>
      <c r="L217" s="19">
        <f t="shared" si="2"/>
        <v>639656.74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20917.25+244810.55</f>
        <v>265727.8</v>
      </c>
      <c r="I218" s="18"/>
      <c r="J218" s="18"/>
      <c r="K218" s="18"/>
      <c r="L218" s="19">
        <f t="shared" si="2"/>
        <v>265727.8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24319.75</f>
        <v>24319.75</v>
      </c>
      <c r="G219" s="18">
        <f>12462.39</f>
        <v>12462.39</v>
      </c>
      <c r="H219" s="18">
        <f>4483.15+5805.93+767.66</f>
        <v>11056.74</v>
      </c>
      <c r="I219" s="18">
        <f>8103.32+4943.92</f>
        <v>13047.24</v>
      </c>
      <c r="J219" s="18">
        <f>53823.01</f>
        <v>53823.01</v>
      </c>
      <c r="K219" s="18"/>
      <c r="L219" s="19">
        <f>SUM(F219:K219)</f>
        <v>114709.13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3126906.7199999997</v>
      </c>
      <c r="G221" s="41">
        <f>SUM(G207:G220)</f>
        <v>1329635.17</v>
      </c>
      <c r="H221" s="41">
        <f>SUM(H207:H220)</f>
        <v>867461.56</v>
      </c>
      <c r="I221" s="41">
        <f>SUM(I207:I220)</f>
        <v>337357.30999999994</v>
      </c>
      <c r="J221" s="41">
        <f>SUM(J207:J220)</f>
        <v>90285.700000000012</v>
      </c>
      <c r="K221" s="41">
        <f t="shared" si="3"/>
        <v>9153.85</v>
      </c>
      <c r="L221" s="41">
        <f t="shared" si="3"/>
        <v>5760800.3099999996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21641.85</f>
        <v>21641.85</v>
      </c>
      <c r="G225" s="18">
        <f>11558.37</f>
        <v>11558.37</v>
      </c>
      <c r="H225" s="18">
        <f>5048490.12</f>
        <v>5048490.12</v>
      </c>
      <c r="I225" s="18"/>
      <c r="J225" s="18"/>
      <c r="K225" s="18"/>
      <c r="L225" s="19">
        <f>SUM(F225:K225)</f>
        <v>5081690.34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203190.64+47142.01</f>
        <v>250332.65000000002</v>
      </c>
      <c r="G226" s="18">
        <f>120466.02+26419.92</f>
        <v>146885.94</v>
      </c>
      <c r="H226" s="18">
        <f>1945648.62</f>
        <v>1945648.62</v>
      </c>
      <c r="I226" s="18"/>
      <c r="J226" s="18"/>
      <c r="K226" s="18"/>
      <c r="L226" s="19">
        <f>SUM(F226:K226)</f>
        <v>2342867.21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f>15450</f>
        <v>15450</v>
      </c>
      <c r="I228" s="18"/>
      <c r="J228" s="18"/>
      <c r="K228" s="18"/>
      <c r="L228" s="19">
        <f>SUM(F228:K228)</f>
        <v>15450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280012.21</f>
        <v>280012.21000000002</v>
      </c>
      <c r="I236" s="18"/>
      <c r="J236" s="18"/>
      <c r="K236" s="18"/>
      <c r="L236" s="19">
        <f t="shared" si="4"/>
        <v>280012.21000000002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271974.5</v>
      </c>
      <c r="G239" s="41">
        <f t="shared" si="5"/>
        <v>158444.31</v>
      </c>
      <c r="H239" s="41">
        <f t="shared" si="5"/>
        <v>7289600.9500000002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7720019.7599999998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13880+2638.79</f>
        <v>16518.79</v>
      </c>
      <c r="I247" s="18"/>
      <c r="J247" s="18"/>
      <c r="K247" s="18"/>
      <c r="L247" s="19">
        <f t="shared" si="6"/>
        <v>16518.79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16518.79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16518.79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8453161.3499999978</v>
      </c>
      <c r="G249" s="41">
        <f t="shared" si="8"/>
        <v>3855927.8599999994</v>
      </c>
      <c r="H249" s="41">
        <f t="shared" si="8"/>
        <v>9592394.4299999997</v>
      </c>
      <c r="I249" s="41">
        <f t="shared" si="8"/>
        <v>847479.23</v>
      </c>
      <c r="J249" s="41">
        <f t="shared" si="8"/>
        <v>259272.87</v>
      </c>
      <c r="K249" s="41">
        <f t="shared" si="8"/>
        <v>26097.040000000001</v>
      </c>
      <c r="L249" s="41">
        <f t="shared" si="8"/>
        <v>23034332.779999994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1035000</v>
      </c>
      <c r="L252" s="19">
        <f>SUM(F252:K252)</f>
        <v>1035000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602922.5</v>
      </c>
      <c r="L253" s="19">
        <f>SUM(F253:K253)</f>
        <v>602922.5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118131.75</v>
      </c>
      <c r="L255" s="19">
        <f>SUM(F255:K255)</f>
        <v>118131.75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1756054.25</v>
      </c>
      <c r="L262" s="41">
        <f t="shared" si="9"/>
        <v>1756054.25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8453161.3499999978</v>
      </c>
      <c r="G263" s="42">
        <f t="shared" si="11"/>
        <v>3855927.8599999994</v>
      </c>
      <c r="H263" s="42">
        <f t="shared" si="11"/>
        <v>9592394.4299999997</v>
      </c>
      <c r="I263" s="42">
        <f t="shared" si="11"/>
        <v>847479.23</v>
      </c>
      <c r="J263" s="42">
        <f t="shared" si="11"/>
        <v>259272.87</v>
      </c>
      <c r="K263" s="42">
        <f t="shared" si="11"/>
        <v>1782151.29</v>
      </c>
      <c r="L263" s="42">
        <f t="shared" si="11"/>
        <v>24790387.029999994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81908.88+10622.5</f>
        <v>92531.38</v>
      </c>
      <c r="G268" s="18">
        <f>8952.18+1504.76</f>
        <v>10456.94</v>
      </c>
      <c r="H268" s="18">
        <f>13138.88</f>
        <v>13138.88</v>
      </c>
      <c r="I268" s="18">
        <f>389.35+4295.45</f>
        <v>4684.8</v>
      </c>
      <c r="J268" s="18">
        <f>1197.95+8130</f>
        <v>9327.9500000000007</v>
      </c>
      <c r="K268" s="18"/>
      <c r="L268" s="19">
        <f>SUM(F268:K268)</f>
        <v>130139.95000000001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80005.61+3990</f>
        <v>83995.61</v>
      </c>
      <c r="G269" s="18">
        <f>9198.82+565.4</f>
        <v>9764.2199999999993</v>
      </c>
      <c r="H269" s="18">
        <f>11921</f>
        <v>11921</v>
      </c>
      <c r="I269" s="18">
        <f>10779.04+422.69</f>
        <v>11201.730000000001</v>
      </c>
      <c r="J269" s="18">
        <f>2137.56</f>
        <v>2137.56</v>
      </c>
      <c r="K269" s="18"/>
      <c r="L269" s="19">
        <f>SUM(F269:K269)</f>
        <v>119020.12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6500</f>
        <v>6500</v>
      </c>
      <c r="G271" s="18">
        <f>1005.79</f>
        <v>1005.79</v>
      </c>
      <c r="H271" s="18">
        <f>900</f>
        <v>900</v>
      </c>
      <c r="I271" s="18"/>
      <c r="J271" s="18"/>
      <c r="K271" s="18"/>
      <c r="L271" s="19">
        <f>SUM(F271:K271)</f>
        <v>8405.7900000000009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28338.7</f>
        <v>28338.7</v>
      </c>
      <c r="G273" s="18">
        <f>4399.46</f>
        <v>4399.46</v>
      </c>
      <c r="H273" s="18">
        <f>38086.66</f>
        <v>38086.660000000003</v>
      </c>
      <c r="I273" s="18">
        <f>1857.75</f>
        <v>1857.75</v>
      </c>
      <c r="J273" s="18"/>
      <c r="K273" s="18"/>
      <c r="L273" s="19">
        <f t="shared" ref="L273:L279" si="12">SUM(F273:K273)</f>
        <v>72682.570000000007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8443.72+1400</f>
        <v>9843.7199999999993</v>
      </c>
      <c r="G274" s="18">
        <f>1302.13+214.44</f>
        <v>1516.5700000000002</v>
      </c>
      <c r="H274" s="18">
        <f>480.44+57721.5+12540+3250</f>
        <v>73991.94</v>
      </c>
      <c r="I274" s="18">
        <f>3418.76+874.79</f>
        <v>4293.55</v>
      </c>
      <c r="J274" s="18"/>
      <c r="K274" s="18"/>
      <c r="L274" s="19">
        <f t="shared" si="12"/>
        <v>89645.78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11291.92+8629.29</f>
        <v>19921.21</v>
      </c>
      <c r="L277" s="19">
        <f t="shared" si="12"/>
        <v>19921.21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221209.41</v>
      </c>
      <c r="G282" s="42">
        <f t="shared" si="13"/>
        <v>27142.98</v>
      </c>
      <c r="H282" s="42">
        <f t="shared" si="13"/>
        <v>138038.48000000001</v>
      </c>
      <c r="I282" s="42">
        <f t="shared" si="13"/>
        <v>22037.83</v>
      </c>
      <c r="J282" s="42">
        <f t="shared" si="13"/>
        <v>11465.51</v>
      </c>
      <c r="K282" s="42">
        <f t="shared" si="13"/>
        <v>19921.21</v>
      </c>
      <c r="L282" s="41">
        <f t="shared" si="13"/>
        <v>439815.4200000001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4590+44104.78</f>
        <v>48694.78</v>
      </c>
      <c r="G287" s="18">
        <f>31861.56+4820.41</f>
        <v>36681.97</v>
      </c>
      <c r="H287" s="18">
        <f>7074.78</f>
        <v>7074.78</v>
      </c>
      <c r="I287" s="18">
        <f>209.65</f>
        <v>209.65</v>
      </c>
      <c r="J287" s="18">
        <f>645.05</f>
        <v>645.04999999999995</v>
      </c>
      <c r="K287" s="18"/>
      <c r="L287" s="19">
        <f>SUM(F287:K287)</f>
        <v>93306.23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43079.95</f>
        <v>43079.95</v>
      </c>
      <c r="G288" s="18">
        <f>4953.21</f>
        <v>4953.21</v>
      </c>
      <c r="H288" s="18">
        <f>6419</f>
        <v>6419</v>
      </c>
      <c r="I288" s="18">
        <f>5804.1</f>
        <v>5804.1</v>
      </c>
      <c r="J288" s="18">
        <f>1150.99</f>
        <v>1150.99</v>
      </c>
      <c r="K288" s="18"/>
      <c r="L288" s="19">
        <f>SUM(F288:K288)</f>
        <v>61407.249999999993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2000+3500</f>
        <v>5500</v>
      </c>
      <c r="G290" s="18">
        <f>541.59</f>
        <v>541.59</v>
      </c>
      <c r="H290" s="18"/>
      <c r="I290" s="18"/>
      <c r="J290" s="18"/>
      <c r="K290" s="18"/>
      <c r="L290" s="19">
        <f>SUM(F290:K290)</f>
        <v>6041.59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2120+15259.3</f>
        <v>17379.3</v>
      </c>
      <c r="G292" s="18">
        <v>2368.96</v>
      </c>
      <c r="H292" s="18">
        <f>675+20508.19</f>
        <v>21183.19</v>
      </c>
      <c r="I292" s="18">
        <f>1000.32</f>
        <v>1000.32</v>
      </c>
      <c r="J292" s="18"/>
      <c r="K292" s="18"/>
      <c r="L292" s="19">
        <f t="shared" ref="L292:L298" si="14">SUM(F292:K292)</f>
        <v>41931.769999999997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4546.62</f>
        <v>4546.62</v>
      </c>
      <c r="G293" s="18">
        <f>324.45+701.15</f>
        <v>1025.5999999999999</v>
      </c>
      <c r="H293" s="18">
        <f>7500+31080.79+258.7</f>
        <v>38839.49</v>
      </c>
      <c r="I293" s="18">
        <f>1390.93+1840.87</f>
        <v>3231.8</v>
      </c>
      <c r="J293" s="18">
        <v>9394</v>
      </c>
      <c r="K293" s="18"/>
      <c r="L293" s="19">
        <f t="shared" si="14"/>
        <v>57037.51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f>3118.66+6080.26</f>
        <v>9198.92</v>
      </c>
      <c r="L296" s="19">
        <f t="shared" si="14"/>
        <v>9198.92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119200.65</v>
      </c>
      <c r="G301" s="42">
        <f t="shared" si="15"/>
        <v>45571.329999999994</v>
      </c>
      <c r="H301" s="42">
        <f t="shared" si="15"/>
        <v>73516.459999999992</v>
      </c>
      <c r="I301" s="42">
        <f t="shared" si="15"/>
        <v>10245.869999999999</v>
      </c>
      <c r="J301" s="42">
        <f t="shared" si="15"/>
        <v>11190.04</v>
      </c>
      <c r="K301" s="42">
        <f t="shared" si="15"/>
        <v>9198.92</v>
      </c>
      <c r="L301" s="41">
        <f t="shared" si="15"/>
        <v>268923.26999999996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340410.06</v>
      </c>
      <c r="G330" s="41">
        <f t="shared" si="20"/>
        <v>72714.31</v>
      </c>
      <c r="H330" s="41">
        <f t="shared" si="20"/>
        <v>211554.94</v>
      </c>
      <c r="I330" s="41">
        <f t="shared" si="20"/>
        <v>32283.7</v>
      </c>
      <c r="J330" s="41">
        <f t="shared" si="20"/>
        <v>22655.550000000003</v>
      </c>
      <c r="K330" s="41">
        <f t="shared" si="20"/>
        <v>29120.129999999997</v>
      </c>
      <c r="L330" s="41">
        <f t="shared" si="20"/>
        <v>708738.69000000006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340410.06</v>
      </c>
      <c r="G344" s="41">
        <f>G330</f>
        <v>72714.31</v>
      </c>
      <c r="H344" s="41">
        <f>H330</f>
        <v>211554.94</v>
      </c>
      <c r="I344" s="41">
        <f>I330</f>
        <v>32283.7</v>
      </c>
      <c r="J344" s="41">
        <f>J330</f>
        <v>22655.550000000003</v>
      </c>
      <c r="K344" s="47">
        <f>K330+K343</f>
        <v>29120.129999999997</v>
      </c>
      <c r="L344" s="41">
        <f>L330+L343</f>
        <v>708738.69000000006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142918.15</v>
      </c>
      <c r="G350" s="18">
        <v>113582.98</v>
      </c>
      <c r="H350" s="18">
        <v>2982.46</v>
      </c>
      <c r="I350" s="18">
        <v>126759.34</v>
      </c>
      <c r="J350" s="18">
        <v>174.4</v>
      </c>
      <c r="K350" s="18"/>
      <c r="L350" s="13">
        <f>SUM(F350:K350)</f>
        <v>386417.33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77473.87</v>
      </c>
      <c r="G351" s="18">
        <v>33953.79</v>
      </c>
      <c r="H351" s="18">
        <v>3848.12</v>
      </c>
      <c r="I351" s="18">
        <v>68255.03</v>
      </c>
      <c r="J351" s="18">
        <v>208.6</v>
      </c>
      <c r="K351" s="18"/>
      <c r="L351" s="19">
        <f>SUM(F351:K351)</f>
        <v>183739.41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220392.02</v>
      </c>
      <c r="G354" s="47">
        <f t="shared" si="22"/>
        <v>147536.76999999999</v>
      </c>
      <c r="H354" s="47">
        <f t="shared" si="22"/>
        <v>6830.58</v>
      </c>
      <c r="I354" s="47">
        <f t="shared" si="22"/>
        <v>195014.37</v>
      </c>
      <c r="J354" s="47">
        <f t="shared" si="22"/>
        <v>383</v>
      </c>
      <c r="K354" s="47">
        <f t="shared" si="22"/>
        <v>0</v>
      </c>
      <c r="L354" s="47">
        <f t="shared" si="22"/>
        <v>570156.74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98146.95</v>
      </c>
      <c r="G359" s="18">
        <v>52848.36</v>
      </c>
      <c r="H359" s="18"/>
      <c r="I359" s="56">
        <f>SUM(F359:H359)</f>
        <v>150995.31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28612.39</v>
      </c>
      <c r="G360" s="63">
        <v>15406.67</v>
      </c>
      <c r="H360" s="63"/>
      <c r="I360" s="56">
        <f>SUM(F360:H360)</f>
        <v>44019.06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126759.34</v>
      </c>
      <c r="G361" s="47">
        <f>SUM(G359:G360)</f>
        <v>68255.03</v>
      </c>
      <c r="H361" s="47">
        <f>SUM(H359:H360)</f>
        <v>0</v>
      </c>
      <c r="I361" s="47">
        <f>SUM(I359:I360)</f>
        <v>195014.37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451.86</v>
      </c>
      <c r="I380" s="18"/>
      <c r="J380" s="24" t="s">
        <v>312</v>
      </c>
      <c r="K380" s="24" t="s">
        <v>312</v>
      </c>
      <c r="L380" s="56">
        <f t="shared" si="25"/>
        <v>451.86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451.86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451.86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1824.4</v>
      </c>
      <c r="I389" s="18"/>
      <c r="J389" s="24" t="s">
        <v>312</v>
      </c>
      <c r="K389" s="24" t="s">
        <v>312</v>
      </c>
      <c r="L389" s="56">
        <f t="shared" si="26"/>
        <v>1824.4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2.74</v>
      </c>
      <c r="I391" s="18"/>
      <c r="J391" s="24" t="s">
        <v>312</v>
      </c>
      <c r="K391" s="24" t="s">
        <v>312</v>
      </c>
      <c r="L391" s="56">
        <f t="shared" si="26"/>
        <v>2.74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1827.14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1827.14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2279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2279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52366.28</v>
      </c>
      <c r="G431" s="18">
        <v>211740.79</v>
      </c>
      <c r="H431" s="18"/>
      <c r="I431" s="56">
        <f t="shared" ref="I431:I437" si="33">SUM(F431:H431)</f>
        <v>264107.07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52366.28</v>
      </c>
      <c r="G438" s="13">
        <f>SUM(G431:G437)</f>
        <v>211740.79</v>
      </c>
      <c r="H438" s="13">
        <f>SUM(H431:H437)</f>
        <v>0</v>
      </c>
      <c r="I438" s="13">
        <f>SUM(I431:I437)</f>
        <v>264107.07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52366.28</v>
      </c>
      <c r="G449" s="18">
        <v>211740.79</v>
      </c>
      <c r="H449" s="18"/>
      <c r="I449" s="56">
        <f>SUM(F449:H449)</f>
        <v>264107.07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52366.28</v>
      </c>
      <c r="G450" s="83">
        <f>SUM(G446:G449)</f>
        <v>211740.79</v>
      </c>
      <c r="H450" s="83">
        <f>SUM(H446:H449)</f>
        <v>0</v>
      </c>
      <c r="I450" s="83">
        <f>SUM(I446:I449)</f>
        <v>264107.07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52366.28</v>
      </c>
      <c r="G451" s="42">
        <f>G444+G450</f>
        <v>211740.79</v>
      </c>
      <c r="H451" s="42">
        <f>H444+H450</f>
        <v>0</v>
      </c>
      <c r="I451" s="42">
        <f>I444+I450</f>
        <v>264107.07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1085169.54</v>
      </c>
      <c r="G455" s="18"/>
      <c r="H455" s="18"/>
      <c r="I455" s="18"/>
      <c r="J455" s="18">
        <v>261828.07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24973042.010000002</v>
      </c>
      <c r="G458" s="18">
        <v>570156.74</v>
      </c>
      <c r="H458" s="18">
        <v>708738.69</v>
      </c>
      <c r="I458" s="18"/>
      <c r="J458" s="18">
        <v>2279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24973042.010000002</v>
      </c>
      <c r="G460" s="53">
        <f>SUM(G458:G459)</f>
        <v>570156.74</v>
      </c>
      <c r="H460" s="53">
        <f>SUM(H458:H459)</f>
        <v>708738.69</v>
      </c>
      <c r="I460" s="53">
        <f>SUM(I458:I459)</f>
        <v>0</v>
      </c>
      <c r="J460" s="53">
        <f>SUM(J458:J459)</f>
        <v>2279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24790387.030000001</v>
      </c>
      <c r="G462" s="18">
        <v>570156.74</v>
      </c>
      <c r="H462" s="18">
        <v>708738.69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24790387.030000001</v>
      </c>
      <c r="G464" s="53">
        <f>SUM(G462:G463)</f>
        <v>570156.74</v>
      </c>
      <c r="H464" s="53">
        <f>SUM(H462:H463)</f>
        <v>708738.69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1267824.5199999996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264107.07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30732213.059999999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4.51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13435000</v>
      </c>
      <c r="G485" s="18"/>
      <c r="H485" s="18"/>
      <c r="I485" s="18"/>
      <c r="J485" s="18"/>
      <c r="K485" s="53">
        <f>SUM(F485:J485)</f>
        <v>13435000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1637922.5</v>
      </c>
      <c r="G487" s="18"/>
      <c r="H487" s="18"/>
      <c r="I487" s="18"/>
      <c r="J487" s="18"/>
      <c r="K487" s="53">
        <f t="shared" si="34"/>
        <v>1637922.5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12400000</v>
      </c>
      <c r="G488" s="205"/>
      <c r="H488" s="205"/>
      <c r="I488" s="205"/>
      <c r="J488" s="205"/>
      <c r="K488" s="206">
        <f t="shared" si="34"/>
        <v>12400000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3638375</v>
      </c>
      <c r="G489" s="18"/>
      <c r="H489" s="18"/>
      <c r="I489" s="18"/>
      <c r="J489" s="18"/>
      <c r="K489" s="53">
        <f t="shared" si="34"/>
        <v>3638375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16038375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16038375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1035000</v>
      </c>
      <c r="G491" s="205"/>
      <c r="H491" s="205"/>
      <c r="I491" s="205"/>
      <c r="J491" s="205"/>
      <c r="K491" s="206">
        <f t="shared" si="34"/>
        <v>1035000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562040</v>
      </c>
      <c r="G492" s="18"/>
      <c r="H492" s="18"/>
      <c r="I492" s="18"/>
      <c r="J492" s="18"/>
      <c r="K492" s="53">
        <f t="shared" si="34"/>
        <v>562040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1597040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1597040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489872.61+36167.53+76725+80005.61+3990</f>
        <v>686760.75</v>
      </c>
      <c r="G511" s="18">
        <f>279248.17+4219.58+41526.35+9198.82+565.4</f>
        <v>334758.32</v>
      </c>
      <c r="H511" s="18">
        <f>190.5+87377.56</f>
        <v>87568.06</v>
      </c>
      <c r="I511" s="18">
        <f>2445.5+196+10779.04+2280.44</f>
        <v>15700.980000000001</v>
      </c>
      <c r="J511" s="18">
        <f>7577.33+2137.56</f>
        <v>9714.89</v>
      </c>
      <c r="K511" s="18">
        <f>2171</f>
        <v>2171</v>
      </c>
      <c r="L511" s="88">
        <f>SUM(F511:K511)</f>
        <v>1136674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333745.81+13896.8+39862+43079.95</f>
        <v>430584.56</v>
      </c>
      <c r="G512" s="18">
        <f>175421.26+1190.11+6526.68+4953.21</f>
        <v>188091.25999999998</v>
      </c>
      <c r="H512" s="18">
        <f>49.53+80465</f>
        <v>80514.53</v>
      </c>
      <c r="I512" s="18">
        <f>2544.01+542.37+5804.1+1000.32</f>
        <v>9890.7999999999993</v>
      </c>
      <c r="J512" s="18">
        <f>925+1150.99</f>
        <v>2075.9899999999998</v>
      </c>
      <c r="K512" s="18"/>
      <c r="L512" s="88">
        <f>SUM(F512:K512)</f>
        <v>711157.14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203190.64</f>
        <v>203190.64</v>
      </c>
      <c r="G513" s="18">
        <f>120466.02</f>
        <v>120466.02</v>
      </c>
      <c r="H513" s="18">
        <f>140.97+1945648.62</f>
        <v>1945789.59</v>
      </c>
      <c r="I513" s="18"/>
      <c r="J513" s="18"/>
      <c r="K513" s="18"/>
      <c r="L513" s="88">
        <f>SUM(F513:K513)</f>
        <v>2269446.25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1320535.9500000002</v>
      </c>
      <c r="G514" s="108">
        <f t="shared" ref="G514:L514" si="35">SUM(G511:G513)</f>
        <v>643315.6</v>
      </c>
      <c r="H514" s="108">
        <f t="shared" si="35"/>
        <v>2113872.1800000002</v>
      </c>
      <c r="I514" s="108">
        <f t="shared" si="35"/>
        <v>25591.78</v>
      </c>
      <c r="J514" s="108">
        <f t="shared" si="35"/>
        <v>11790.88</v>
      </c>
      <c r="K514" s="108">
        <f t="shared" si="35"/>
        <v>2171</v>
      </c>
      <c r="L514" s="89">
        <f t="shared" si="35"/>
        <v>4117277.39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10477.29+171180.8+28338.7</f>
        <v>209996.79</v>
      </c>
      <c r="G516" s="18">
        <f>609+801.51+77949.13+4399.46</f>
        <v>83759.100000000006</v>
      </c>
      <c r="H516" s="18">
        <f>39472.5+102630.7+1250+50007.66</f>
        <v>193360.86000000002</v>
      </c>
      <c r="I516" s="18">
        <f>2137.37+3350.29</f>
        <v>5487.66</v>
      </c>
      <c r="J516" s="18">
        <f>1384.51</f>
        <v>1384.51</v>
      </c>
      <c r="K516" s="18"/>
      <c r="L516" s="88">
        <f>SUM(F516:K516)</f>
        <v>493988.92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2724.1+67415+51885.6+15259.3</f>
        <v>137284</v>
      </c>
      <c r="G517" s="18">
        <f>158.34+208.39+31657.72+17205.06+2368.96</f>
        <v>51598.47</v>
      </c>
      <c r="H517" s="18">
        <f>10262.85+26683.98+2550+26927.19</f>
        <v>66424.02</v>
      </c>
      <c r="I517" s="18">
        <f>229.75+410.09</f>
        <v>639.83999999999992</v>
      </c>
      <c r="J517" s="18"/>
      <c r="K517" s="18"/>
      <c r="L517" s="88">
        <f>SUM(F517:K517)</f>
        <v>255946.33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7753.19</f>
        <v>7753.19</v>
      </c>
      <c r="G518" s="18">
        <f>450.65+593.12</f>
        <v>1043.77</v>
      </c>
      <c r="H518" s="18">
        <f>29209.65+75946.7</f>
        <v>105156.35</v>
      </c>
      <c r="I518" s="18"/>
      <c r="J518" s="18"/>
      <c r="K518" s="18"/>
      <c r="L518" s="88">
        <f>SUM(F518:K518)</f>
        <v>113953.31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355033.98000000004</v>
      </c>
      <c r="G519" s="89">
        <f t="shared" ref="G519:L519" si="36">SUM(G516:G518)</f>
        <v>136401.34</v>
      </c>
      <c r="H519" s="89">
        <f t="shared" si="36"/>
        <v>364941.23</v>
      </c>
      <c r="I519" s="89">
        <f t="shared" si="36"/>
        <v>6127.5</v>
      </c>
      <c r="J519" s="89">
        <f t="shared" si="36"/>
        <v>1384.51</v>
      </c>
      <c r="K519" s="89">
        <f t="shared" si="36"/>
        <v>0</v>
      </c>
      <c r="L519" s="89">
        <f t="shared" si="36"/>
        <v>863888.56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78570.01</f>
        <v>78570.009999999995</v>
      </c>
      <c r="G521" s="18">
        <f>44033.22</f>
        <v>44033.22</v>
      </c>
      <c r="H521" s="18">
        <f>2221.5+3248.01</f>
        <v>5469.51</v>
      </c>
      <c r="I521" s="18">
        <f>866.77</f>
        <v>866.77</v>
      </c>
      <c r="J521" s="18"/>
      <c r="K521" s="18"/>
      <c r="L521" s="88">
        <f>SUM(F521:K521)</f>
        <v>128939.51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20428.2</f>
        <v>20428.2</v>
      </c>
      <c r="G522" s="18">
        <f>11448.65</f>
        <v>11448.65</v>
      </c>
      <c r="H522" s="18">
        <f>577.59+1172.01</f>
        <v>1749.6</v>
      </c>
      <c r="I522" s="18">
        <f>225.36</f>
        <v>225.36</v>
      </c>
      <c r="J522" s="18"/>
      <c r="K522" s="18"/>
      <c r="L522" s="88">
        <f>SUM(F522:K522)</f>
        <v>33851.81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58141.8</f>
        <v>58141.8</v>
      </c>
      <c r="G523" s="18">
        <f>32584.53</f>
        <v>32584.53</v>
      </c>
      <c r="H523" s="18">
        <f>1643.9+1331.99</f>
        <v>2975.8900000000003</v>
      </c>
      <c r="I523" s="18">
        <f>641.41</f>
        <v>641.41</v>
      </c>
      <c r="J523" s="18"/>
      <c r="K523" s="18"/>
      <c r="L523" s="88">
        <f>SUM(F523:K523)</f>
        <v>94343.63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157140.01</v>
      </c>
      <c r="G524" s="89">
        <f t="shared" ref="G524:L524" si="37">SUM(G521:G523)</f>
        <v>88066.4</v>
      </c>
      <c r="H524" s="89">
        <f t="shared" si="37"/>
        <v>10195</v>
      </c>
      <c r="I524" s="89">
        <f t="shared" si="37"/>
        <v>1733.54</v>
      </c>
      <c r="J524" s="89">
        <f t="shared" si="37"/>
        <v>0</v>
      </c>
      <c r="K524" s="89">
        <f t="shared" si="37"/>
        <v>0</v>
      </c>
      <c r="L524" s="89">
        <f t="shared" si="37"/>
        <v>257134.95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15569.4</v>
      </c>
      <c r="I526" s="18"/>
      <c r="J526" s="18"/>
      <c r="K526" s="18"/>
      <c r="L526" s="88">
        <f>SUM(F526:K526)</f>
        <v>15569.4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15569.4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15569.4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152946.96</v>
      </c>
      <c r="I531" s="18"/>
      <c r="J531" s="18"/>
      <c r="K531" s="18"/>
      <c r="L531" s="88">
        <f>SUM(F531:K531)</f>
        <v>152946.96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79532.42</v>
      </c>
      <c r="I532" s="18"/>
      <c r="J532" s="18"/>
      <c r="K532" s="18"/>
      <c r="L532" s="88">
        <f>SUM(F532:K532)</f>
        <v>79532.42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73414.539999999994</v>
      </c>
      <c r="I533" s="18"/>
      <c r="J533" s="18"/>
      <c r="K533" s="18"/>
      <c r="L533" s="88">
        <f>SUM(F533:K533)</f>
        <v>73414.539999999994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305893.92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305893.92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1832709.9400000002</v>
      </c>
      <c r="G535" s="89">
        <f t="shared" ref="G535:L535" si="40">G514+G519+G524+G529+G534</f>
        <v>867783.34</v>
      </c>
      <c r="H535" s="89">
        <f t="shared" si="40"/>
        <v>2810471.73</v>
      </c>
      <c r="I535" s="89">
        <f t="shared" si="40"/>
        <v>33452.82</v>
      </c>
      <c r="J535" s="89">
        <f t="shared" si="40"/>
        <v>13175.39</v>
      </c>
      <c r="K535" s="89">
        <f t="shared" si="40"/>
        <v>2171</v>
      </c>
      <c r="L535" s="89">
        <f t="shared" si="40"/>
        <v>5559764.2200000007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1136674</v>
      </c>
      <c r="G539" s="87">
        <f>L516</f>
        <v>493988.92</v>
      </c>
      <c r="H539" s="87">
        <f>L521</f>
        <v>128939.51</v>
      </c>
      <c r="I539" s="87">
        <f>L526</f>
        <v>15569.4</v>
      </c>
      <c r="J539" s="87">
        <f>L531</f>
        <v>152946.96</v>
      </c>
      <c r="K539" s="87">
        <f>SUM(F539:J539)</f>
        <v>1928118.7899999998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711157.14</v>
      </c>
      <c r="G540" s="87">
        <f>L517</f>
        <v>255946.33</v>
      </c>
      <c r="H540" s="87">
        <f>L522</f>
        <v>33851.81</v>
      </c>
      <c r="I540" s="87">
        <f>L527</f>
        <v>0</v>
      </c>
      <c r="J540" s="87">
        <f>L532</f>
        <v>79532.42</v>
      </c>
      <c r="K540" s="87">
        <f>SUM(F540:J540)</f>
        <v>1080487.7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2269446.25</v>
      </c>
      <c r="G541" s="87">
        <f>L518</f>
        <v>113953.31</v>
      </c>
      <c r="H541" s="87">
        <f>L523</f>
        <v>94343.63</v>
      </c>
      <c r="I541" s="87">
        <f>L528</f>
        <v>0</v>
      </c>
      <c r="J541" s="87">
        <f>L533</f>
        <v>73414.539999999994</v>
      </c>
      <c r="K541" s="87">
        <f>SUM(F541:J541)</f>
        <v>2551157.73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4117277.39</v>
      </c>
      <c r="G542" s="89">
        <f t="shared" si="41"/>
        <v>863888.56</v>
      </c>
      <c r="H542" s="89">
        <f t="shared" si="41"/>
        <v>257134.95</v>
      </c>
      <c r="I542" s="89">
        <f t="shared" si="41"/>
        <v>15569.4</v>
      </c>
      <c r="J542" s="89">
        <f t="shared" si="41"/>
        <v>305893.92</v>
      </c>
      <c r="K542" s="89">
        <f t="shared" si="41"/>
        <v>5559764.2199999997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76725</v>
      </c>
      <c r="G552" s="18">
        <f>41526.35</f>
        <v>41526.35</v>
      </c>
      <c r="H552" s="18">
        <f>381</f>
        <v>381</v>
      </c>
      <c r="I552" s="18">
        <f>196</f>
        <v>196</v>
      </c>
      <c r="J552" s="18"/>
      <c r="K552" s="18"/>
      <c r="L552" s="88">
        <f>SUM(F552:K552)</f>
        <v>118828.35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39862</v>
      </c>
      <c r="G553" s="18">
        <f>6526.68</f>
        <v>6526.68</v>
      </c>
      <c r="H553" s="18"/>
      <c r="I553" s="18">
        <f>542.37</f>
        <v>542.37</v>
      </c>
      <c r="J553" s="18"/>
      <c r="K553" s="18"/>
      <c r="L553" s="88">
        <f>SUM(F553:K553)</f>
        <v>46931.05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116587</v>
      </c>
      <c r="G555" s="89">
        <f t="shared" si="43"/>
        <v>48053.03</v>
      </c>
      <c r="H555" s="89">
        <f t="shared" si="43"/>
        <v>381</v>
      </c>
      <c r="I555" s="89">
        <f t="shared" si="43"/>
        <v>738.37</v>
      </c>
      <c r="J555" s="89">
        <f t="shared" si="43"/>
        <v>0</v>
      </c>
      <c r="K555" s="89">
        <f t="shared" si="43"/>
        <v>0</v>
      </c>
      <c r="L555" s="89">
        <f t="shared" si="43"/>
        <v>165759.40000000002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f>55267</f>
        <v>55267</v>
      </c>
      <c r="G557" s="18">
        <f>29657.73</f>
        <v>29657.73</v>
      </c>
      <c r="H557" s="18"/>
      <c r="I557" s="18">
        <f>1889.84</f>
        <v>1889.84</v>
      </c>
      <c r="J557" s="18">
        <f>1156</f>
        <v>1156</v>
      </c>
      <c r="K557" s="18"/>
      <c r="L557" s="88">
        <f>SUM(F557:K557)</f>
        <v>87970.569999999992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f>49871</f>
        <v>49871</v>
      </c>
      <c r="G558" s="18">
        <f>28777.33</f>
        <v>28777.33</v>
      </c>
      <c r="H558" s="18">
        <f>1416.08</f>
        <v>1416.08</v>
      </c>
      <c r="I558" s="18">
        <f>1149.76</f>
        <v>1149.76</v>
      </c>
      <c r="J558" s="18"/>
      <c r="K558" s="18"/>
      <c r="L558" s="88">
        <f>SUM(F558:K558)</f>
        <v>81214.17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105138</v>
      </c>
      <c r="G560" s="194">
        <f t="shared" ref="G560:L560" si="44">SUM(G557:G559)</f>
        <v>58435.06</v>
      </c>
      <c r="H560" s="194">
        <f t="shared" si="44"/>
        <v>1416.08</v>
      </c>
      <c r="I560" s="194">
        <f t="shared" si="44"/>
        <v>3039.6</v>
      </c>
      <c r="J560" s="194">
        <f t="shared" si="44"/>
        <v>1156</v>
      </c>
      <c r="K560" s="194">
        <f t="shared" si="44"/>
        <v>0</v>
      </c>
      <c r="L560" s="194">
        <f t="shared" si="44"/>
        <v>169184.74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221725</v>
      </c>
      <c r="G561" s="89">
        <f t="shared" ref="G561:L561" si="45">G550+G555+G560</f>
        <v>106488.09</v>
      </c>
      <c r="H561" s="89">
        <f t="shared" si="45"/>
        <v>1797.08</v>
      </c>
      <c r="I561" s="89">
        <f t="shared" si="45"/>
        <v>3777.97</v>
      </c>
      <c r="J561" s="89">
        <f t="shared" si="45"/>
        <v>1156</v>
      </c>
      <c r="K561" s="89">
        <f t="shared" si="45"/>
        <v>0</v>
      </c>
      <c r="L561" s="89">
        <f t="shared" si="45"/>
        <v>334944.14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5023684.9800000004</v>
      </c>
      <c r="I565" s="87">
        <f>SUM(F565:H565)</f>
        <v>5023684.9800000004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24805.14</v>
      </c>
      <c r="I567" s="87">
        <f t="shared" si="46"/>
        <v>24805.14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1304375.17</v>
      </c>
      <c r="I569" s="87">
        <f t="shared" si="46"/>
        <v>1304375.17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87377.56</v>
      </c>
      <c r="G572" s="18">
        <v>80465</v>
      </c>
      <c r="H572" s="18">
        <v>641273.44999999995</v>
      </c>
      <c r="I572" s="87">
        <f t="shared" si="46"/>
        <v>809116.01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316783.08</v>
      </c>
      <c r="I581" s="18">
        <v>165278.13</v>
      </c>
      <c r="J581" s="18">
        <v>206597.67</v>
      </c>
      <c r="K581" s="104">
        <f t="shared" ref="K581:K587" si="47">SUM(H581:J581)</f>
        <v>688658.88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152946.96</v>
      </c>
      <c r="I582" s="18">
        <v>79532.42</v>
      </c>
      <c r="J582" s="18">
        <v>73414.539999999994</v>
      </c>
      <c r="K582" s="104">
        <f t="shared" si="47"/>
        <v>305893.92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13277.43</v>
      </c>
      <c r="J584" s="18"/>
      <c r="K584" s="104">
        <f t="shared" si="47"/>
        <v>13277.43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7077.08</v>
      </c>
      <c r="I585" s="18">
        <v>7639.82</v>
      </c>
      <c r="J585" s="18"/>
      <c r="K585" s="104">
        <f t="shared" si="47"/>
        <v>14716.9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476807.12000000005</v>
      </c>
      <c r="I588" s="108">
        <f>SUM(I581:I587)</f>
        <v>265727.8</v>
      </c>
      <c r="J588" s="108">
        <f>SUM(J581:J587)</f>
        <v>280012.21000000002</v>
      </c>
      <c r="K588" s="108">
        <f>SUM(K581:K587)</f>
        <v>1022547.1300000001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77160.16+103292.52</f>
        <v>180452.68</v>
      </c>
      <c r="I594" s="18">
        <f>36462.69+9394+55619.05</f>
        <v>101475.74</v>
      </c>
      <c r="J594" s="18"/>
      <c r="K594" s="104">
        <f>SUM(H594:J594)</f>
        <v>281928.42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180452.68</v>
      </c>
      <c r="I595" s="108">
        <f>SUM(I592:I594)</f>
        <v>101475.74</v>
      </c>
      <c r="J595" s="108">
        <f>SUM(J592:J594)</f>
        <v>0</v>
      </c>
      <c r="K595" s="108">
        <f>SUM(K592:K594)</f>
        <v>281928.42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5450+8537.5+36167.53</f>
        <v>50155.03</v>
      </c>
      <c r="G601" s="18">
        <f>854.03+653.12+4219.58</f>
        <v>5726.73</v>
      </c>
      <c r="H601" s="18"/>
      <c r="I601" s="18"/>
      <c r="J601" s="18"/>
      <c r="K601" s="18"/>
      <c r="L601" s="88">
        <f>SUM(F601:K601)</f>
        <v>55881.759999999995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8230+13896.8</f>
        <v>22126.799999999999</v>
      </c>
      <c r="G602" s="18">
        <f>1267.49+1190.11</f>
        <v>2457.6</v>
      </c>
      <c r="H602" s="18">
        <f>573.39</f>
        <v>573.39</v>
      </c>
      <c r="I602" s="18"/>
      <c r="J602" s="18"/>
      <c r="K602" s="18"/>
      <c r="L602" s="88">
        <f>SUM(F602:K602)</f>
        <v>25157.789999999997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72281.83</v>
      </c>
      <c r="G604" s="108">
        <f t="shared" si="48"/>
        <v>8184.33</v>
      </c>
      <c r="H604" s="108">
        <f t="shared" si="48"/>
        <v>573.39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81039.549999999988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1661866.26</v>
      </c>
      <c r="H607" s="109">
        <f>SUM(F44)</f>
        <v>1661866.26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12656.519999999999</v>
      </c>
      <c r="H608" s="109">
        <f>SUM(G44)</f>
        <v>12656.52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256589.31</v>
      </c>
      <c r="H609" s="109">
        <f>SUM(H44)</f>
        <v>256589.31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264107.07</v>
      </c>
      <c r="H611" s="109">
        <f>SUM(J44)</f>
        <v>264107.07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1267824.52</v>
      </c>
      <c r="H612" s="109">
        <f>F466</f>
        <v>1267824.5199999996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264107.07</v>
      </c>
      <c r="H616" s="109">
        <f>J466</f>
        <v>264107.07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24973042.009999998</v>
      </c>
      <c r="H617" s="104">
        <f>SUM(F458)</f>
        <v>24973042.010000002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570156.74</v>
      </c>
      <c r="H618" s="104">
        <f>SUM(G458)</f>
        <v>570156.74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708738.69</v>
      </c>
      <c r="H619" s="104">
        <f>SUM(H458)</f>
        <v>708738.69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2279</v>
      </c>
      <c r="H621" s="104">
        <f>SUM(J458)</f>
        <v>2279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24790387.029999994</v>
      </c>
      <c r="H622" s="104">
        <f>SUM(F462)</f>
        <v>24790387.030000001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708738.69000000006</v>
      </c>
      <c r="H623" s="104">
        <f>SUM(H462)</f>
        <v>708738.69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195014.37</v>
      </c>
      <c r="H624" s="104">
        <f>I361</f>
        <v>195014.37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570156.74</v>
      </c>
      <c r="H625" s="104">
        <f>SUM(G462)</f>
        <v>570156.74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2279</v>
      </c>
      <c r="H627" s="164">
        <f>SUM(J458)</f>
        <v>2279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52366.28</v>
      </c>
      <c r="H629" s="104">
        <f>SUM(F451)</f>
        <v>52366.28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211740.79</v>
      </c>
      <c r="H630" s="104">
        <f>SUM(G451)</f>
        <v>211740.79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264107.07</v>
      </c>
      <c r="H632" s="104">
        <f>SUM(I451)</f>
        <v>264107.07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2279</v>
      </c>
      <c r="H634" s="104">
        <f>H400</f>
        <v>2279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2279</v>
      </c>
      <c r="H636" s="104">
        <f>L400</f>
        <v>2279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1022547.1300000001</v>
      </c>
      <c r="H637" s="104">
        <f>L200+L218+L236</f>
        <v>1022547.1299999999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281928.42</v>
      </c>
      <c r="H638" s="104">
        <f>(J249+J330)-(J247+J328)</f>
        <v>281928.42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476807.12</v>
      </c>
      <c r="H639" s="104">
        <f>H588</f>
        <v>476807.12000000005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265727.8</v>
      </c>
      <c r="H640" s="104">
        <f>I588</f>
        <v>265727.8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280012.21000000002</v>
      </c>
      <c r="H641" s="104">
        <f>J588</f>
        <v>280012.21000000002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118131.75</v>
      </c>
      <c r="H642" s="104">
        <f>K255+K337</f>
        <v>118131.75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10363226.669999998</v>
      </c>
      <c r="G650" s="19">
        <f>(L221+L301+L351)</f>
        <v>6213462.9899999993</v>
      </c>
      <c r="H650" s="19">
        <f>(L239+L320+L352)</f>
        <v>7720019.7599999998</v>
      </c>
      <c r="I650" s="19">
        <f>SUM(F650:H650)</f>
        <v>24296709.419999994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189597.69992126251</v>
      </c>
      <c r="G651" s="19">
        <f>(L351/IF(SUM(L350:L352)=0,1,SUM(L350:L352))*(SUM(G89:G102)))</f>
        <v>90152.710078737466</v>
      </c>
      <c r="H651" s="19">
        <f>(L352/IF(SUM(L350:L352)=0,1,SUM(L350:L352))*(SUM(G89:G102)))</f>
        <v>0</v>
      </c>
      <c r="I651" s="19">
        <f>SUM(F651:H651)</f>
        <v>279750.40999999997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476807.12</v>
      </c>
      <c r="G652" s="19">
        <f>(L218+L298)-(J218+J298)</f>
        <v>265727.8</v>
      </c>
      <c r="H652" s="19">
        <f>(L236+L317)-(J236+J317)</f>
        <v>280012.21000000002</v>
      </c>
      <c r="I652" s="19">
        <f>SUM(F652:H652)</f>
        <v>1022547.1299999999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323712</v>
      </c>
      <c r="G653" s="200">
        <f>SUM(G565:G577)+SUM(I592:I594)+L602</f>
        <v>207098.53</v>
      </c>
      <c r="H653" s="200">
        <f>SUM(H565:H577)+SUM(J592:J594)+L603</f>
        <v>6994138.7400000002</v>
      </c>
      <c r="I653" s="19">
        <f>SUM(F653:H653)</f>
        <v>7524949.2700000005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9373109.8500787355</v>
      </c>
      <c r="G654" s="19">
        <f>G650-SUM(G651:G653)</f>
        <v>5650483.9499212615</v>
      </c>
      <c r="H654" s="19">
        <f>H650-SUM(H651:H653)</f>
        <v>445868.80999999959</v>
      </c>
      <c r="I654" s="19">
        <f>I650-SUM(I651:I653)</f>
        <v>15469462.609999994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869.19</v>
      </c>
      <c r="G655" s="249">
        <v>512.74</v>
      </c>
      <c r="H655" s="249"/>
      <c r="I655" s="19">
        <f>SUM(F655:H655)</f>
        <v>1381.93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10783.73</v>
      </c>
      <c r="G657" s="19">
        <f>ROUND(G654/G655,2)</f>
        <v>11020.17</v>
      </c>
      <c r="H657" s="19" t="e">
        <f>ROUND(H654/H655,2)</f>
        <v>#DIV/0!</v>
      </c>
      <c r="I657" s="19">
        <f>ROUND(I654/I655,2)</f>
        <v>11194.1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-445868.81</v>
      </c>
      <c r="I659" s="19">
        <f>SUM(F659:H659)</f>
        <v>-445868.81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10783.73</v>
      </c>
      <c r="G662" s="19">
        <f>ROUND((G654+G659)/(G655+G660),2)</f>
        <v>11020.17</v>
      </c>
      <c r="H662" s="19" t="e">
        <f>ROUND((H654+H659)/(H655+H660),2)</f>
        <v>#DIV/0!</v>
      </c>
      <c r="I662" s="19">
        <f>ROUND((I654+I659)/(I655+I660),2)</f>
        <v>10871.46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EE2-88E2-47C3-A738-E2E330885F8A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Hooksett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4930425.3699999992</v>
      </c>
      <c r="C9" s="230">
        <f>'DOE25'!G189+'DOE25'!G207+'DOE25'!G225+'DOE25'!G268+'DOE25'!G287+'DOE25'!G306</f>
        <v>2180139.5500000003</v>
      </c>
    </row>
    <row r="10" spans="1:3" x14ac:dyDescent="0.2">
      <c r="A10" t="s">
        <v>810</v>
      </c>
      <c r="B10" s="241">
        <v>4450526.5</v>
      </c>
      <c r="C10" s="241">
        <v>1907786.09</v>
      </c>
    </row>
    <row r="11" spans="1:3" x14ac:dyDescent="0.2">
      <c r="A11" t="s">
        <v>811</v>
      </c>
      <c r="B11" s="241">
        <v>236191.09</v>
      </c>
      <c r="C11" s="241">
        <v>173306.14</v>
      </c>
    </row>
    <row r="12" spans="1:3" x14ac:dyDescent="0.2">
      <c r="A12" t="s">
        <v>812</v>
      </c>
      <c r="B12" s="241">
        <v>243707.78</v>
      </c>
      <c r="C12" s="241">
        <v>99047.32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4930425.37</v>
      </c>
      <c r="C13" s="232">
        <f>SUM(C10:C12)</f>
        <v>2180139.5499999998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1582813.96</v>
      </c>
      <c r="C18" s="230">
        <f>'DOE25'!G190+'DOE25'!G208+'DOE25'!G226+'DOE25'!G269+'DOE25'!G288+'DOE25'!G307</f>
        <v>789817.05999999982</v>
      </c>
    </row>
    <row r="19" spans="1:3" x14ac:dyDescent="0.2">
      <c r="A19" t="s">
        <v>810</v>
      </c>
      <c r="B19" s="241">
        <v>726822.6</v>
      </c>
      <c r="C19" s="241">
        <v>335677.24</v>
      </c>
    </row>
    <row r="20" spans="1:3" x14ac:dyDescent="0.2">
      <c r="A20" t="s">
        <v>811</v>
      </c>
      <c r="B20" s="241">
        <v>585358.06999999995</v>
      </c>
      <c r="C20" s="241">
        <v>342698.39</v>
      </c>
    </row>
    <row r="21" spans="1:3" x14ac:dyDescent="0.2">
      <c r="A21" t="s">
        <v>812</v>
      </c>
      <c r="B21" s="241">
        <v>270633.28999999998</v>
      </c>
      <c r="C21" s="241">
        <v>111441.43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1582813.96</v>
      </c>
      <c r="C22" s="232">
        <f>SUM(C19:C21)</f>
        <v>789817.06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83042.7</v>
      </c>
      <c r="C36" s="236">
        <f>'DOE25'!G192+'DOE25'!G210+'DOE25'!G228+'DOE25'!G271+'DOE25'!G290+'DOE25'!G309</f>
        <v>11759.310000000001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83042.7</v>
      </c>
      <c r="C39" s="241">
        <v>11759.31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83042.7</v>
      </c>
      <c r="C40" s="232">
        <f>SUM(C37:C39)</f>
        <v>11759.31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75BE-7CB8-43EA-9AB3-D7A14D535198}">
  <sheetPr>
    <tabColor indexed="11"/>
  </sheetPr>
  <dimension ref="A1:I51"/>
  <sheetViews>
    <sheetView workbookViewId="0">
      <pane ySplit="4" topLeftCell="A5" activePane="bottomLeft" state="frozen"/>
      <selection pane="bottomLeft" activeCell="E16" sqref="E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Hooksett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16859227.91</v>
      </c>
      <c r="D5" s="20">
        <f>SUM('DOE25'!L189:L192)+SUM('DOE25'!L207:L210)+SUM('DOE25'!L225:L228)-F5-G5</f>
        <v>16827462.449999999</v>
      </c>
      <c r="E5" s="244"/>
      <c r="F5" s="256">
        <f>SUM('DOE25'!J189:J192)+SUM('DOE25'!J207:J210)+SUM('DOE25'!J225:J228)</f>
        <v>27273.909999999996</v>
      </c>
      <c r="G5" s="53">
        <f>SUM('DOE25'!K189:K192)+SUM('DOE25'!K207:K210)+SUM('DOE25'!K225:K228)</f>
        <v>4491.55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1168429.18</v>
      </c>
      <c r="D6" s="20">
        <f>'DOE25'!L194+'DOE25'!L212+'DOE25'!L230-F6-G6</f>
        <v>1161418.75</v>
      </c>
      <c r="E6" s="244"/>
      <c r="F6" s="256">
        <f>'DOE25'!J194+'DOE25'!J212+'DOE25'!J230</f>
        <v>1747.23</v>
      </c>
      <c r="G6" s="53">
        <f>'DOE25'!K194+'DOE25'!K212+'DOE25'!K230</f>
        <v>5263.2</v>
      </c>
      <c r="H6" s="260"/>
    </row>
    <row r="7" spans="1:9" x14ac:dyDescent="0.2">
      <c r="A7" s="32">
        <v>2200</v>
      </c>
      <c r="B7" t="s">
        <v>865</v>
      </c>
      <c r="C7" s="246">
        <f t="shared" si="0"/>
        <v>393807.93</v>
      </c>
      <c r="D7" s="20">
        <f>'DOE25'!L195+'DOE25'!L213+'DOE25'!L231-F7-G7</f>
        <v>378428.39</v>
      </c>
      <c r="E7" s="244"/>
      <c r="F7" s="256">
        <f>'DOE25'!J195+'DOE25'!J213+'DOE25'!J231</f>
        <v>14904.04</v>
      </c>
      <c r="G7" s="53">
        <f>'DOE25'!K195+'DOE25'!K213+'DOE25'!K231</f>
        <v>475.5</v>
      </c>
      <c r="H7" s="260"/>
    </row>
    <row r="8" spans="1:9" x14ac:dyDescent="0.2">
      <c r="A8" s="32">
        <v>2300</v>
      </c>
      <c r="B8" t="s">
        <v>833</v>
      </c>
      <c r="C8" s="246">
        <f t="shared" si="0"/>
        <v>465765.78000000014</v>
      </c>
      <c r="D8" s="244"/>
      <c r="E8" s="20">
        <f>'DOE25'!L196+'DOE25'!L214+'DOE25'!L232-F8-G8-D9-D11</f>
        <v>454097.93000000017</v>
      </c>
      <c r="F8" s="256">
        <f>'DOE25'!J196+'DOE25'!J214+'DOE25'!J232</f>
        <v>0</v>
      </c>
      <c r="G8" s="53">
        <f>'DOE25'!K196+'DOE25'!K214+'DOE25'!K232</f>
        <v>11667.849999999999</v>
      </c>
      <c r="H8" s="260"/>
    </row>
    <row r="9" spans="1:9" x14ac:dyDescent="0.2">
      <c r="A9" s="32">
        <v>2310</v>
      </c>
      <c r="B9" t="s">
        <v>849</v>
      </c>
      <c r="C9" s="246">
        <f t="shared" si="0"/>
        <v>49189.69</v>
      </c>
      <c r="D9" s="245">
        <v>49189.69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14239</v>
      </c>
      <c r="D10" s="244"/>
      <c r="E10" s="245">
        <v>14239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111305.22</v>
      </c>
      <c r="D11" s="245">
        <v>111305.22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977736.15999999992</v>
      </c>
      <c r="D12" s="20">
        <f>'DOE25'!L197+'DOE25'!L215+'DOE25'!L233-F12-G12</f>
        <v>970623.5</v>
      </c>
      <c r="E12" s="244"/>
      <c r="F12" s="256">
        <f>'DOE25'!J197+'DOE25'!J215+'DOE25'!J233</f>
        <v>2913.7200000000003</v>
      </c>
      <c r="G12" s="53">
        <f>'DOE25'!K197+'DOE25'!K215+'DOE25'!K233</f>
        <v>4198.9400000000005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1580561.18</v>
      </c>
      <c r="D14" s="20">
        <f>'DOE25'!L199+'DOE25'!L217+'DOE25'!L235-F14-G14</f>
        <v>1521907.23</v>
      </c>
      <c r="E14" s="244"/>
      <c r="F14" s="256">
        <f>'DOE25'!J199+'DOE25'!J217+'DOE25'!J235</f>
        <v>58653.95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1022547.1299999999</v>
      </c>
      <c r="D15" s="20">
        <f>'DOE25'!L200+'DOE25'!L218+'DOE25'!L236-F15-G15</f>
        <v>1022547.1299999999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389243.81</v>
      </c>
      <c r="D16" s="244"/>
      <c r="E16" s="20">
        <f>'DOE25'!L201+'DOE25'!L219+'DOE25'!L237-F16-G16</f>
        <v>235463.79</v>
      </c>
      <c r="F16" s="256">
        <f>'DOE25'!J201+'DOE25'!J219+'DOE25'!J237</f>
        <v>153780.01999999999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16518.79</v>
      </c>
      <c r="D22" s="244"/>
      <c r="E22" s="244"/>
      <c r="F22" s="256">
        <f>'DOE25'!L247+'DOE25'!L328</f>
        <v>16518.79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1637922.5</v>
      </c>
      <c r="D25" s="244"/>
      <c r="E25" s="244"/>
      <c r="F25" s="259"/>
      <c r="G25" s="257"/>
      <c r="H25" s="258">
        <f>'DOE25'!L252+'DOE25'!L253+'DOE25'!L333+'DOE25'!L334</f>
        <v>1637922.5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419161.43</v>
      </c>
      <c r="D29" s="20">
        <f>'DOE25'!L350+'DOE25'!L351+'DOE25'!L352-'DOE25'!I359-F29-G29</f>
        <v>418778.43</v>
      </c>
      <c r="E29" s="244"/>
      <c r="F29" s="256">
        <f>'DOE25'!J350+'DOE25'!J351+'DOE25'!J352</f>
        <v>383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708738.69000000006</v>
      </c>
      <c r="D31" s="20">
        <f>'DOE25'!L282+'DOE25'!L301+'DOE25'!L320+'DOE25'!L325+'DOE25'!L326+'DOE25'!L327-F31-G31</f>
        <v>656963.01</v>
      </c>
      <c r="E31" s="244"/>
      <c r="F31" s="256">
        <f>'DOE25'!J282+'DOE25'!J301+'DOE25'!J320+'DOE25'!J325+'DOE25'!J326+'DOE25'!J327</f>
        <v>22655.550000000003</v>
      </c>
      <c r="G31" s="53">
        <f>'DOE25'!K282+'DOE25'!K301+'DOE25'!K320+'DOE25'!K325+'DOE25'!K326+'DOE25'!K327</f>
        <v>29120.129999999997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23118623.800000001</v>
      </c>
      <c r="E33" s="247">
        <f>SUM(E5:E31)</f>
        <v>703800.7200000002</v>
      </c>
      <c r="F33" s="247">
        <f>SUM(F5:F31)</f>
        <v>298830.20999999996</v>
      </c>
      <c r="G33" s="247">
        <f>SUM(G5:G31)</f>
        <v>55217.17</v>
      </c>
      <c r="H33" s="247">
        <f>SUM(H5:H31)</f>
        <v>1637922.5</v>
      </c>
    </row>
    <row r="35" spans="2:8" ht="12" thickBot="1" x14ac:dyDescent="0.25">
      <c r="B35" s="254" t="s">
        <v>878</v>
      </c>
      <c r="D35" s="255">
        <f>E33</f>
        <v>703800.7200000002</v>
      </c>
      <c r="E35" s="250"/>
    </row>
    <row r="36" spans="2:8" ht="12" thickTop="1" x14ac:dyDescent="0.2">
      <c r="B36" t="s">
        <v>846</v>
      </c>
      <c r="D36" s="20">
        <f>D33</f>
        <v>23118623.800000001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5F9B-CBAA-449D-ABBD-33EF7F89E72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1371026.63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264107.07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251167.3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39672.33</v>
      </c>
      <c r="D13" s="95">
        <f>'DOE25'!G13</f>
        <v>11258.13</v>
      </c>
      <c r="E13" s="95">
        <f>'DOE25'!H13</f>
        <v>256584.33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1398.39</v>
      </c>
      <c r="E14" s="95">
        <f>'DOE25'!H14</f>
        <v>4.9800000000000004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1661866.26</v>
      </c>
      <c r="D19" s="41">
        <f>SUM(D9:D18)</f>
        <v>12656.519999999999</v>
      </c>
      <c r="E19" s="41">
        <f>SUM(E9:E18)</f>
        <v>256589.31</v>
      </c>
      <c r="F19" s="41">
        <f>SUM(F9:F18)</f>
        <v>0</v>
      </c>
      <c r="G19" s="41">
        <f>SUM(G9:G18)</f>
        <v>264107.07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996.96</v>
      </c>
      <c r="E22" s="95">
        <f>'DOE25'!H23</f>
        <v>250170.34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383924.09</v>
      </c>
      <c r="D24" s="95">
        <f>'DOE25'!G25</f>
        <v>1388.73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6940.65</v>
      </c>
      <c r="D28" s="95">
        <f>'DOE25'!G29</f>
        <v>94.99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3177</v>
      </c>
      <c r="D30" s="95">
        <f>'DOE25'!G31</f>
        <v>10175.84</v>
      </c>
      <c r="E30" s="95">
        <f>'DOE25'!H31</f>
        <v>6418.97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394041.74000000005</v>
      </c>
      <c r="D32" s="41">
        <f>SUM(D22:D31)</f>
        <v>12656.52</v>
      </c>
      <c r="E32" s="41">
        <f>SUM(E22:E31)</f>
        <v>256589.31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212369.39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264107.07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1055455.1299999999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1267824.52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264107.07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1661866.26</v>
      </c>
      <c r="D43" s="41">
        <f>D42+D32</f>
        <v>12656.52</v>
      </c>
      <c r="E43" s="41">
        <f>E42+E32</f>
        <v>256589.31</v>
      </c>
      <c r="F43" s="41">
        <f>F42+F32</f>
        <v>0</v>
      </c>
      <c r="G43" s="41">
        <f>G42+G32</f>
        <v>264107.07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17311703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24593.34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24278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1227.79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2279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279750.40999999997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46257.04</v>
      </c>
      <c r="D53" s="95">
        <f>SUM('DOE25'!G90:G102)</f>
        <v>0</v>
      </c>
      <c r="E53" s="95">
        <f>SUM('DOE25'!H90:H102)</f>
        <v>9884.84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96356.17</v>
      </c>
      <c r="D54" s="130">
        <f>SUM(D49:D53)</f>
        <v>279750.40999999997</v>
      </c>
      <c r="E54" s="130">
        <f>SUM(E49:E53)</f>
        <v>9884.84</v>
      </c>
      <c r="F54" s="130">
        <f>SUM(F49:F53)</f>
        <v>0</v>
      </c>
      <c r="G54" s="130">
        <f>SUM(G49:G53)</f>
        <v>2279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17408059.170000002</v>
      </c>
      <c r="D55" s="22">
        <f>D48+D54</f>
        <v>279750.40999999997</v>
      </c>
      <c r="E55" s="22">
        <f>E48+E54</f>
        <v>9884.84</v>
      </c>
      <c r="F55" s="22">
        <f>F48+F54</f>
        <v>0</v>
      </c>
      <c r="G55" s="22">
        <f>G48+G54</f>
        <v>2279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2966397.6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3675736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107590.39999999999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6749724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310500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355809.14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15450</v>
      </c>
      <c r="D69" s="95">
        <f>SUM('DOE25'!G123:G127)</f>
        <v>6207.16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681759.14</v>
      </c>
      <c r="D70" s="130">
        <f>SUM(D64:D69)</f>
        <v>6207.16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750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7431483.1399999997</v>
      </c>
      <c r="D73" s="130">
        <f>SUM(D71:D72)+D70+D62</f>
        <v>6207.16</v>
      </c>
      <c r="E73" s="130">
        <f>SUM(E71:E72)+E70+E62</f>
        <v>750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133499.70000000001</v>
      </c>
      <c r="D80" s="95">
        <f>SUM('DOE25'!G145:G153)</f>
        <v>166067.42000000001</v>
      </c>
      <c r="E80" s="95">
        <f>SUM('DOE25'!H145:H153)</f>
        <v>698103.85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133499.70000000001</v>
      </c>
      <c r="D83" s="131">
        <f>SUM(D77:D82)</f>
        <v>166067.42000000001</v>
      </c>
      <c r="E83" s="131">
        <f>SUM(E77:E82)</f>
        <v>698103.85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118131.75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118131.75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24973042.010000002</v>
      </c>
      <c r="D96" s="86">
        <f>D55+D73+D83+D95</f>
        <v>570156.74</v>
      </c>
      <c r="E96" s="86">
        <f>E55+E73+E83+E95</f>
        <v>708738.69</v>
      </c>
      <c r="F96" s="86">
        <f>F55+F73+F83+F95</f>
        <v>0</v>
      </c>
      <c r="G96" s="86">
        <f>G55+G73+G95</f>
        <v>2279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12276565.27</v>
      </c>
      <c r="D101" s="24" t="s">
        <v>312</v>
      </c>
      <c r="E101" s="95">
        <f>('DOE25'!L268)+('DOE25'!L287)+('DOE25'!L306)</f>
        <v>223446.18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4458670.8899999997</v>
      </c>
      <c r="D102" s="24" t="s">
        <v>312</v>
      </c>
      <c r="E102" s="95">
        <f>('DOE25'!L269)+('DOE25'!L288)+('DOE25'!L307)</f>
        <v>180427.37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123991.75</v>
      </c>
      <c r="D104" s="24" t="s">
        <v>312</v>
      </c>
      <c r="E104" s="95">
        <f>+('DOE25'!L271)+('DOE25'!L290)+('DOE25'!L309)</f>
        <v>14447.380000000001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16859227.91</v>
      </c>
      <c r="D107" s="86">
        <f>SUM(D101:D106)</f>
        <v>0</v>
      </c>
      <c r="E107" s="86">
        <f>SUM(E101:E106)</f>
        <v>418320.93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1168429.18</v>
      </c>
      <c r="D110" s="24" t="s">
        <v>312</v>
      </c>
      <c r="E110" s="95">
        <f>+('DOE25'!L273)+('DOE25'!L292)+('DOE25'!L311)</f>
        <v>114614.34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393807.93</v>
      </c>
      <c r="D111" s="24" t="s">
        <v>312</v>
      </c>
      <c r="E111" s="95">
        <f>+('DOE25'!L274)+('DOE25'!L293)+('DOE25'!L312)</f>
        <v>146683.29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626260.69000000006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977736.15999999992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29120.129999999997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1580561.18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1022547.1299999999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389243.81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570156.74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6158586.0799999991</v>
      </c>
      <c r="D120" s="86">
        <f>SUM(D110:D119)</f>
        <v>570156.74</v>
      </c>
      <c r="E120" s="86">
        <f>SUM(E110:E119)</f>
        <v>290417.76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16518.79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602922.5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118131.75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451.86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1827.14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-2279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1772573.04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24790387.029999997</v>
      </c>
      <c r="D137" s="86">
        <f>(D107+D120+D136)</f>
        <v>570156.74</v>
      </c>
      <c r="E137" s="86">
        <f>(E107+E120+E136)</f>
        <v>708738.69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05/02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30732213.059999999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4.51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13435000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13435000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1637922.5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1637922.5</v>
      </c>
    </row>
    <row r="151" spans="1:7" x14ac:dyDescent="0.2">
      <c r="A151" s="22" t="s">
        <v>35</v>
      </c>
      <c r="B151" s="137">
        <f>'DOE25'!F488</f>
        <v>12400000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12400000</v>
      </c>
    </row>
    <row r="152" spans="1:7" x14ac:dyDescent="0.2">
      <c r="A152" s="22" t="s">
        <v>36</v>
      </c>
      <c r="B152" s="137">
        <f>'DOE25'!F489</f>
        <v>3638375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3638375</v>
      </c>
    </row>
    <row r="153" spans="1:7" x14ac:dyDescent="0.2">
      <c r="A153" s="22" t="s">
        <v>37</v>
      </c>
      <c r="B153" s="137">
        <f>'DOE25'!F490</f>
        <v>16038375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16038375</v>
      </c>
    </row>
    <row r="154" spans="1:7" x14ac:dyDescent="0.2">
      <c r="A154" s="22" t="s">
        <v>38</v>
      </c>
      <c r="B154" s="137">
        <f>'DOE25'!F491</f>
        <v>1035000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1035000</v>
      </c>
    </row>
    <row r="155" spans="1:7" x14ac:dyDescent="0.2">
      <c r="A155" s="22" t="s">
        <v>39</v>
      </c>
      <c r="B155" s="137">
        <f>'DOE25'!F492</f>
        <v>562040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562040</v>
      </c>
    </row>
    <row r="156" spans="1:7" x14ac:dyDescent="0.2">
      <c r="A156" s="22" t="s">
        <v>269</v>
      </c>
      <c r="B156" s="137">
        <f>'DOE25'!F493</f>
        <v>1597040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1597040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1F0F-3A90-4DD5-920A-87E8B83E3044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Hooksett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10784</v>
      </c>
    </row>
    <row r="5" spans="1:4" x14ac:dyDescent="0.2">
      <c r="B5" t="s">
        <v>735</v>
      </c>
      <c r="C5" s="179">
        <f>IF('DOE25'!G655+'DOE25'!G660=0,0,ROUND('DOE25'!G662,0))</f>
        <v>11020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10871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12500011</v>
      </c>
      <c r="D10" s="182">
        <f>ROUND((C10/$C$28)*100,1)</f>
        <v>50.8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4639098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138439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1283044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540491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1015505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977736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29120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1580561</v>
      </c>
      <c r="D20" s="182">
        <f t="shared" si="0"/>
        <v>6.4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1022547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602923</v>
      </c>
      <c r="D25" s="182">
        <f t="shared" si="0"/>
        <v>2.4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290406.59000000003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24619881.59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16519</v>
      </c>
    </row>
    <row r="30" spans="1:4" x14ac:dyDescent="0.2">
      <c r="B30" s="187" t="s">
        <v>760</v>
      </c>
      <c r="C30" s="180">
        <f>SUM(C28:C29)</f>
        <v>24636400.59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1035000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17311703</v>
      </c>
      <c r="D35" s="182">
        <f t="shared" ref="D35:D40" si="1">ROUND((C35/$C$41)*100,1)</f>
        <v>67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108520.00999999791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6749724</v>
      </c>
      <c r="D37" s="182">
        <f t="shared" si="1"/>
        <v>26.1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688716</v>
      </c>
      <c r="D38" s="182">
        <f t="shared" si="1"/>
        <v>2.7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997671</v>
      </c>
      <c r="D39" s="182">
        <f t="shared" si="1"/>
        <v>3.9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25856334.009999998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0375-BB42-4F61-AF89-EE1245C51FC6}">
  <sheetPr>
    <tabColor indexed="17"/>
  </sheetPr>
  <dimension ref="A1:IV90"/>
  <sheetViews>
    <sheetView workbookViewId="0">
      <pane ySplit="3" topLeftCell="A4" activePane="bottomLeft" state="frozen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4" t="str">
        <f>'DOE25'!A2</f>
        <v>Hooksett School District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92" t="s">
        <v>902</v>
      </c>
      <c r="D4" s="292"/>
      <c r="E4" s="292"/>
      <c r="F4" s="292"/>
      <c r="G4" s="292"/>
      <c r="H4" s="292"/>
      <c r="I4" s="292"/>
      <c r="J4" s="292"/>
      <c r="K4" s="292"/>
      <c r="L4" s="292"/>
      <c r="M4" s="29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5</v>
      </c>
      <c r="C6" s="292" t="s">
        <v>897</v>
      </c>
      <c r="D6" s="292"/>
      <c r="E6" s="292"/>
      <c r="F6" s="292"/>
      <c r="G6" s="292"/>
      <c r="H6" s="292"/>
      <c r="I6" s="292"/>
      <c r="J6" s="292"/>
      <c r="K6" s="292"/>
      <c r="L6" s="292"/>
      <c r="M6" s="29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92" t="s">
        <v>898</v>
      </c>
      <c r="D7" s="292"/>
      <c r="E7" s="292"/>
      <c r="F7" s="292"/>
      <c r="G7" s="292"/>
      <c r="H7" s="292"/>
      <c r="I7" s="292"/>
      <c r="J7" s="292"/>
      <c r="K7" s="292"/>
      <c r="L7" s="292"/>
      <c r="M7" s="29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9</v>
      </c>
      <c r="B9" s="220" t="s">
        <v>899</v>
      </c>
      <c r="C9" s="292" t="s">
        <v>900</v>
      </c>
      <c r="D9" s="292"/>
      <c r="E9" s="292"/>
      <c r="F9" s="292"/>
      <c r="G9" s="292"/>
      <c r="H9" s="292"/>
      <c r="I9" s="292"/>
      <c r="J9" s="292"/>
      <c r="K9" s="292"/>
      <c r="L9" s="292"/>
      <c r="M9" s="29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92" t="s">
        <v>901</v>
      </c>
      <c r="D10" s="292"/>
      <c r="E10" s="292"/>
      <c r="F10" s="292"/>
      <c r="G10" s="292"/>
      <c r="H10" s="292"/>
      <c r="I10" s="292"/>
      <c r="J10" s="292"/>
      <c r="K10" s="292"/>
      <c r="L10" s="292"/>
      <c r="M10" s="29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2011-10-31T13:46:34Z</cp:lastPrinted>
  <dcterms:created xsi:type="dcterms:W3CDTF">1997-12-04T19:04:30Z</dcterms:created>
  <dcterms:modified xsi:type="dcterms:W3CDTF">2025-01-10T19:50:16Z</dcterms:modified>
</cp:coreProperties>
</file>