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A74DD08-D25E-493C-A363-1A7D901073F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5868FCC1-5AA0-4789-8411-CE18A337149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2" l="1"/>
  <c r="B20" i="12"/>
  <c r="B19" i="12"/>
  <c r="C39" i="12"/>
  <c r="C40" i="12" s="1"/>
  <c r="B37" i="12"/>
  <c r="B39" i="12"/>
  <c r="F655" i="1"/>
  <c r="F9" i="1"/>
  <c r="C9" i="2" s="1"/>
  <c r="C19" i="2" s="1"/>
  <c r="F492" i="1"/>
  <c r="G89" i="1"/>
  <c r="F93" i="1"/>
  <c r="H388" i="1"/>
  <c r="L388" i="1" s="1"/>
  <c r="F431" i="1"/>
  <c r="K350" i="1"/>
  <c r="K352" i="1" s="1"/>
  <c r="J352" i="1"/>
  <c r="F29" i="13" s="1"/>
  <c r="J350" i="1"/>
  <c r="I350" i="1"/>
  <c r="I352" i="1" s="1"/>
  <c r="I354" i="1" s="1"/>
  <c r="G624" i="1" s="1"/>
  <c r="J624" i="1" s="1"/>
  <c r="H352" i="1"/>
  <c r="L352" i="1" s="1"/>
  <c r="H350" i="1"/>
  <c r="G601" i="1"/>
  <c r="F601" i="1"/>
  <c r="H587" i="1"/>
  <c r="K587" i="1" s="1"/>
  <c r="F113" i="1"/>
  <c r="F128" i="1"/>
  <c r="F132" i="1"/>
  <c r="G128" i="1"/>
  <c r="G132" i="1" s="1"/>
  <c r="H128" i="1"/>
  <c r="H132" i="1"/>
  <c r="C37" i="10"/>
  <c r="C60" i="2"/>
  <c r="B2" i="13"/>
  <c r="F8" i="13"/>
  <c r="G8" i="13"/>
  <c r="L196" i="1"/>
  <c r="L214" i="1"/>
  <c r="E8" i="13" s="1"/>
  <c r="L232" i="1"/>
  <c r="D39" i="13"/>
  <c r="F13" i="13"/>
  <c r="G13" i="13"/>
  <c r="L198" i="1"/>
  <c r="L216" i="1"/>
  <c r="L234" i="1"/>
  <c r="E13" i="13"/>
  <c r="C13" i="13" s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C11" i="10" s="1"/>
  <c r="L191" i="1"/>
  <c r="L192" i="1"/>
  <c r="L207" i="1"/>
  <c r="C101" i="2" s="1"/>
  <c r="L208" i="1"/>
  <c r="L209" i="1"/>
  <c r="L210" i="1"/>
  <c r="L225" i="1"/>
  <c r="L239" i="1" s="1"/>
  <c r="L226" i="1"/>
  <c r="L227" i="1"/>
  <c r="L228" i="1"/>
  <c r="F6" i="13"/>
  <c r="G6" i="13"/>
  <c r="L194" i="1"/>
  <c r="L212" i="1"/>
  <c r="C110" i="2" s="1"/>
  <c r="L230" i="1"/>
  <c r="F7" i="13"/>
  <c r="G7" i="13"/>
  <c r="L195" i="1"/>
  <c r="D7" i="13" s="1"/>
  <c r="C7" i="13" s="1"/>
  <c r="L213" i="1"/>
  <c r="L231" i="1"/>
  <c r="F12" i="13"/>
  <c r="G12" i="13"/>
  <c r="L197" i="1"/>
  <c r="L215" i="1"/>
  <c r="D12" i="13" s="1"/>
  <c r="C12" i="13" s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C21" i="10" s="1"/>
  <c r="L236" i="1"/>
  <c r="H652" i="1" s="1"/>
  <c r="F17" i="13"/>
  <c r="G17" i="13"/>
  <c r="L243" i="1"/>
  <c r="C24" i="10" s="1"/>
  <c r="F18" i="13"/>
  <c r="G18" i="13"/>
  <c r="L244" i="1"/>
  <c r="D18" i="13" s="1"/>
  <c r="C18" i="13" s="1"/>
  <c r="F19" i="13"/>
  <c r="G19" i="13"/>
  <c r="L245" i="1"/>
  <c r="D19" i="13" s="1"/>
  <c r="C19" i="13" s="1"/>
  <c r="L350" i="1"/>
  <c r="L351" i="1"/>
  <c r="I359" i="1"/>
  <c r="J282" i="1"/>
  <c r="J301" i="1"/>
  <c r="J320" i="1"/>
  <c r="F31" i="13" s="1"/>
  <c r="K282" i="1"/>
  <c r="K301" i="1"/>
  <c r="K320" i="1"/>
  <c r="G31" i="13" s="1"/>
  <c r="L268" i="1"/>
  <c r="L269" i="1"/>
  <c r="L270" i="1"/>
  <c r="L271" i="1"/>
  <c r="E104" i="2" s="1"/>
  <c r="L273" i="1"/>
  <c r="L274" i="1"/>
  <c r="L275" i="1"/>
  <c r="L276" i="1"/>
  <c r="E113" i="2" s="1"/>
  <c r="L277" i="1"/>
  <c r="C19" i="10" s="1"/>
  <c r="L278" i="1"/>
  <c r="L279" i="1"/>
  <c r="L280" i="1"/>
  <c r="L287" i="1"/>
  <c r="L288" i="1"/>
  <c r="L289" i="1"/>
  <c r="E103" i="2" s="1"/>
  <c r="L290" i="1"/>
  <c r="L292" i="1"/>
  <c r="L293" i="1"/>
  <c r="L294" i="1"/>
  <c r="L295" i="1"/>
  <c r="L296" i="1"/>
  <c r="L297" i="1"/>
  <c r="E115" i="2" s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E114" i="2" s="1"/>
  <c r="L316" i="1"/>
  <c r="L317" i="1"/>
  <c r="L318" i="1"/>
  <c r="L325" i="1"/>
  <c r="E106" i="2" s="1"/>
  <c r="L326" i="1"/>
  <c r="L327" i="1"/>
  <c r="L252" i="1"/>
  <c r="C123" i="2" s="1"/>
  <c r="L253" i="1"/>
  <c r="C124" i="2" s="1"/>
  <c r="L333" i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B27" i="12"/>
  <c r="C27" i="12"/>
  <c r="B31" i="12"/>
  <c r="C31" i="12"/>
  <c r="A31" i="12"/>
  <c r="B9" i="12"/>
  <c r="B13" i="12"/>
  <c r="C9" i="12"/>
  <c r="A13" i="12" s="1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3" i="2"/>
  <c r="G54" i="2" s="1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H52" i="1"/>
  <c r="E48" i="2" s="1"/>
  <c r="I52" i="1"/>
  <c r="I104" i="1" s="1"/>
  <c r="F71" i="1"/>
  <c r="F86" i="1"/>
  <c r="C50" i="2" s="1"/>
  <c r="F103" i="1"/>
  <c r="G103" i="1"/>
  <c r="G104" i="1"/>
  <c r="H71" i="1"/>
  <c r="H86" i="1"/>
  <c r="H103" i="1"/>
  <c r="H104" i="1" s="1"/>
  <c r="I103" i="1"/>
  <c r="J103" i="1"/>
  <c r="G113" i="1"/>
  <c r="H113" i="1"/>
  <c r="I113" i="1"/>
  <c r="I132" i="1" s="1"/>
  <c r="I128" i="1"/>
  <c r="J113" i="1"/>
  <c r="J132" i="1" s="1"/>
  <c r="J128" i="1"/>
  <c r="F139" i="1"/>
  <c r="F154" i="1"/>
  <c r="F161" i="1"/>
  <c r="C39" i="10" s="1"/>
  <c r="G139" i="1"/>
  <c r="G161" i="1" s="1"/>
  <c r="G154" i="1"/>
  <c r="H139" i="1"/>
  <c r="H161" i="1" s="1"/>
  <c r="H154" i="1"/>
  <c r="I139" i="1"/>
  <c r="I161" i="1" s="1"/>
  <c r="I154" i="1"/>
  <c r="C10" i="10"/>
  <c r="C15" i="10"/>
  <c r="C16" i="10"/>
  <c r="C20" i="10"/>
  <c r="L242" i="1"/>
  <c r="L324" i="1"/>
  <c r="C23" i="10" s="1"/>
  <c r="L246" i="1"/>
  <c r="C25" i="10"/>
  <c r="L260" i="1"/>
  <c r="L261" i="1"/>
  <c r="L341" i="1"/>
  <c r="L342" i="1"/>
  <c r="C26" i="10"/>
  <c r="I655" i="1"/>
  <c r="I660" i="1"/>
  <c r="F652" i="1"/>
  <c r="I659" i="1"/>
  <c r="C5" i="10"/>
  <c r="C42" i="10"/>
  <c r="L366" i="1"/>
  <c r="C29" i="10" s="1"/>
  <c r="L367" i="1"/>
  <c r="F122" i="2" s="1"/>
  <c r="F136" i="2" s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L514" i="1" s="1"/>
  <c r="L513" i="1"/>
  <c r="F541" i="1"/>
  <c r="L516" i="1"/>
  <c r="G539" i="1" s="1"/>
  <c r="G542" i="1" s="1"/>
  <c r="L517" i="1"/>
  <c r="G540" i="1"/>
  <c r="L518" i="1"/>
  <c r="G541" i="1"/>
  <c r="L521" i="1"/>
  <c r="H539" i="1" s="1"/>
  <c r="L522" i="1"/>
  <c r="H540" i="1"/>
  <c r="L523" i="1"/>
  <c r="H541" i="1" s="1"/>
  <c r="L526" i="1"/>
  <c r="I539" i="1"/>
  <c r="I542" i="1" s="1"/>
  <c r="L527" i="1"/>
  <c r="I540" i="1"/>
  <c r="L528" i="1"/>
  <c r="I541" i="1" s="1"/>
  <c r="L531" i="1"/>
  <c r="J539" i="1"/>
  <c r="L532" i="1"/>
  <c r="L534" i="1" s="1"/>
  <c r="L533" i="1"/>
  <c r="J541" i="1" s="1"/>
  <c r="E124" i="2"/>
  <c r="E123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E19" i="2" s="1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F19" i="2"/>
  <c r="C22" i="2"/>
  <c r="D22" i="2"/>
  <c r="E22" i="2"/>
  <c r="F22" i="2"/>
  <c r="I440" i="1"/>
  <c r="J23" i="1" s="1"/>
  <c r="C23" i="2"/>
  <c r="C32" i="2" s="1"/>
  <c r="D23" i="2"/>
  <c r="E23" i="2"/>
  <c r="F23" i="2"/>
  <c r="F32" i="2" s="1"/>
  <c r="I441" i="1"/>
  <c r="J24" i="1" s="1"/>
  <c r="G23" i="2" s="1"/>
  <c r="C24" i="2"/>
  <c r="D24" i="2"/>
  <c r="D32" i="2" s="1"/>
  <c r="E24" i="2"/>
  <c r="F24" i="2"/>
  <c r="I442" i="1"/>
  <c r="J25" i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E43" i="2" s="1"/>
  <c r="F34" i="2"/>
  <c r="C35" i="2"/>
  <c r="D35" i="2"/>
  <c r="E35" i="2"/>
  <c r="F35" i="2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F42" i="2" s="1"/>
  <c r="F43" i="2" s="1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2" i="2"/>
  <c r="C48" i="2"/>
  <c r="F48" i="2"/>
  <c r="C49" i="2"/>
  <c r="E49" i="2"/>
  <c r="E50" i="2"/>
  <c r="C51" i="2"/>
  <c r="D51" i="2"/>
  <c r="D54" i="2" s="1"/>
  <c r="E51" i="2"/>
  <c r="F51" i="2"/>
  <c r="D52" i="2"/>
  <c r="C53" i="2"/>
  <c r="D53" i="2"/>
  <c r="E53" i="2"/>
  <c r="E54" i="2" s="1"/>
  <c r="F53" i="2"/>
  <c r="F54" i="2" s="1"/>
  <c r="F55" i="2" s="1"/>
  <c r="C58" i="2"/>
  <c r="C59" i="2"/>
  <c r="C61" i="2"/>
  <c r="C62" i="2" s="1"/>
  <c r="D61" i="2"/>
  <c r="D62" i="2" s="1"/>
  <c r="E61" i="2"/>
  <c r="E62" i="2" s="1"/>
  <c r="F61" i="2"/>
  <c r="F62" i="2" s="1"/>
  <c r="G61" i="2"/>
  <c r="G62" i="2"/>
  <c r="C64" i="2"/>
  <c r="F64" i="2"/>
  <c r="C65" i="2"/>
  <c r="F65" i="2"/>
  <c r="F70" i="2" s="1"/>
  <c r="C66" i="2"/>
  <c r="C67" i="2"/>
  <c r="C68" i="2"/>
  <c r="E68" i="2"/>
  <c r="E70" i="2" s="1"/>
  <c r="F68" i="2"/>
  <c r="C69" i="2"/>
  <c r="D69" i="2"/>
  <c r="E69" i="2"/>
  <c r="F69" i="2"/>
  <c r="G69" i="2"/>
  <c r="C70" i="2"/>
  <c r="D70" i="2"/>
  <c r="G70" i="2"/>
  <c r="G73" i="2" s="1"/>
  <c r="C71" i="2"/>
  <c r="D71" i="2"/>
  <c r="E71" i="2"/>
  <c r="C72" i="2"/>
  <c r="E72" i="2"/>
  <c r="C77" i="2"/>
  <c r="C83" i="2" s="1"/>
  <c r="D77" i="2"/>
  <c r="D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G95" i="2"/>
  <c r="E101" i="2"/>
  <c r="E102" i="2"/>
  <c r="C103" i="2"/>
  <c r="C104" i="2"/>
  <c r="C105" i="2"/>
  <c r="D107" i="2"/>
  <c r="F107" i="2"/>
  <c r="F137" i="2" s="1"/>
  <c r="G107" i="2"/>
  <c r="E110" i="2"/>
  <c r="C111" i="2"/>
  <c r="E111" i="2"/>
  <c r="E112" i="2"/>
  <c r="C113" i="2"/>
  <c r="C114" i="2"/>
  <c r="C115" i="2"/>
  <c r="E116" i="2"/>
  <c r="C117" i="2"/>
  <c r="E117" i="2"/>
  <c r="F120" i="2"/>
  <c r="G120" i="2"/>
  <c r="C122" i="2"/>
  <c r="E122" i="2"/>
  <c r="D126" i="2"/>
  <c r="E126" i="2"/>
  <c r="E136" i="2" s="1"/>
  <c r="F126" i="2"/>
  <c r="K411" i="1"/>
  <c r="K419" i="1"/>
  <c r="K426" i="1" s="1"/>
  <c r="G126" i="2" s="1"/>
  <c r="G136" i="2" s="1"/>
  <c r="G137" i="2" s="1"/>
  <c r="K425" i="1"/>
  <c r="L255" i="1"/>
  <c r="C127" i="2"/>
  <c r="E127" i="2"/>
  <c r="L256" i="1"/>
  <c r="C128" i="2"/>
  <c r="L257" i="1"/>
  <c r="C129" i="2" s="1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 s="1"/>
  <c r="G490" i="1"/>
  <c r="C153" i="2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/>
  <c r="I493" i="1"/>
  <c r="E156" i="2" s="1"/>
  <c r="J493" i="1"/>
  <c r="F156" i="2"/>
  <c r="F19" i="1"/>
  <c r="G19" i="1"/>
  <c r="H19" i="1"/>
  <c r="G609" i="1" s="1"/>
  <c r="J609" i="1" s="1"/>
  <c r="I19" i="1"/>
  <c r="G610" i="1" s="1"/>
  <c r="F33" i="1"/>
  <c r="G33" i="1"/>
  <c r="G44" i="1" s="1"/>
  <c r="H608" i="1" s="1"/>
  <c r="H33" i="1"/>
  <c r="I33" i="1"/>
  <c r="F43" i="1"/>
  <c r="F44" i="1" s="1"/>
  <c r="H607" i="1" s="1"/>
  <c r="J607" i="1" s="1"/>
  <c r="G43" i="1"/>
  <c r="H43" i="1"/>
  <c r="I43" i="1"/>
  <c r="G615" i="1" s="1"/>
  <c r="H44" i="1"/>
  <c r="F169" i="1"/>
  <c r="I169" i="1"/>
  <c r="F175" i="1"/>
  <c r="F184" i="1" s="1"/>
  <c r="G175" i="1"/>
  <c r="G184" i="1" s="1"/>
  <c r="H175" i="1"/>
  <c r="I175" i="1"/>
  <c r="J175" i="1"/>
  <c r="J184" i="1" s="1"/>
  <c r="F180" i="1"/>
  <c r="G180" i="1"/>
  <c r="H180" i="1"/>
  <c r="H184" i="1" s="1"/>
  <c r="I180" i="1"/>
  <c r="I184" i="1"/>
  <c r="F203" i="1"/>
  <c r="G203" i="1"/>
  <c r="G249" i="1" s="1"/>
  <c r="G263" i="1" s="1"/>
  <c r="H203" i="1"/>
  <c r="H249" i="1" s="1"/>
  <c r="H263" i="1" s="1"/>
  <c r="I203" i="1"/>
  <c r="J203" i="1"/>
  <c r="K203" i="1"/>
  <c r="K249" i="1" s="1"/>
  <c r="K263" i="1" s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49" i="1"/>
  <c r="F263" i="1" s="1"/>
  <c r="J249" i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H330" i="1"/>
  <c r="I330" i="1"/>
  <c r="H344" i="1"/>
  <c r="I344" i="1"/>
  <c r="F354" i="1"/>
  <c r="G354" i="1"/>
  <c r="H354" i="1"/>
  <c r="J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I393" i="1"/>
  <c r="F399" i="1"/>
  <c r="G399" i="1"/>
  <c r="H399" i="1"/>
  <c r="I399" i="1"/>
  <c r="F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H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J631" i="1" s="1"/>
  <c r="I444" i="1"/>
  <c r="F450" i="1"/>
  <c r="G450" i="1"/>
  <c r="H450" i="1"/>
  <c r="F451" i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G466" i="1"/>
  <c r="H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F519" i="1"/>
  <c r="G519" i="1"/>
  <c r="H519" i="1"/>
  <c r="H535" i="1" s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G535" i="1"/>
  <c r="K535" i="1"/>
  <c r="L547" i="1"/>
  <c r="L548" i="1"/>
  <c r="L550" i="1" s="1"/>
  <c r="L561" i="1" s="1"/>
  <c r="L549" i="1"/>
  <c r="F550" i="1"/>
  <c r="G550" i="1"/>
  <c r="H550" i="1"/>
  <c r="H561" i="1" s="1"/>
  <c r="I550" i="1"/>
  <c r="I561" i="1" s="1"/>
  <c r="J550" i="1"/>
  <c r="K550" i="1"/>
  <c r="L552" i="1"/>
  <c r="L555" i="1" s="1"/>
  <c r="L553" i="1"/>
  <c r="L554" i="1"/>
  <c r="F555" i="1"/>
  <c r="F561" i="1" s="1"/>
  <c r="G555" i="1"/>
  <c r="G561" i="1" s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J608" i="1" s="1"/>
  <c r="H609" i="1"/>
  <c r="G613" i="1"/>
  <c r="J613" i="1" s="1"/>
  <c r="H613" i="1"/>
  <c r="G614" i="1"/>
  <c r="H614" i="1"/>
  <c r="J614" i="1" s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0" i="1"/>
  <c r="G631" i="1"/>
  <c r="G633" i="1"/>
  <c r="J633" i="1" s="1"/>
  <c r="H633" i="1"/>
  <c r="G634" i="1"/>
  <c r="H637" i="1"/>
  <c r="G639" i="1"/>
  <c r="G640" i="1"/>
  <c r="J640" i="1" s="1"/>
  <c r="G641" i="1"/>
  <c r="J641" i="1" s="1"/>
  <c r="H641" i="1"/>
  <c r="G642" i="1"/>
  <c r="H642" i="1"/>
  <c r="J642" i="1" s="1"/>
  <c r="G643" i="1"/>
  <c r="H643" i="1"/>
  <c r="J643" i="1"/>
  <c r="G644" i="1"/>
  <c r="J644" i="1" s="1"/>
  <c r="H644" i="1"/>
  <c r="G645" i="1"/>
  <c r="J645" i="1" s="1"/>
  <c r="H645" i="1"/>
  <c r="J615" i="1" l="1"/>
  <c r="D73" i="2"/>
  <c r="F73" i="2"/>
  <c r="J19" i="1"/>
  <c r="G611" i="1" s="1"/>
  <c r="G9" i="2"/>
  <c r="G19" i="2" s="1"/>
  <c r="E55" i="2"/>
  <c r="G96" i="2"/>
  <c r="H650" i="1"/>
  <c r="H654" i="1" s="1"/>
  <c r="E33" i="13"/>
  <c r="D35" i="13" s="1"/>
  <c r="C8" i="13"/>
  <c r="H638" i="1"/>
  <c r="J638" i="1" s="1"/>
  <c r="C73" i="2"/>
  <c r="C55" i="2"/>
  <c r="C96" i="2" s="1"/>
  <c r="D55" i="2"/>
  <c r="G153" i="2"/>
  <c r="C54" i="2"/>
  <c r="K541" i="1"/>
  <c r="D43" i="2"/>
  <c r="H542" i="1"/>
  <c r="F185" i="1"/>
  <c r="G617" i="1" s="1"/>
  <c r="J617" i="1" s="1"/>
  <c r="G33" i="13"/>
  <c r="J610" i="1"/>
  <c r="K539" i="1"/>
  <c r="I185" i="1"/>
  <c r="G620" i="1" s="1"/>
  <c r="J620" i="1" s="1"/>
  <c r="G22" i="2"/>
  <c r="G32" i="2" s="1"/>
  <c r="J33" i="1"/>
  <c r="H185" i="1"/>
  <c r="G619" i="1" s="1"/>
  <c r="J619" i="1" s="1"/>
  <c r="L426" i="1"/>
  <c r="G628" i="1" s="1"/>
  <c r="J628" i="1" s="1"/>
  <c r="C130" i="2"/>
  <c r="C133" i="2" s="1"/>
  <c r="L400" i="1"/>
  <c r="C120" i="2"/>
  <c r="F651" i="1"/>
  <c r="H651" i="1"/>
  <c r="G156" i="2"/>
  <c r="J43" i="1"/>
  <c r="G37" i="2"/>
  <c r="G42" i="2" s="1"/>
  <c r="G43" i="2" s="1"/>
  <c r="G185" i="1"/>
  <c r="G618" i="1" s="1"/>
  <c r="J618" i="1" s="1"/>
  <c r="E73" i="2"/>
  <c r="F33" i="13"/>
  <c r="E120" i="2"/>
  <c r="C38" i="10"/>
  <c r="K354" i="1"/>
  <c r="G29" i="13"/>
  <c r="D29" i="13" s="1"/>
  <c r="C29" i="13" s="1"/>
  <c r="A40" i="12"/>
  <c r="L354" i="1"/>
  <c r="C5" i="13"/>
  <c r="H588" i="1"/>
  <c r="H639" i="1" s="1"/>
  <c r="J639" i="1" s="1"/>
  <c r="L529" i="1"/>
  <c r="L535" i="1" s="1"/>
  <c r="I450" i="1"/>
  <c r="I451" i="1" s="1"/>
  <c r="H632" i="1" s="1"/>
  <c r="K330" i="1"/>
  <c r="K344" i="1" s="1"/>
  <c r="C102" i="2"/>
  <c r="L221" i="1"/>
  <c r="H25" i="13"/>
  <c r="J330" i="1"/>
  <c r="J344" i="1" s="1"/>
  <c r="C18" i="10"/>
  <c r="L301" i="1"/>
  <c r="H393" i="1"/>
  <c r="H400" i="1" s="1"/>
  <c r="H634" i="1" s="1"/>
  <c r="J634" i="1" s="1"/>
  <c r="F77" i="2"/>
  <c r="F83" i="2" s="1"/>
  <c r="F96" i="2" s="1"/>
  <c r="J540" i="1"/>
  <c r="J542" i="1" s="1"/>
  <c r="G652" i="1"/>
  <c r="I652" i="1" s="1"/>
  <c r="L203" i="1"/>
  <c r="C17" i="10"/>
  <c r="L282" i="1"/>
  <c r="D17" i="13"/>
  <c r="C17" i="13" s="1"/>
  <c r="G612" i="1"/>
  <c r="J612" i="1" s="1"/>
  <c r="J263" i="1"/>
  <c r="I44" i="1"/>
  <c r="H610" i="1" s="1"/>
  <c r="E77" i="2"/>
  <c r="E83" i="2" s="1"/>
  <c r="F542" i="1"/>
  <c r="J104" i="1"/>
  <c r="J185" i="1" s="1"/>
  <c r="C106" i="2"/>
  <c r="C107" i="2" s="1"/>
  <c r="D119" i="2"/>
  <c r="D120" i="2" s="1"/>
  <c r="D137" i="2" s="1"/>
  <c r="C112" i="2"/>
  <c r="E105" i="2"/>
  <c r="E107" i="2" s="1"/>
  <c r="E137" i="2" s="1"/>
  <c r="C13" i="10"/>
  <c r="C35" i="10"/>
  <c r="G635" i="1"/>
  <c r="J635" i="1" s="1"/>
  <c r="F540" i="1"/>
  <c r="C32" i="10"/>
  <c r="G651" i="1"/>
  <c r="C12" i="10"/>
  <c r="D15" i="13"/>
  <c r="C15" i="13" s="1"/>
  <c r="D6" i="13"/>
  <c r="C6" i="13" s="1"/>
  <c r="I438" i="1"/>
  <c r="G632" i="1" s="1"/>
  <c r="J632" i="1" s="1"/>
  <c r="L374" i="1"/>
  <c r="G626" i="1" s="1"/>
  <c r="J626" i="1" s="1"/>
  <c r="C116" i="2"/>
  <c r="C136" i="2" l="1"/>
  <c r="C137" i="2" s="1"/>
  <c r="C27" i="10"/>
  <c r="G625" i="1"/>
  <c r="J625" i="1" s="1"/>
  <c r="E96" i="2"/>
  <c r="G616" i="1"/>
  <c r="J44" i="1"/>
  <c r="H611" i="1" s="1"/>
  <c r="J611" i="1" s="1"/>
  <c r="K540" i="1"/>
  <c r="C41" i="10"/>
  <c r="C36" i="10"/>
  <c r="C25" i="13"/>
  <c r="H33" i="13"/>
  <c r="I651" i="1"/>
  <c r="G636" i="1"/>
  <c r="G621" i="1"/>
  <c r="J621" i="1" s="1"/>
  <c r="H662" i="1"/>
  <c r="C6" i="10" s="1"/>
  <c r="H657" i="1"/>
  <c r="G650" i="1"/>
  <c r="G654" i="1" s="1"/>
  <c r="D31" i="13"/>
  <c r="C31" i="13" s="1"/>
  <c r="L330" i="1"/>
  <c r="L344" i="1" s="1"/>
  <c r="G623" i="1" s="1"/>
  <c r="J623" i="1" s="1"/>
  <c r="D96" i="2"/>
  <c r="L249" i="1"/>
  <c r="L263" i="1" s="1"/>
  <c r="G622" i="1" s="1"/>
  <c r="J622" i="1" s="1"/>
  <c r="F650" i="1"/>
  <c r="G627" i="1"/>
  <c r="J627" i="1" s="1"/>
  <c r="H636" i="1"/>
  <c r="K542" i="1"/>
  <c r="D40" i="10" l="1"/>
  <c r="D37" i="10"/>
  <c r="D39" i="10"/>
  <c r="G662" i="1"/>
  <c r="G657" i="1"/>
  <c r="D35" i="10"/>
  <c r="D41" i="10" s="1"/>
  <c r="J616" i="1"/>
  <c r="H646" i="1"/>
  <c r="I650" i="1"/>
  <c r="I654" i="1" s="1"/>
  <c r="F654" i="1"/>
  <c r="J636" i="1"/>
  <c r="D38" i="10"/>
  <c r="C28" i="10"/>
  <c r="D27" i="10" s="1"/>
  <c r="D33" i="13"/>
  <c r="D36" i="13" s="1"/>
  <c r="D36" i="10"/>
  <c r="F662" i="1" l="1"/>
  <c r="C4" i="10" s="1"/>
  <c r="F657" i="1"/>
  <c r="C30" i="10"/>
  <c r="D25" i="10"/>
  <c r="D22" i="10"/>
  <c r="D21" i="10"/>
  <c r="D19" i="10"/>
  <c r="D24" i="10"/>
  <c r="D16" i="10"/>
  <c r="D10" i="10"/>
  <c r="D11" i="10"/>
  <c r="D15" i="10"/>
  <c r="D26" i="10"/>
  <c r="D20" i="10"/>
  <c r="D23" i="10"/>
  <c r="D12" i="10"/>
  <c r="D17" i="10"/>
  <c r="D13" i="10"/>
  <c r="D18" i="10"/>
  <c r="I662" i="1"/>
  <c r="C7" i="10" s="1"/>
  <c r="I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0510965-5476-4435-8DCC-10DF915F8E4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4828770-CEF7-45C0-AB88-AF2451833E4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C3FD0E8-25BD-4E8D-8872-A47E39B95B5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DA4E689-48BE-44F1-B221-DF121365972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5077600-1EB7-47D7-9243-ED1A2E425B3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A426F4C-4D20-44E9-8F3E-02EC2EF7F6B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1C8ED1F-96E5-4FB9-8841-E32023DED6D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9A65636-0145-4A04-86CA-CC3080226A8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CE698F4-69E2-4B97-85F8-DF4AA74919F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A242229-0030-4CD8-94B1-0C426929658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F8CBEF9-2FB2-479B-A59E-D12911B6A53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8B47C26-5D2D-451F-A7ED-6FAF53DA103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<sst xmlns="http://schemas.openxmlformats.org/spreadsheetml/2006/main" count="3864" uniqueCount="901">
  <si>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</si>
  <si>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</si>
  <si>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</si>
  <si>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</si>
  <si>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</si>
  <si>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</si>
  <si>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</si>
  <si>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</si>
  <si>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</si>
  <si>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</si>
  <si>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</si>
  <si>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</si>
  <si>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</si>
  <si>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</si>
  <si>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</si>
  <si>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</si>
  <si>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</si>
  <si>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</si>
  <si>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</si>
  <si>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</si>
  <si>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</si>
  <si>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</si>
  <si>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</si>
  <si>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</si>
  <si>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</si>
  <si>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</si>
  <si>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</si>
  <si>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</si>
  <si>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</si>
  <si>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</si>
  <si>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</si>
  <si>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</si>
  <si>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</si>
  <si>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</si>
  <si>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</si>
  <si>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</si>
  <si>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</si>
  <si>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</si>
  <si>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</si>
  <si>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</si>
  <si>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</si>
  <si>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</si>
  <si>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</si>
  <si>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</si>
  <si>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</si>
  <si>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</si>
  <si>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</si>
  <si>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</si>
  <si>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</si>
  <si>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</si>
  <si>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</si>
  <si>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</si>
  <si>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</si>
  <si>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</si>
  <si>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</si>
  <si>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</si>
  <si>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</si>
  <si>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</si>
  <si>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</si>
  <si>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</si>
  <si>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</si>
  <si>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</si>
  <si>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</si>
  <si>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</si>
  <si>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</si>
  <si>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</si>
  <si>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</si>
  <si>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</si>
  <si>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</si>
  <si>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</si>
  <si>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</si>
  <si>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</si>
  <si>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</si>
  <si>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</si>
  <si>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</si>
  <si>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</si>
  <si>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</si>
  <si>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</si>
  <si>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</si>
  <si>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</si>
  <si>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</si>
  <si>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</si>
  <si>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</si>
  <si>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</si>
  <si>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</si>
  <si>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</si>
  <si>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</si>
  <si>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</si>
  <si>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</si>
  <si>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</si>
  <si>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</si>
  <si>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</si>
  <si>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</si>
  <si>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</si>
  <si>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</si>
  <si>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</si>
  <si>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</si>
  <si>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</si>
  <si>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</si>
  <si>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</si>
  <si>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</si>
  <si>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</si>
  <si>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</si>
  <si>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</si>
  <si>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</si>
  <si>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</si>
  <si>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</si>
  <si>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</si>
  <si>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</si>
  <si>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</si>
  <si>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</si>
  <si>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</si>
  <si>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</si>
  <si>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</si>
  <si>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</si>
  <si>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</si>
  <si>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</si>
  <si>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</si>
  <si>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</si>
  <si>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</si>
  <si>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</si>
  <si>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</si>
  <si>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</si>
  <si>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</si>
  <si>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</si>
  <si>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</si>
  <si>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</si>
  <si>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</si>
  <si>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</si>
  <si>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</si>
  <si>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</si>
  <si>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</si>
  <si>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</si>
  <si>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</si>
  <si>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</si>
  <si>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</si>
  <si>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</si>
  <si>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</si>
  <si>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</si>
  <si>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</si>
  <si>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</si>
  <si>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</si>
  <si>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</si>
  <si>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</si>
  <si>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</si>
  <si>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</si>
  <si>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</si>
  <si>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</si>
  <si>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</si>
  <si>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</si>
  <si>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</si>
  <si>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</si>
  <si>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</si>
  <si>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</si>
  <si>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</si>
  <si>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</si>
  <si>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</si>
  <si>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</si>
  <si>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</si>
  <si>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</si>
  <si>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</si>
  <si>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</si>
  <si>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</si>
  <si>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</si>
  <si>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</si>
  <si>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</si>
  <si>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</si>
  <si>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</si>
  <si>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</si>
  <si>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</si>
  <si>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</si>
  <si>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</si>
  <si>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</si>
  <si>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</si>
  <si>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</si>
  <si>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</si>
  <si>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</si>
  <si>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</si>
  <si>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</si>
  <si>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</si>
  <si>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</si>
  <si>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</si>
  <si>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</si>
  <si>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</si>
  <si>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</si>
  <si>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</si>
  <si>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</si>
  <si>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</si>
  <si>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</si>
  <si>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</si>
  <si>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</si>
  <si>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</si>
  <si>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</si>
  <si>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</si>
  <si>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</si>
  <si>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</si>
  <si>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</si>
  <si>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</si>
  <si>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</si>
  <si>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</si>
  <si>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</si>
  <si>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</si>
  <si>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</si>
  <si>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</si>
  <si>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</si>
  <si>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</si>
  <si>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</si>
  <si>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</si>
  <si>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</si>
  <si>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</si>
  <si>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</si>
  <si>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</si>
  <si>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</si>
  <si>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</si>
  <si>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</si>
  <si>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</si>
  <si>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</si>
  <si>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</si>
  <si>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</si>
  <si>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</si>
  <si>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</si>
  <si>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</si>
  <si>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</si>
  <si>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</si>
  <si>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</si>
  <si>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</si>
  <si>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</si>
  <si>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</si>
  <si>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</si>
  <si>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</si>
  <si>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</si>
  <si>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</si>
  <si>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</si>
  <si>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</si>
  <si>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</si>
  <si>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</si>
  <si>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</si>
  <si>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</si>
  <si>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</si>
  <si>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</si>
  <si>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</si>
  <si>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</si>
  <si>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</si>
  <si>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</si>
  <si>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</si>
  <si>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</si>
  <si>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</si>
  <si>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</si>
  <si>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</si>
  <si>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</si>
  <si>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</si>
  <si>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</si>
  <si>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</si>
  <si>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</si>
  <si>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</si>
  <si>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</si>
  <si>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</si>
  <si>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</si>
  <si>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</si>
  <si>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</si>
  <si>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</si>
  <si>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</si>
  <si>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</si>
  <si>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</si>
  <si>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</si>
  <si>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</si>
  <si>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</si>
  <si>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</si>
  <si>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</si>
  <si>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</si>
  <si>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</si>
  <si>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</si>
  <si>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</si>
  <si>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</si>
  <si>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</si>
  <si>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</si>
  <si>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</si>
  <si>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</si>
  <si>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</si>
  <si>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</si>
  <si>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</si>
  <si>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</si>
  <si>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</si>
  <si>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</si>
  <si>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</si>
  <si>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</si>
  <si>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</si>
  <si>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</si>
  <si>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</si>
  <si>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</si>
  <si>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</si>
  <si>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</si>
  <si>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</si>
  <si>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</si>
  <si>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</si>
  <si>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</si>
  <si>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</si>
  <si>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</si>
  <si>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</si>
  <si>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</si>
  <si>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</si>
  <si>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</si>
  <si>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</si>
  <si>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</si>
  <si>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</si>
  <si>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</si>
  <si>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</si>
  <si>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</si>
  <si>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</si>
  <si>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</si>
  <si>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</si>
  <si>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</si>
  <si>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</si>
  <si>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</si>
  <si>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</si>
  <si>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</si>
  <si>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</si>
  <si>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</si>
  <si>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</si>
  <si>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</si>
  <si>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</si>
  <si>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</si>
  <si>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</si>
  <si>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</si>
  <si>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</si>
  <si>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</si>
  <si>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</si>
  <si>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</si>
  <si>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</si>
  <si>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</si>
  <si>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</si>
  <si>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</si>
  <si>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</si>
  <si>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</si>
  <si>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</si>
  <si>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</si>
  <si>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</si>
  <si>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</si>
  <si>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</si>
  <si>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</si>
  <si>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</si>
  <si>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</si>
  <si>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</si>
  <si>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</si>
  <si>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</si>
  <si>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</si>
  <si>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</si>
  <si>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</si>
  <si>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</si>
  <si>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</si>
  <si>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</si>
  <si>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</si>
  <si>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</si>
  <si>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</si>
  <si>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</si>
  <si>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</si>
  <si>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</si>
  <si>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</si>
  <si>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</si>
  <si>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</si>
  <si>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</si>
  <si>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</si>
  <si>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</si>
  <si>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</si>
  <si>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</si>
  <si>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</si>
  <si>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</si>
  <si>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</si>
  <si>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</si>
  <si>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</si>
  <si>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</si>
  <si>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</si>
  <si>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</si>
  <si>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</si>
  <si>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</si>
  <si>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</si>
  <si>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</si>
  <si>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</si>
  <si>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</si>
  <si>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</si>
  <si>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</si>
  <si>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</si>
  <si>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</si>
  <si>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</si>
  <si>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</si>
  <si>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</si>
  <si>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</si>
  <si>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</si>
  <si>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</si>
  <si>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</si>
  <si>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</si>
  <si>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</si>
  <si>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</si>
  <si>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</si>
  <si>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</si>
  <si>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</si>
  <si>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</si>
  <si>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</si>
  <si>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</si>
  <si>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</si>
  <si>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</si>
  <si>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</si>
  <si>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</si>
  <si>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</si>
  <si>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</si>
  <si>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</si>
  <si>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</si>
  <si>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</si>
  <si>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</si>
  <si>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</si>
  <si>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</si>
  <si>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</si>
  <si>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</si>
  <si>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</si>
  <si>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</si>
  <si>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</si>
  <si>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</si>
  <si>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</si>
  <si>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</si>
  <si>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</si>
  <si>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</si>
  <si>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</si>
  <si>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</si>
  <si>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</si>
  <si>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</si>
  <si>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</si>
  <si>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</si>
  <si>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</si>
  <si>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</si>
  <si>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</si>
  <si>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</si>
  <si>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</si>
  <si>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</si>
  <si>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</si>
  <si>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</si>
  <si>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</si>
  <si>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</si>
  <si>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</si>
  <si>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</si>
  <si>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</si>
  <si>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</si>
  <si>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</si>
  <si>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</si>
  <si>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</si>
  <si>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</si>
  <si>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</si>
  <si>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</si>
  <si>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</si>
  <si>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</si>
  <si>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</si>
  <si>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</si>
  <si>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</si>
  <si>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</si>
  <si>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</si>
  <si>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</si>
  <si>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</si>
  <si>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</si>
  <si>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</si>
  <si>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</si>
  <si>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</si>
  <si>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</si>
  <si>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</si>
  <si>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</si>
  <si>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</si>
  <si>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</si>
  <si>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</si>
  <si>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</si>
  <si>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</si>
  <si>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</si>
  <si>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</si>
  <si>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</si>
  <si>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</si>
  <si>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</si>
  <si>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</si>
  <si>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</si>
  <si>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</si>
  <si>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</si>
  <si>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</si>
  <si>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</si>
  <si>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</si>
  <si>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</si>
  <si>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</si>
  <si>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</si>
  <si>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</si>
  <si>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</si>
  <si>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</si>
  <si>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</si>
  <si>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</si>
  <si>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</si>
  <si>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</si>
  <si>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</si>
  <si>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</si>
  <si>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</si>
  <si>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</si>
  <si>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</si>
  <si>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</si>
  <si>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</si>
  <si>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</si>
  <si>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</si>
  <si>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</si>
  <si>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</si>
  <si>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</si>
  <si>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</si>
  <si>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</si>
  <si>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</si>
  <si>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</si>
  <si>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</si>
  <si>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</si>
  <si>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</si>
  <si>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</si>
  <si>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</si>
  <si>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</si>
  <si>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</si>
  <si>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</si>
  <si>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</si>
  <si>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</si>
  <si>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</si>
  <si>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</si>
  <si>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</si>
  <si>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</si>
  <si>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</si>
  <si>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</si>
  <si>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</si>
  <si>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</si>
  <si>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</si>
  <si>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</si>
  <si>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</si>
  <si>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</si>
  <si>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</si>
  <si>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</si>
  <si>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</si>
  <si>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</si>
  <si>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</si>
  <si>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</si>
  <si>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</si>
  <si>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</si>
  <si>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</si>
  <si>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</si>
  <si>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</si>
  <si>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</si>
  <si>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</si>
  <si>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</si>
  <si>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</si>
  <si>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</si>
  <si>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</si>
  <si>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</si>
  <si>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</si>
  <si>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</si>
  <si>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</si>
  <si>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</si>
  <si>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</si>
  <si>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</si>
  <si>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</si>
  <si>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</si>
  <si>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</si>
  <si>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</si>
  <si>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</si>
  <si>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</si>
  <si>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</si>
  <si>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</si>
  <si>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</si>
  <si>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</si>
  <si>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</si>
  <si>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</si>
  <si>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</si>
  <si>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</si>
  <si>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</si>
  <si>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</si>
  <si>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</si>
  <si>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</si>
  <si>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</si>
  <si>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</si>
  <si>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</si>
  <si>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</si>
  <si>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</si>
  <si>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</si>
  <si>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</si>
  <si>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</si>
  <si>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</si>
  <si>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</si>
  <si>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</si>
  <si>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</si>
  <si>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</si>
  <si>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</si>
  <si>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</si>
  <si>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</si>
  <si>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</si>
  <si>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</si>
  <si>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</si>
  <si>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</si>
  <si>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</si>
  <si>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</si>
  <si>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</si>
  <si>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</si>
  <si>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</si>
  <si>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</si>
  <si>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</si>
  <si>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</si>
  <si>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</si>
  <si>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</si>
  <si>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</si>
  <si>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</si>
  <si>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</si>
  <si>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</si>
  <si>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</si>
  <si>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</si>
  <si>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</si>
  <si>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</si>
  <si>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</si>
  <si>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</si>
  <si>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</si>
  <si>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</si>
  <si>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</si>
  <si>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</si>
  <si>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</si>
  <si>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</si>
  <si>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</si>
  <si>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</si>
  <si>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</si>
  <si>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</si>
  <si>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</si>
  <si>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</si>
  <si>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</si>
  <si>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</si>
  <si>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</si>
  <si>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</si>
  <si>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</si>
  <si>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</si>
  <si>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</si>
  <si>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</si>
  <si>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</si>
  <si>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</si>
  <si>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</si>
  <si>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</si>
  <si>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</si>
  <si>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</si>
  <si>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</si>
  <si>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</si>
  <si>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</si>
  <si>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</si>
  <si>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</si>
  <si>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</si>
  <si>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</si>
  <si>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</si>
  <si>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</si>
  <si>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</si>
  <si>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</si>
  <si>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</si>
  <si>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</si>
  <si>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</si>
  <si>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</si>
  <si>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</si>
  <si>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</si>
  <si>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</si>
  <si>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</si>
  <si>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</si>
  <si>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</si>
  <si>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</si>
  <si>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</si>
  <si>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</si>
  <si>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</si>
  <si>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</si>
  <si>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</si>
  <si>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</si>
  <si>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</si>
  <si>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</si>
  <si>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</si>
  <si>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</si>
  <si>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</si>
  <si>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</si>
  <si>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</si>
  <si>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</si>
  <si>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</si>
  <si>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</si>
  <si>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</si>
  <si>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</si>
  <si>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</si>
  <si>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</si>
  <si>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</si>
  <si>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</si>
  <si>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</si>
  <si>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</si>
  <si>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</si>
  <si>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</si>
  <si>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</si>
  <si>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</si>
  <si>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</si>
  <si>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</si>
  <si>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</si>
  <si>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</si>
  <si>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</si>
  <si>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</si>
  <si>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</si>
  <si>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</si>
  <si>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</si>
  <si>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</si>
  <si>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</si>
  <si>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</si>
  <si>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</si>
  <si>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</si>
  <si>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</si>
  <si>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</si>
  <si>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</si>
  <si>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</si>
  <si>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</si>
  <si>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</si>
  <si>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</si>
  <si>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</si>
  <si>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</si>
  <si>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</si>
  <si>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</si>
  <si>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</si>
  <si>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</si>
  <si>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</si>
  <si>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</si>
  <si>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</si>
  <si>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</si>
  <si>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</si>
  <si>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</si>
  <si>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</si>
  <si>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</si>
  <si>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</si>
  <si>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</si>
  <si>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</si>
  <si>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</si>
  <si>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</si>
  <si>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</si>
  <si>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</si>
  <si>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</si>
  <si>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</si>
  <si>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</si>
  <si>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</si>
  <si>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</si>
  <si>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</si>
  <si>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</si>
  <si>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</si>
  <si>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</si>
  <si>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</si>
  <si>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</si>
  <si>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</si>
  <si>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</si>
  <si>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</si>
  <si>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</si>
  <si>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</si>
  <si>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</si>
  <si>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</si>
  <si>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</si>
  <si>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</si>
  <si>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</si>
  <si>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</si>
  <si>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</si>
  <si>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</si>
  <si>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</si>
  <si>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</si>
  <si>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</si>
  <si>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</si>
  <si>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</si>
  <si>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</si>
  <si>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</si>
  <si>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</si>
  <si>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</si>
  <si>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</si>
  <si>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</si>
  <si>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</si>
  <si>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</si>
  <si>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</si>
  <si>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</si>
  <si>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</si>
  <si>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</si>
  <si>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</si>
  <si>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</si>
  <si>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</si>
  <si>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</si>
  <si>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</si>
  <si>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</si>
  <si>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</si>
  <si>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</si>
  <si>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</si>
  <si>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</si>
  <si>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</si>
  <si>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</si>
  <si>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</si>
  <si>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</si>
  <si>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</si>
  <si>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</si>
  <si>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</si>
  <si>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</si>
  <si>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</si>
  <si>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</si>
  <si>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</si>
  <si>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</si>
  <si>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</si>
  <si>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</si>
  <si>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</si>
  <si>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</si>
  <si>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</si>
  <si>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</si>
  <si>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</si>
  <si>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</si>
  <si>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</si>
  <si>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</si>
  <si>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</si>
  <si>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</si>
  <si>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</si>
  <si>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</si>
  <si>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</si>
  <si>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</si>
  <si>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</si>
  <si>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</si>
  <si>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</si>
  <si>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</si>
  <si>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</si>
  <si>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</si>
  <si>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</si>
  <si>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</si>
  <si>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</si>
  <si>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</si>
  <si>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</si>
  <si>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</si>
  <si>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</si>
  <si>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</si>
  <si>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</si>
  <si>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</si>
  <si>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</si>
  <si>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</si>
  <si>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</si>
  <si>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</si>
  <si>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</si>
  <si>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</si>
  <si>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</si>
  <si>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</si>
  <si>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</si>
  <si>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</si>
  <si>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</si>
  <si>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</si>
  <si>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</si>
  <si>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</si>
  <si>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</si>
  <si>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</si>
  <si>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</si>
  <si>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</si>
  <si>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</si>
  <si>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</si>
  <si>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</si>
  <si>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</si>
  <si>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</si>
  <si>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</si>
  <si>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</si>
  <si>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</si>
  <si>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</si>
  <si>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</si>
  <si>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</si>
  <si>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</si>
  <si>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</si>
  <si>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</si>
  <si>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</si>
  <si>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</si>
  <si>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</si>
  <si>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</si>
  <si>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</si>
  <si>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</si>
  <si>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</si>
  <si>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</si>
  <si>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</si>
  <si>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</si>
  <si>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</si>
  <si>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</si>
  <si>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</si>
  <si>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</si>
  <si>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</si>
  <si>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</si>
  <si>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</si>
  <si>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</si>
  <si>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</si>
  <si>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</si>
  <si>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</si>
  <si>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</si>
  <si>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</si>
  <si>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</si>
  <si>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</si>
  <si>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</si>
  <si>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</si>
  <si>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</si>
  <si>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</si>
  <si>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</si>
  <si>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</si>
  <si>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</si>
  <si>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</si>
  <si>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</si>
  <si>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</si>
  <si>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</si>
  <si>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</si>
  <si>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</si>
  <si>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</si>
  <si>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Inter-Lakes School District</t>
  </si>
  <si>
    <t>07/07</t>
  </si>
  <si>
    <t>02/12</t>
  </si>
  <si>
    <t>7 and 9</t>
  </si>
  <si>
    <t>14,17</t>
  </si>
  <si>
    <t>Tuition moved from Regular Ed programs to Special Programs lines 18 and 21</t>
  </si>
  <si>
    <t>These are post retirement benefits (health, dental,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</si>
</sst>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9AB1-EC61-4DED-A6FF-3CAD7EDBB080}">
  <sheetPr transitionEvaluation="1" transitionEntry="1" codeName="Sheet1">
    <tabColor indexed="56"/>
  </sheetPr>
  <dimension ref="A1:AQ666"/>
  <sheetViews>
    <sheetView tabSelected="1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269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970339.06+2800</f>
        <v>973139.06</v>
      </c>
      <c r="G9" s="18"/>
      <c r="H9" s="18"/>
      <c r="I9" s="18">
        <v>3231.11</v>
      </c>
      <c r="J9" s="67">
        <f>SUM(I431)</f>
        <v>511424.25999999995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3004546.32</v>
      </c>
      <c r="G12" s="18">
        <v>1455851.14</v>
      </c>
      <c r="H12" s="18">
        <v>1481849.12</v>
      </c>
      <c r="I12" s="18"/>
      <c r="J12" s="67">
        <f>SUM(I433)</f>
        <v>25000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130334.24</v>
      </c>
      <c r="G13" s="18">
        <v>43237.19</v>
      </c>
      <c r="H13" s="18">
        <v>91469.85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-3094.66</v>
      </c>
      <c r="G14" s="18">
        <v>-5587.97</v>
      </c>
      <c r="H14" s="18">
        <v>540.37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79439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4184363.96</v>
      </c>
      <c r="G19" s="41">
        <f>SUM(G9:G18)</f>
        <v>1493500.3599999999</v>
      </c>
      <c r="H19" s="41">
        <f>SUM(H9:H18)</f>
        <v>1573859.3400000003</v>
      </c>
      <c r="I19" s="41">
        <f>SUM(I9:I18)</f>
        <v>3231.11</v>
      </c>
      <c r="J19" s="41">
        <f>SUM(J9:J18)</f>
        <v>536424.26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2962722.64</v>
      </c>
      <c r="G23" s="18">
        <v>1465068.97</v>
      </c>
      <c r="H23" s="18">
        <v>1514454.97</v>
      </c>
      <c r="I23" s="18"/>
      <c r="J23" s="67">
        <f>SUM(I440)</f>
        <v>25000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508236.35</v>
      </c>
      <c r="G25" s="18">
        <v>811.75</v>
      </c>
      <c r="H25" s="18">
        <v>36638.1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14462.02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4623.88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3485421.0100000002</v>
      </c>
      <c r="G33" s="41">
        <f>SUM(G23:G32)</f>
        <v>1465880.72</v>
      </c>
      <c r="H33" s="41">
        <f>SUM(H23:H32)</f>
        <v>1555716.95</v>
      </c>
      <c r="I33" s="41">
        <f>SUM(I23:I32)</f>
        <v>0</v>
      </c>
      <c r="J33" s="41">
        <f>SUM(J23:J32)</f>
        <v>25000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301673.75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27619.64</v>
      </c>
      <c r="H41" s="18">
        <v>18142.39</v>
      </c>
      <c r="I41" s="18">
        <v>3231.11</v>
      </c>
      <c r="J41" s="13">
        <f>SUM(I449)</f>
        <v>511424.26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347269.2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698942.95</v>
      </c>
      <c r="G43" s="41">
        <f>SUM(G35:G42)</f>
        <v>27619.64</v>
      </c>
      <c r="H43" s="41">
        <f>SUM(H35:H42)</f>
        <v>18142.39</v>
      </c>
      <c r="I43" s="41">
        <f>SUM(I35:I42)</f>
        <v>3231.11</v>
      </c>
      <c r="J43" s="41">
        <f>SUM(J35:J42)</f>
        <v>511424.26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4184363.96</v>
      </c>
      <c r="G44" s="41">
        <f>G43+G33</f>
        <v>1493500.3599999999</v>
      </c>
      <c r="H44" s="41">
        <f>H43+H33</f>
        <v>1573859.3399999999</v>
      </c>
      <c r="I44" s="41">
        <f>I43+I33</f>
        <v>3231.11</v>
      </c>
      <c r="J44" s="41">
        <f>J43+J33</f>
        <v>536424.26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12525378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12525378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15084.54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7818.5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22903.040000000001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5953.49</v>
      </c>
      <c r="G88" s="18"/>
      <c r="H88" s="18"/>
      <c r="I88" s="18"/>
      <c r="J88" s="18">
        <v>645.63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247156.95+5038.56+1422.15</f>
        <v>253617.66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3035.2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11874.65+24435</f>
        <v>36309.65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4412.3100000000004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23135.54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27340.29</v>
      </c>
      <c r="G102" s="18"/>
      <c r="H102" s="18">
        <v>70863.72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95774.170000000013</v>
      </c>
      <c r="G103" s="41">
        <f>SUM(G88:G102)</f>
        <v>253617.66</v>
      </c>
      <c r="H103" s="41">
        <f>SUM(H88:H102)</f>
        <v>75276.03</v>
      </c>
      <c r="I103" s="41">
        <f>SUM(I88:I102)</f>
        <v>0</v>
      </c>
      <c r="J103" s="41">
        <f>SUM(J88:J102)</f>
        <v>645.63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12644055.209999999</v>
      </c>
      <c r="G104" s="41">
        <f>G52+G103</f>
        <v>253617.66</v>
      </c>
      <c r="H104" s="41">
        <f>H52+H71+H86+H103</f>
        <v>75276.03</v>
      </c>
      <c r="I104" s="41">
        <f>I52+I103</f>
        <v>0</v>
      </c>
      <c r="J104" s="41">
        <f>J52+J103</f>
        <v>645.63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240266.6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6269006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8714.4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6517987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175983.34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28160.42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9908.14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5235.82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8550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13493.09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222601.90000000002</v>
      </c>
      <c r="G128" s="41">
        <f>SUM(G115:G127)</f>
        <v>5235.82</v>
      </c>
      <c r="H128" s="41">
        <f>SUM(H115:H127)</f>
        <v>13493.09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6740588.9000000004</v>
      </c>
      <c r="G132" s="41">
        <f>G113+SUM(G128:G129)</f>
        <v>5235.82</v>
      </c>
      <c r="H132" s="41">
        <f>H113+SUM(H128:H131)</f>
        <v>13493.09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272761.53999999998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97951.47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167396.99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72031.41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47321.74</v>
      </c>
      <c r="G153" s="18"/>
      <c r="H153" s="18">
        <v>35020.269999999997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119353.15</v>
      </c>
      <c r="G154" s="41">
        <f>SUM(G142:G153)</f>
        <v>167396.99</v>
      </c>
      <c r="H154" s="41">
        <f>SUM(H142:H153)</f>
        <v>405733.28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12110.15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131463.29999999999</v>
      </c>
      <c r="G161" s="41">
        <f>G139+G154+SUM(G155:G160)</f>
        <v>167396.99</v>
      </c>
      <c r="H161" s="41">
        <f>H139+H154+SUM(H155:H160)</f>
        <v>405733.28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19516107.41</v>
      </c>
      <c r="G185" s="47">
        <f>G104+G132+G161+G184</f>
        <v>426250.47</v>
      </c>
      <c r="H185" s="47">
        <f>H104+H132+H161+H184</f>
        <v>494502.40000000002</v>
      </c>
      <c r="I185" s="47">
        <f>I104+I132+I161+I184</f>
        <v>0</v>
      </c>
      <c r="J185" s="47">
        <f>J104+J132+J184</f>
        <v>645.63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3518337.01</v>
      </c>
      <c r="G189" s="18">
        <v>1387264.45</v>
      </c>
      <c r="H189" s="18">
        <v>42540.14</v>
      </c>
      <c r="I189" s="18">
        <v>87251.96</v>
      </c>
      <c r="J189" s="18">
        <v>5889.27</v>
      </c>
      <c r="K189" s="18">
        <v>117</v>
      </c>
      <c r="L189" s="19">
        <f>SUM(F189:K189)</f>
        <v>5041399.8299999991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1553065.97</v>
      </c>
      <c r="G190" s="18">
        <v>668710.57999999996</v>
      </c>
      <c r="H190" s="18">
        <v>81982.899999999994</v>
      </c>
      <c r="I190" s="18">
        <v>2256.9499999999998</v>
      </c>
      <c r="J190" s="18">
        <v>0</v>
      </c>
      <c r="K190" s="18">
        <v>0</v>
      </c>
      <c r="L190" s="19">
        <f>SUM(F190:K190)</f>
        <v>2306016.4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86796</v>
      </c>
      <c r="G192" s="18">
        <v>11303.97</v>
      </c>
      <c r="H192" s="18">
        <v>947.88</v>
      </c>
      <c r="I192" s="18">
        <v>3391.39</v>
      </c>
      <c r="J192" s="18"/>
      <c r="K192" s="18">
        <v>1465</v>
      </c>
      <c r="L192" s="19">
        <f>SUM(F192:K192)</f>
        <v>103904.24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573149.6</v>
      </c>
      <c r="G194" s="18">
        <v>261361.15</v>
      </c>
      <c r="H194" s="18">
        <v>105117.77</v>
      </c>
      <c r="I194" s="18">
        <v>7727.6</v>
      </c>
      <c r="J194" s="18">
        <v>2012.59</v>
      </c>
      <c r="K194" s="18">
        <v>146.13999999999999</v>
      </c>
      <c r="L194" s="19">
        <f t="shared" ref="L194:L200" si="0">SUM(F194:K194)</f>
        <v>949514.85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323989.17</v>
      </c>
      <c r="G195" s="18">
        <v>144828.39000000001</v>
      </c>
      <c r="H195" s="18">
        <v>79679.839999999997</v>
      </c>
      <c r="I195" s="18">
        <v>36101.53</v>
      </c>
      <c r="J195" s="18">
        <v>115687.18</v>
      </c>
      <c r="K195" s="18">
        <v>2378.6999999999998</v>
      </c>
      <c r="L195" s="19">
        <f t="shared" si="0"/>
        <v>702664.81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5330</v>
      </c>
      <c r="G196" s="18">
        <v>407.75</v>
      </c>
      <c r="H196" s="18">
        <v>475530.5</v>
      </c>
      <c r="I196" s="18">
        <v>2041.44</v>
      </c>
      <c r="J196" s="18">
        <v>0</v>
      </c>
      <c r="K196" s="18">
        <v>5599.5</v>
      </c>
      <c r="L196" s="19">
        <f t="shared" si="0"/>
        <v>488909.19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456246.51</v>
      </c>
      <c r="G197" s="18">
        <v>221519.2</v>
      </c>
      <c r="H197" s="18">
        <v>44805.95</v>
      </c>
      <c r="I197" s="18">
        <v>3044.78</v>
      </c>
      <c r="J197" s="18">
        <v>199.49</v>
      </c>
      <c r="K197" s="18">
        <v>1429</v>
      </c>
      <c r="L197" s="19">
        <f t="shared" si="0"/>
        <v>727244.92999999993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8474.3799999999992</v>
      </c>
      <c r="G198" s="18">
        <v>736.56</v>
      </c>
      <c r="H198" s="18"/>
      <c r="I198" s="18">
        <v>331.08</v>
      </c>
      <c r="J198" s="18">
        <v>726.38</v>
      </c>
      <c r="K198" s="18">
        <v>0</v>
      </c>
      <c r="L198" s="19">
        <f t="shared" si="0"/>
        <v>10268.399999999998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357616.8</v>
      </c>
      <c r="G199" s="18">
        <v>199096.94</v>
      </c>
      <c r="H199" s="18">
        <v>382799.78</v>
      </c>
      <c r="I199" s="18">
        <v>275807.05</v>
      </c>
      <c r="J199" s="18">
        <v>11748.63</v>
      </c>
      <c r="K199" s="18">
        <v>0</v>
      </c>
      <c r="L199" s="19">
        <f t="shared" si="0"/>
        <v>1227069.2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493695.79</v>
      </c>
      <c r="I200" s="18"/>
      <c r="J200" s="18"/>
      <c r="K200" s="18"/>
      <c r="L200" s="19">
        <f t="shared" si="0"/>
        <v>493695.79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291997.28999999998</v>
      </c>
      <c r="H201" s="18"/>
      <c r="I201" s="18"/>
      <c r="J201" s="18"/>
      <c r="K201" s="18"/>
      <c r="L201" s="19">
        <f>SUM(F201:K201)</f>
        <v>291997.28999999998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6883005.4399999985</v>
      </c>
      <c r="G203" s="41">
        <f t="shared" si="1"/>
        <v>3187226.2800000003</v>
      </c>
      <c r="H203" s="41">
        <f t="shared" si="1"/>
        <v>1707100.55</v>
      </c>
      <c r="I203" s="41">
        <f t="shared" si="1"/>
        <v>417953.77999999997</v>
      </c>
      <c r="J203" s="41">
        <f t="shared" si="1"/>
        <v>136263.54</v>
      </c>
      <c r="K203" s="41">
        <f t="shared" si="1"/>
        <v>11135.34</v>
      </c>
      <c r="L203" s="41">
        <f t="shared" si="1"/>
        <v>12342684.929999996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1776513.32</v>
      </c>
      <c r="G225" s="18">
        <v>718464.13</v>
      </c>
      <c r="H225" s="18">
        <v>31456.84</v>
      </c>
      <c r="I225" s="18">
        <v>81384.56</v>
      </c>
      <c r="J225" s="18">
        <v>6274.62</v>
      </c>
      <c r="K225" s="18">
        <v>0</v>
      </c>
      <c r="L225" s="19">
        <f>SUM(F225:K225)</f>
        <v>2614093.4700000002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374048.58</v>
      </c>
      <c r="G226" s="18">
        <v>109912.24</v>
      </c>
      <c r="H226" s="18">
        <v>179347.7</v>
      </c>
      <c r="I226" s="18">
        <v>1421.56</v>
      </c>
      <c r="J226" s="18">
        <v>0</v>
      </c>
      <c r="K226" s="18">
        <v>0</v>
      </c>
      <c r="L226" s="19">
        <f>SUM(F226:K226)</f>
        <v>664730.08000000007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95691.7</v>
      </c>
      <c r="I227" s="18"/>
      <c r="J227" s="18"/>
      <c r="K227" s="18"/>
      <c r="L227" s="19">
        <f>SUM(F227:K227)</f>
        <v>95691.7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199479.16</v>
      </c>
      <c r="G228" s="18">
        <v>31218.7</v>
      </c>
      <c r="H228" s="18">
        <v>63864.44</v>
      </c>
      <c r="I228" s="18">
        <v>13826.44</v>
      </c>
      <c r="J228" s="18">
        <v>9007.27</v>
      </c>
      <c r="K228" s="18">
        <v>10801.34</v>
      </c>
      <c r="L228" s="19">
        <f>SUM(F228:K228)</f>
        <v>328197.35000000009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308166.49</v>
      </c>
      <c r="G230" s="18">
        <v>149942.42000000001</v>
      </c>
      <c r="H230" s="18">
        <v>24702.65</v>
      </c>
      <c r="I230" s="18">
        <v>7130.17</v>
      </c>
      <c r="J230" s="18">
        <v>1762.16</v>
      </c>
      <c r="K230" s="18">
        <v>8.75</v>
      </c>
      <c r="L230" s="19">
        <f t="shared" ref="L230:L236" si="4">SUM(F230:K230)</f>
        <v>491712.64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158296.53</v>
      </c>
      <c r="G231" s="18">
        <v>76016.62</v>
      </c>
      <c r="H231" s="18">
        <v>52646.74</v>
      </c>
      <c r="I231" s="18">
        <v>14266.74</v>
      </c>
      <c r="J231" s="18">
        <v>60978.06</v>
      </c>
      <c r="K231" s="18">
        <v>298.3</v>
      </c>
      <c r="L231" s="19">
        <f t="shared" si="4"/>
        <v>362502.99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2870</v>
      </c>
      <c r="G232" s="18">
        <v>219.56</v>
      </c>
      <c r="H232" s="18">
        <v>256054.89</v>
      </c>
      <c r="I232" s="18">
        <v>1099.24</v>
      </c>
      <c r="J232" s="18">
        <v>0</v>
      </c>
      <c r="K232" s="18">
        <v>3015.11</v>
      </c>
      <c r="L232" s="19">
        <f t="shared" si="4"/>
        <v>263258.8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229983.4</v>
      </c>
      <c r="G233" s="18">
        <v>86030.84</v>
      </c>
      <c r="H233" s="18">
        <v>64774.06</v>
      </c>
      <c r="I233" s="18">
        <v>11056.8</v>
      </c>
      <c r="J233" s="18">
        <v>0</v>
      </c>
      <c r="K233" s="18">
        <v>10608</v>
      </c>
      <c r="L233" s="19">
        <f t="shared" si="4"/>
        <v>402453.1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4563.13</v>
      </c>
      <c r="G234" s="18">
        <v>396.61</v>
      </c>
      <c r="H234" s="18">
        <v>0</v>
      </c>
      <c r="I234" s="18">
        <v>178.27</v>
      </c>
      <c r="J234" s="18">
        <v>391.13</v>
      </c>
      <c r="K234" s="18">
        <v>0</v>
      </c>
      <c r="L234" s="19">
        <f t="shared" si="4"/>
        <v>5529.14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177256.95</v>
      </c>
      <c r="G235" s="18">
        <v>101448</v>
      </c>
      <c r="H235" s="18">
        <v>235837.86</v>
      </c>
      <c r="I235" s="18">
        <v>210435.39</v>
      </c>
      <c r="J235" s="18">
        <v>6114.19</v>
      </c>
      <c r="K235" s="18">
        <v>0</v>
      </c>
      <c r="L235" s="19">
        <f t="shared" si="4"/>
        <v>731092.3899999999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352826.53</v>
      </c>
      <c r="I236" s="18"/>
      <c r="J236" s="18"/>
      <c r="K236" s="18"/>
      <c r="L236" s="19">
        <f t="shared" si="4"/>
        <v>352826.53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v>157229.33100000001</v>
      </c>
      <c r="H237" s="18"/>
      <c r="I237" s="18"/>
      <c r="J237" s="18"/>
      <c r="K237" s="18"/>
      <c r="L237" s="19">
        <f>SUM(F237:K237)</f>
        <v>157229.33100000001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3231177.5599999996</v>
      </c>
      <c r="G239" s="41">
        <f t="shared" si="5"/>
        <v>1430878.4510000001</v>
      </c>
      <c r="H239" s="41">
        <f t="shared" si="5"/>
        <v>1357203.4100000001</v>
      </c>
      <c r="I239" s="41">
        <f t="shared" si="5"/>
        <v>340799.17000000004</v>
      </c>
      <c r="J239" s="41">
        <f t="shared" si="5"/>
        <v>84527.430000000008</v>
      </c>
      <c r="K239" s="41">
        <f t="shared" si="5"/>
        <v>24731.5</v>
      </c>
      <c r="L239" s="41">
        <f t="shared" si="5"/>
        <v>6469317.5209999997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10114182.999999998</v>
      </c>
      <c r="G249" s="41">
        <f t="shared" si="8"/>
        <v>4618104.7310000006</v>
      </c>
      <c r="H249" s="41">
        <f t="shared" si="8"/>
        <v>3064303.96</v>
      </c>
      <c r="I249" s="41">
        <f t="shared" si="8"/>
        <v>758752.95</v>
      </c>
      <c r="J249" s="41">
        <f t="shared" si="8"/>
        <v>220790.97000000003</v>
      </c>
      <c r="K249" s="41">
        <f t="shared" si="8"/>
        <v>35866.839999999997</v>
      </c>
      <c r="L249" s="41">
        <f t="shared" si="8"/>
        <v>18812002.450999998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290000</v>
      </c>
      <c r="L252" s="19">
        <f>SUM(F252:K252)</f>
        <v>290000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19622.77</v>
      </c>
      <c r="L253" s="19">
        <f>SUM(F253:K253)</f>
        <v>19622.77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309622.77</v>
      </c>
      <c r="L262" s="41">
        <f t="shared" si="9"/>
        <v>309622.77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10114182.999999998</v>
      </c>
      <c r="G263" s="42">
        <f t="shared" si="11"/>
        <v>4618104.7310000006</v>
      </c>
      <c r="H263" s="42">
        <f t="shared" si="11"/>
        <v>3064303.96</v>
      </c>
      <c r="I263" s="42">
        <f t="shared" si="11"/>
        <v>758752.95</v>
      </c>
      <c r="J263" s="42">
        <f t="shared" si="11"/>
        <v>220790.97000000003</v>
      </c>
      <c r="K263" s="42">
        <f t="shared" si="11"/>
        <v>345489.61</v>
      </c>
      <c r="L263" s="42">
        <f t="shared" si="11"/>
        <v>19121625.220999997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146598.45000000001</v>
      </c>
      <c r="G268" s="18">
        <v>45027.55</v>
      </c>
      <c r="H268" s="18">
        <v>2000</v>
      </c>
      <c r="I268" s="18">
        <v>5732.08</v>
      </c>
      <c r="J268" s="18">
        <v>421.12</v>
      </c>
      <c r="K268" s="18">
        <v>0</v>
      </c>
      <c r="L268" s="19">
        <f>SUM(F268:K268)</f>
        <v>199779.19999999998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1080.3</v>
      </c>
      <c r="I271" s="18">
        <v>3352.6</v>
      </c>
      <c r="J271" s="18">
        <v>0</v>
      </c>
      <c r="K271" s="18">
        <v>0</v>
      </c>
      <c r="L271" s="19">
        <f>SUM(F271:K271)</f>
        <v>4432.8999999999996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19678.53</v>
      </c>
      <c r="G273" s="18">
        <v>3435.68</v>
      </c>
      <c r="H273" s="18">
        <v>8008.85</v>
      </c>
      <c r="I273" s="18">
        <v>3264.39</v>
      </c>
      <c r="J273" s="18">
        <v>0</v>
      </c>
      <c r="K273" s="18">
        <v>0</v>
      </c>
      <c r="L273" s="19">
        <f t="shared" ref="L273:L279" si="12">SUM(F273:K273)</f>
        <v>34387.449999999997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11766.668</v>
      </c>
      <c r="G274" s="18">
        <v>1904.42</v>
      </c>
      <c r="H274" s="18">
        <v>26748.41</v>
      </c>
      <c r="I274" s="18">
        <v>4129.63</v>
      </c>
      <c r="J274" s="18">
        <v>20419.84</v>
      </c>
      <c r="K274" s="18">
        <v>1604.21</v>
      </c>
      <c r="L274" s="19">
        <f t="shared" si="12"/>
        <v>66573.178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325</v>
      </c>
      <c r="G275" s="18">
        <v>50.93</v>
      </c>
      <c r="H275" s="18">
        <v>0</v>
      </c>
      <c r="I275" s="18">
        <v>0</v>
      </c>
      <c r="J275" s="18">
        <v>0</v>
      </c>
      <c r="K275" s="18">
        <v>8815.35</v>
      </c>
      <c r="L275" s="19">
        <f t="shared" si="12"/>
        <v>9191.2800000000007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1656.91</v>
      </c>
      <c r="I279" s="18"/>
      <c r="J279" s="18"/>
      <c r="K279" s="18"/>
      <c r="L279" s="19">
        <f t="shared" si="12"/>
        <v>1656.91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178368.64800000002</v>
      </c>
      <c r="G282" s="42">
        <f t="shared" si="13"/>
        <v>50418.58</v>
      </c>
      <c r="H282" s="42">
        <f t="shared" si="13"/>
        <v>39494.47</v>
      </c>
      <c r="I282" s="42">
        <f t="shared" si="13"/>
        <v>16478.7</v>
      </c>
      <c r="J282" s="42">
        <f t="shared" si="13"/>
        <v>20840.96</v>
      </c>
      <c r="K282" s="42">
        <f t="shared" si="13"/>
        <v>10419.560000000001</v>
      </c>
      <c r="L282" s="41">
        <f t="shared" si="13"/>
        <v>316020.91800000001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78937.63</v>
      </c>
      <c r="G306" s="18">
        <v>24245.599999999999</v>
      </c>
      <c r="H306" s="18">
        <v>0</v>
      </c>
      <c r="I306" s="18">
        <v>3086.5</v>
      </c>
      <c r="J306" s="18">
        <v>226.75</v>
      </c>
      <c r="K306" s="18">
        <v>0</v>
      </c>
      <c r="L306" s="19">
        <f>SUM(F306:K306)</f>
        <v>106496.48000000001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581.70000000000005</v>
      </c>
      <c r="I309" s="18">
        <v>1805.24</v>
      </c>
      <c r="J309" s="18">
        <v>0</v>
      </c>
      <c r="K309" s="18">
        <v>0</v>
      </c>
      <c r="L309" s="19">
        <f>SUM(F309:K309)</f>
        <v>2386.94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10596.13</v>
      </c>
      <c r="G311" s="18">
        <v>1849.98</v>
      </c>
      <c r="H311" s="18">
        <v>4312.46</v>
      </c>
      <c r="I311" s="18">
        <v>1757.75</v>
      </c>
      <c r="J311" s="18">
        <v>0</v>
      </c>
      <c r="K311" s="18">
        <v>0</v>
      </c>
      <c r="L311" s="19">
        <f t="shared" ref="L311:L317" si="16">SUM(F311:K311)</f>
        <v>18516.32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6335.91</v>
      </c>
      <c r="G312" s="18">
        <v>1025.45</v>
      </c>
      <c r="H312" s="18">
        <v>14402.99</v>
      </c>
      <c r="I312" s="18">
        <v>2223.65</v>
      </c>
      <c r="J312" s="18">
        <v>10995.3</v>
      </c>
      <c r="K312" s="18">
        <v>863.8</v>
      </c>
      <c r="L312" s="19">
        <f t="shared" si="16"/>
        <v>35847.100000000006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175</v>
      </c>
      <c r="G313" s="18">
        <v>27.42</v>
      </c>
      <c r="H313" s="18">
        <v>0</v>
      </c>
      <c r="I313" s="18">
        <v>0</v>
      </c>
      <c r="J313" s="18">
        <v>0</v>
      </c>
      <c r="K313" s="18">
        <v>4746.72</v>
      </c>
      <c r="L313" s="19">
        <f t="shared" si="16"/>
        <v>4949.1400000000003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138.34</v>
      </c>
      <c r="I317" s="18"/>
      <c r="J317" s="18"/>
      <c r="K317" s="18"/>
      <c r="L317" s="19">
        <f t="shared" si="16"/>
        <v>138.34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96044.670000000013</v>
      </c>
      <c r="G320" s="42">
        <f t="shared" si="17"/>
        <v>27148.449999999997</v>
      </c>
      <c r="H320" s="42">
        <f t="shared" si="17"/>
        <v>19435.490000000002</v>
      </c>
      <c r="I320" s="42">
        <f t="shared" si="17"/>
        <v>8873.14</v>
      </c>
      <c r="J320" s="42">
        <f t="shared" si="17"/>
        <v>11222.05</v>
      </c>
      <c r="K320" s="42">
        <f t="shared" si="17"/>
        <v>5610.52</v>
      </c>
      <c r="L320" s="41">
        <f t="shared" si="17"/>
        <v>168334.32000000004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274413.31800000003</v>
      </c>
      <c r="G330" s="41">
        <f t="shared" si="20"/>
        <v>77567.03</v>
      </c>
      <c r="H330" s="41">
        <f t="shared" si="20"/>
        <v>58929.960000000006</v>
      </c>
      <c r="I330" s="41">
        <f t="shared" si="20"/>
        <v>25351.84</v>
      </c>
      <c r="J330" s="41">
        <f t="shared" si="20"/>
        <v>32063.01</v>
      </c>
      <c r="K330" s="41">
        <f t="shared" si="20"/>
        <v>16030.080000000002</v>
      </c>
      <c r="L330" s="41">
        <f t="shared" si="20"/>
        <v>484355.23800000001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274413.31800000003</v>
      </c>
      <c r="G344" s="41">
        <f>G330</f>
        <v>77567.03</v>
      </c>
      <c r="H344" s="41">
        <f>H330</f>
        <v>58929.960000000006</v>
      </c>
      <c r="I344" s="41">
        <f>I330</f>
        <v>25351.84</v>
      </c>
      <c r="J344" s="41">
        <f>J330</f>
        <v>32063.01</v>
      </c>
      <c r="K344" s="47">
        <f>K330+K343</f>
        <v>16030.080000000002</v>
      </c>
      <c r="L344" s="41">
        <f>L330+L343</f>
        <v>484355.23800000001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2586.41</v>
      </c>
      <c r="G350" s="18">
        <v>241.53</v>
      </c>
      <c r="H350" s="18">
        <f>426687.64*0.65</f>
        <v>277346.96600000001</v>
      </c>
      <c r="I350" s="18">
        <f>147.49*0.65</f>
        <v>95.868500000000012</v>
      </c>
      <c r="J350" s="18">
        <f>2847*0.656</f>
        <v>1867.6320000000001</v>
      </c>
      <c r="K350" s="18">
        <f>715.98*0.65</f>
        <v>465.387</v>
      </c>
      <c r="L350" s="13">
        <f>SUM(F350:K350)</f>
        <v>282603.79349999997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426687.64-H350</f>
        <v>149340.674</v>
      </c>
      <c r="I352" s="18">
        <f>147.49-I350</f>
        <v>51.621499999999997</v>
      </c>
      <c r="J352" s="18">
        <f>2847-J350</f>
        <v>979.36799999999994</v>
      </c>
      <c r="K352" s="18">
        <f>715.98-K350</f>
        <v>250.59300000000002</v>
      </c>
      <c r="L352" s="19">
        <f>SUM(F352:K352)</f>
        <v>150622.25649999999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2586.41</v>
      </c>
      <c r="G354" s="47">
        <f t="shared" si="22"/>
        <v>241.53</v>
      </c>
      <c r="H354" s="47">
        <f t="shared" si="22"/>
        <v>426687.64</v>
      </c>
      <c r="I354" s="47">
        <f t="shared" si="22"/>
        <v>147.49</v>
      </c>
      <c r="J354" s="47">
        <f t="shared" si="22"/>
        <v>2847</v>
      </c>
      <c r="K354" s="47">
        <f t="shared" si="22"/>
        <v>715.98</v>
      </c>
      <c r="L354" s="47">
        <f t="shared" si="22"/>
        <v>433226.04999999993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95.87</v>
      </c>
      <c r="G360" s="63"/>
      <c r="H360" s="63">
        <v>51.62</v>
      </c>
      <c r="I360" s="56">
        <f>SUM(F360:H360)</f>
        <v>147.49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95.87</v>
      </c>
      <c r="G361" s="47">
        <f>SUM(G359:G360)</f>
        <v>0</v>
      </c>
      <c r="H361" s="47">
        <f>SUM(H359:H360)</f>
        <v>51.62</v>
      </c>
      <c r="I361" s="47">
        <f>SUM(I359:I360)</f>
        <v>147.49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105.35</v>
      </c>
      <c r="I387" s="18"/>
      <c r="J387" s="24" t="s">
        <v>312</v>
      </c>
      <c r="K387" s="24" t="s">
        <v>312</v>
      </c>
      <c r="L387" s="56">
        <f t="shared" ref="L387:L392" si="26">SUM(F387:K387)</f>
        <v>105.35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f>353.92+7.16</f>
        <v>361.08000000000004</v>
      </c>
      <c r="I388" s="18"/>
      <c r="J388" s="24" t="s">
        <v>312</v>
      </c>
      <c r="K388" s="24" t="s">
        <v>312</v>
      </c>
      <c r="L388" s="56">
        <f t="shared" si="26"/>
        <v>361.08000000000004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179.2</v>
      </c>
      <c r="I389" s="18"/>
      <c r="J389" s="24" t="s">
        <v>312</v>
      </c>
      <c r="K389" s="24" t="s">
        <v>312</v>
      </c>
      <c r="L389" s="56">
        <f t="shared" si="26"/>
        <v>179.2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645.63000000000011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645.63000000000011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645.63000000000011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645.63000000000011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5777.11+284643.42+150151.68+70852.05</f>
        <v>511424.25999999995</v>
      </c>
      <c r="G431" s="18"/>
      <c r="H431" s="18"/>
      <c r="I431" s="56">
        <f t="shared" ref="I431:I437" si="33">SUM(F431:H431)</f>
        <v>511424.25999999995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25000</v>
      </c>
      <c r="G433" s="18"/>
      <c r="H433" s="18"/>
      <c r="I433" s="56">
        <f t="shared" si="33"/>
        <v>25000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536424.26</v>
      </c>
      <c r="G438" s="13">
        <f>SUM(G431:G437)</f>
        <v>0</v>
      </c>
      <c r="H438" s="13">
        <f>SUM(H431:H437)</f>
        <v>0</v>
      </c>
      <c r="I438" s="13">
        <f>SUM(I431:I437)</f>
        <v>536424.26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25000</v>
      </c>
      <c r="G440" s="18"/>
      <c r="H440" s="18"/>
      <c r="I440" s="56">
        <f>SUM(F440:H440)</f>
        <v>25000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25000</v>
      </c>
      <c r="G444" s="72">
        <f>SUM(G440:G443)</f>
        <v>0</v>
      </c>
      <c r="H444" s="72">
        <f>SUM(H440:H443)</f>
        <v>0</v>
      </c>
      <c r="I444" s="72">
        <f>SUM(I440:I443)</f>
        <v>25000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511424.26</v>
      </c>
      <c r="G449" s="18"/>
      <c r="H449" s="18"/>
      <c r="I449" s="56">
        <f>SUM(F449:H449)</f>
        <v>511424.26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511424.26</v>
      </c>
      <c r="G450" s="83">
        <f>SUM(G446:G449)</f>
        <v>0</v>
      </c>
      <c r="H450" s="83">
        <f>SUM(H446:H449)</f>
        <v>0</v>
      </c>
      <c r="I450" s="83">
        <f>SUM(I446:I449)</f>
        <v>511424.26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536424.26</v>
      </c>
      <c r="G451" s="42">
        <f>G444+G450</f>
        <v>0</v>
      </c>
      <c r="H451" s="42">
        <f>H444+H450</f>
        <v>0</v>
      </c>
      <c r="I451" s="42">
        <f>I444+I450</f>
        <v>536424.26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304460.76</v>
      </c>
      <c r="G455" s="18">
        <v>34595.22</v>
      </c>
      <c r="H455" s="18">
        <v>7995.23</v>
      </c>
      <c r="I455" s="18">
        <v>3231.11</v>
      </c>
      <c r="J455" s="18">
        <v>510778.63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19516107.41</v>
      </c>
      <c r="G458" s="18">
        <v>426250.47</v>
      </c>
      <c r="H458" s="18">
        <v>494502.40000000002</v>
      </c>
      <c r="I458" s="18"/>
      <c r="J458" s="18">
        <v>645.63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19516107.41</v>
      </c>
      <c r="G460" s="53">
        <f>SUM(G458:G459)</f>
        <v>426250.47</v>
      </c>
      <c r="H460" s="53">
        <f>SUM(H458:H459)</f>
        <v>494502.40000000002</v>
      </c>
      <c r="I460" s="53">
        <f>SUM(I458:I459)</f>
        <v>0</v>
      </c>
      <c r="J460" s="53">
        <f>SUM(J458:J459)</f>
        <v>645.63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19121625.219999999</v>
      </c>
      <c r="G462" s="18">
        <v>433226.05</v>
      </c>
      <c r="H462" s="18">
        <v>484355.24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19121625.219999999</v>
      </c>
      <c r="G464" s="53">
        <f>SUM(G462:G463)</f>
        <v>433226.05</v>
      </c>
      <c r="H464" s="53">
        <f>SUM(H462:H463)</f>
        <v>484355.24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698942.95000000298</v>
      </c>
      <c r="G466" s="53">
        <f>(G455+G460)- G464</f>
        <v>27619.639999999956</v>
      </c>
      <c r="H466" s="53">
        <f>(H455+H460)- H464</f>
        <v>18142.390000000014</v>
      </c>
      <c r="I466" s="53">
        <f>(I455+I460)- I464</f>
        <v>3231.11</v>
      </c>
      <c r="J466" s="53">
        <f>(J455+J460)- J464</f>
        <v>511424.26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3.91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580000</v>
      </c>
      <c r="G485" s="18"/>
      <c r="H485" s="18"/>
      <c r="I485" s="18"/>
      <c r="J485" s="18"/>
      <c r="K485" s="53">
        <f>SUM(F485:J485)</f>
        <v>580000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290000</v>
      </c>
      <c r="G487" s="18"/>
      <c r="H487" s="18"/>
      <c r="I487" s="18"/>
      <c r="J487" s="18"/>
      <c r="K487" s="53">
        <f t="shared" si="34"/>
        <v>290000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290000</v>
      </c>
      <c r="G488" s="205"/>
      <c r="H488" s="205"/>
      <c r="I488" s="205"/>
      <c r="J488" s="205"/>
      <c r="K488" s="206">
        <f t="shared" si="34"/>
        <v>290000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290000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290000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290000</v>
      </c>
      <c r="G491" s="205"/>
      <c r="H491" s="205"/>
      <c r="I491" s="205"/>
      <c r="J491" s="205"/>
      <c r="K491" s="206">
        <f t="shared" si="34"/>
        <v>290000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5669.5+2834.75</f>
        <v>8504.25</v>
      </c>
      <c r="G492" s="18"/>
      <c r="H492" s="18"/>
      <c r="I492" s="18"/>
      <c r="J492" s="18"/>
      <c r="K492" s="53">
        <f t="shared" si="34"/>
        <v>8504.25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298504.25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298504.25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1553065.97</v>
      </c>
      <c r="G511" s="18">
        <v>668710.57999999996</v>
      </c>
      <c r="H511" s="18">
        <v>81982.899999999994</v>
      </c>
      <c r="I511" s="18">
        <v>2256.9499999999998</v>
      </c>
      <c r="J511" s="18"/>
      <c r="K511" s="18"/>
      <c r="L511" s="88">
        <f>SUM(F511:K511)</f>
        <v>2306016.4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374048.58</v>
      </c>
      <c r="G513" s="18">
        <v>109912.25</v>
      </c>
      <c r="H513" s="18">
        <v>179347.7</v>
      </c>
      <c r="I513" s="18">
        <v>1421.56</v>
      </c>
      <c r="J513" s="18"/>
      <c r="K513" s="18"/>
      <c r="L513" s="88">
        <f>SUM(F513:K513)</f>
        <v>664730.09000000008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1927114.55</v>
      </c>
      <c r="G514" s="108">
        <f t="shared" ref="G514:L514" si="35">SUM(G511:G513)</f>
        <v>778622.83</v>
      </c>
      <c r="H514" s="108">
        <f t="shared" si="35"/>
        <v>261330.6</v>
      </c>
      <c r="I514" s="108">
        <f t="shared" si="35"/>
        <v>3678.5099999999998</v>
      </c>
      <c r="J514" s="108">
        <f t="shared" si="35"/>
        <v>0</v>
      </c>
      <c r="K514" s="108">
        <f t="shared" si="35"/>
        <v>0</v>
      </c>
      <c r="L514" s="89">
        <f t="shared" si="35"/>
        <v>2970746.49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359794.83</v>
      </c>
      <c r="G516" s="18">
        <v>178860.63</v>
      </c>
      <c r="H516" s="18">
        <v>99144.1</v>
      </c>
      <c r="I516" s="18">
        <v>4052.79</v>
      </c>
      <c r="J516" s="18">
        <v>1130.5899999999999</v>
      </c>
      <c r="K516" s="18">
        <v>58.46</v>
      </c>
      <c r="L516" s="88">
        <f>SUM(F516:K516)</f>
        <v>643041.39999999991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193554.67</v>
      </c>
      <c r="G518" s="18">
        <v>106511.65</v>
      </c>
      <c r="H518" s="18">
        <v>15516.2</v>
      </c>
      <c r="I518" s="18">
        <v>3123.7</v>
      </c>
      <c r="J518" s="18">
        <v>880.16</v>
      </c>
      <c r="K518" s="18">
        <v>3.5</v>
      </c>
      <c r="L518" s="88">
        <f>SUM(F518:K518)</f>
        <v>319589.88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553349.5</v>
      </c>
      <c r="G519" s="89">
        <f t="shared" ref="G519:L519" si="36">SUM(G516:G518)</f>
        <v>285372.28000000003</v>
      </c>
      <c r="H519" s="89">
        <f t="shared" si="36"/>
        <v>114660.3</v>
      </c>
      <c r="I519" s="89">
        <f t="shared" si="36"/>
        <v>7176.49</v>
      </c>
      <c r="J519" s="89">
        <f t="shared" si="36"/>
        <v>2010.75</v>
      </c>
      <c r="K519" s="89">
        <f t="shared" si="36"/>
        <v>61.96</v>
      </c>
      <c r="L519" s="89">
        <f t="shared" si="36"/>
        <v>962631.27999999991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79003.98</v>
      </c>
      <c r="I521" s="18"/>
      <c r="J521" s="18"/>
      <c r="K521" s="18"/>
      <c r="L521" s="88">
        <f>SUM(F521:K521)</f>
        <v>79003.98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42540.6</v>
      </c>
      <c r="I523" s="18"/>
      <c r="J523" s="18"/>
      <c r="K523" s="18"/>
      <c r="L523" s="88">
        <f>SUM(F523:K523)</f>
        <v>42540.6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121544.57999999999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121544.57999999999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102.75</v>
      </c>
      <c r="I526" s="18"/>
      <c r="J526" s="18"/>
      <c r="K526" s="18"/>
      <c r="L526" s="88">
        <f>SUM(F526:K526)</f>
        <v>102.75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55.33</v>
      </c>
      <c r="I528" s="18"/>
      <c r="J528" s="18"/>
      <c r="K528" s="18"/>
      <c r="L528" s="88">
        <f>SUM(F528:K528)</f>
        <v>55.33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158.07999999999998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158.07999999999998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36338.879999999997</v>
      </c>
      <c r="I531" s="18"/>
      <c r="J531" s="18"/>
      <c r="K531" s="18"/>
      <c r="L531" s="88">
        <f>SUM(F531:K531)</f>
        <v>36338.879999999997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46513</v>
      </c>
      <c r="I533" s="18"/>
      <c r="J533" s="18"/>
      <c r="K533" s="18"/>
      <c r="L533" s="88">
        <f>SUM(F533:K533)</f>
        <v>46513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82851.88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82851.88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2480464.0499999998</v>
      </c>
      <c r="G535" s="89">
        <f t="shared" ref="G535:L535" si="40">G514+G519+G524+G529+G534</f>
        <v>1063995.1099999999</v>
      </c>
      <c r="H535" s="89">
        <f t="shared" si="40"/>
        <v>580545.43999999994</v>
      </c>
      <c r="I535" s="89">
        <f t="shared" si="40"/>
        <v>10855</v>
      </c>
      <c r="J535" s="89">
        <f t="shared" si="40"/>
        <v>2010.75</v>
      </c>
      <c r="K535" s="89">
        <f t="shared" si="40"/>
        <v>61.96</v>
      </c>
      <c r="L535" s="89">
        <f t="shared" si="40"/>
        <v>4137932.31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2306016.4</v>
      </c>
      <c r="G539" s="87">
        <f>L516</f>
        <v>643041.39999999991</v>
      </c>
      <c r="H539" s="87">
        <f>L521</f>
        <v>79003.98</v>
      </c>
      <c r="I539" s="87">
        <f>L526</f>
        <v>102.75</v>
      </c>
      <c r="J539" s="87">
        <f>L531</f>
        <v>36338.879999999997</v>
      </c>
      <c r="K539" s="87">
        <f>SUM(F539:J539)</f>
        <v>3064503.4099999997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664730.09000000008</v>
      </c>
      <c r="G541" s="87">
        <f>L518</f>
        <v>319589.88</v>
      </c>
      <c r="H541" s="87">
        <f>L523</f>
        <v>42540.6</v>
      </c>
      <c r="I541" s="87">
        <f>L528</f>
        <v>55.33</v>
      </c>
      <c r="J541" s="87">
        <f>L533</f>
        <v>46513</v>
      </c>
      <c r="K541" s="87">
        <f>SUM(F541:J541)</f>
        <v>1073428.8999999999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2970746.49</v>
      </c>
      <c r="G542" s="89">
        <f t="shared" si="41"/>
        <v>962631.27999999991</v>
      </c>
      <c r="H542" s="89">
        <f t="shared" si="41"/>
        <v>121544.57999999999</v>
      </c>
      <c r="I542" s="89">
        <f t="shared" si="41"/>
        <v>158.07999999999998</v>
      </c>
      <c r="J542" s="89">
        <f t="shared" si="41"/>
        <v>82851.88</v>
      </c>
      <c r="K542" s="89">
        <f t="shared" si="41"/>
        <v>4137932.3099999996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18503.23</v>
      </c>
      <c r="G552" s="18">
        <v>3596.15</v>
      </c>
      <c r="H552" s="18"/>
      <c r="I552" s="18"/>
      <c r="J552" s="18"/>
      <c r="K552" s="18"/>
      <c r="L552" s="88">
        <f>SUM(F552:K552)</f>
        <v>22099.38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9963.27</v>
      </c>
      <c r="G554" s="18">
        <v>1936.39</v>
      </c>
      <c r="H554" s="18"/>
      <c r="I554" s="18"/>
      <c r="J554" s="18"/>
      <c r="K554" s="18"/>
      <c r="L554" s="88">
        <f>SUM(F554:K554)</f>
        <v>11899.66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28466.5</v>
      </c>
      <c r="G555" s="89">
        <f t="shared" si="43"/>
        <v>5532.54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33999.040000000001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28466.5</v>
      </c>
      <c r="G561" s="89">
        <f t="shared" ref="G561:L561" si="45">G550+G555+G560</f>
        <v>5532.54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33999.040000000001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1243.44</v>
      </c>
      <c r="G569" s="18"/>
      <c r="H569" s="18">
        <v>33167.32</v>
      </c>
      <c r="I569" s="87">
        <f t="shared" si="46"/>
        <v>34410.76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70328.89</v>
      </c>
      <c r="G572" s="18"/>
      <c r="H572" s="18">
        <v>140299.54</v>
      </c>
      <c r="I572" s="87">
        <f t="shared" si="46"/>
        <v>210628.43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95691.7</v>
      </c>
      <c r="I574" s="87">
        <f t="shared" si="46"/>
        <v>95691.7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427655.15</v>
      </c>
      <c r="I581" s="18"/>
      <c r="J581" s="18">
        <v>230275.85</v>
      </c>
      <c r="K581" s="104">
        <f t="shared" ref="K581:K587" si="47">SUM(H581:J581)</f>
        <v>657931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36338.879999999997</v>
      </c>
      <c r="I582" s="18"/>
      <c r="J582" s="18">
        <v>46513</v>
      </c>
      <c r="K582" s="104">
        <f t="shared" si="47"/>
        <v>82851.88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10416.5</v>
      </c>
      <c r="K583" s="104">
        <f t="shared" si="47"/>
        <v>10416.5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53555.26</v>
      </c>
      <c r="K584" s="104">
        <f t="shared" si="47"/>
        <v>53555.26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25874.62</v>
      </c>
      <c r="I585" s="18"/>
      <c r="J585" s="18">
        <v>12065.78</v>
      </c>
      <c r="K585" s="104">
        <f t="shared" si="47"/>
        <v>37940.400000000001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f>0.26+3826.88</f>
        <v>3827.1400000000003</v>
      </c>
      <c r="I587" s="18"/>
      <c r="J587" s="18">
        <v>0.14000000000000001</v>
      </c>
      <c r="K587" s="104">
        <f t="shared" si="47"/>
        <v>3827.28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493695.79000000004</v>
      </c>
      <c r="I588" s="108">
        <f>SUM(I581:I587)</f>
        <v>0</v>
      </c>
      <c r="J588" s="108">
        <f>SUM(J581:J587)</f>
        <v>352826.53</v>
      </c>
      <c r="K588" s="108">
        <f>SUM(K581:K587)</f>
        <v>846522.32000000007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157104.5</v>
      </c>
      <c r="I594" s="18"/>
      <c r="J594" s="18">
        <v>95749.48</v>
      </c>
      <c r="K594" s="104">
        <f>SUM(H594:J594)</f>
        <v>252853.97999999998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157104.5</v>
      </c>
      <c r="I595" s="108">
        <f>SUM(I592:I594)</f>
        <v>0</v>
      </c>
      <c r="J595" s="108">
        <f>SUM(J592:J594)</f>
        <v>95749.48</v>
      </c>
      <c r="K595" s="108">
        <f>SUM(K592:K594)</f>
        <v>252853.97999999998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19240+3456</f>
        <v>22696</v>
      </c>
      <c r="G601" s="18">
        <f>1736.31+502.54+1380.27+58.27</f>
        <v>3677.39</v>
      </c>
      <c r="H601" s="18"/>
      <c r="I601" s="18">
        <v>370.31</v>
      </c>
      <c r="J601" s="18"/>
      <c r="K601" s="18"/>
      <c r="L601" s="88">
        <f>SUM(F601:K601)</f>
        <v>26743.7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22696</v>
      </c>
      <c r="G604" s="108">
        <f t="shared" si="48"/>
        <v>3677.39</v>
      </c>
      <c r="H604" s="108">
        <f t="shared" si="48"/>
        <v>0</v>
      </c>
      <c r="I604" s="108">
        <f t="shared" si="48"/>
        <v>370.31</v>
      </c>
      <c r="J604" s="108">
        <f t="shared" si="48"/>
        <v>0</v>
      </c>
      <c r="K604" s="108">
        <f t="shared" si="48"/>
        <v>0</v>
      </c>
      <c r="L604" s="89">
        <f t="shared" si="48"/>
        <v>26743.7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4184363.96</v>
      </c>
      <c r="H607" s="109">
        <f>SUM(F44)</f>
        <v>4184363.96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1493500.3599999999</v>
      </c>
      <c r="H608" s="109">
        <f>SUM(G44)</f>
        <v>1493500.3599999999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1573859.3400000003</v>
      </c>
      <c r="H609" s="109">
        <f>SUM(H44)</f>
        <v>1573859.3399999999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3231.11</v>
      </c>
      <c r="H610" s="109">
        <f>SUM(I44)</f>
        <v>3231.11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536424.26</v>
      </c>
      <c r="H611" s="109">
        <f>SUM(J44)</f>
        <v>536424.26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698942.95</v>
      </c>
      <c r="H612" s="109">
        <f>F466</f>
        <v>698942.95000000298</v>
      </c>
      <c r="I612" s="121" t="s">
        <v>106</v>
      </c>
      <c r="J612" s="109">
        <f t="shared" ref="J612:J645" si="49">G612-H612</f>
        <v>-3.0267983675003052E-9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27619.64</v>
      </c>
      <c r="H613" s="109">
        <f>G466</f>
        <v>27619.639999999956</v>
      </c>
      <c r="I613" s="121" t="s">
        <v>108</v>
      </c>
      <c r="J613" s="109">
        <f t="shared" si="49"/>
        <v>4.3655745685100555E-11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18142.39</v>
      </c>
      <c r="H614" s="109">
        <f>H466</f>
        <v>18142.390000000014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3231.11</v>
      </c>
      <c r="H615" s="109">
        <f>I466</f>
        <v>3231.11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511424.26</v>
      </c>
      <c r="H616" s="109">
        <f>J466</f>
        <v>511424.26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19516107.41</v>
      </c>
      <c r="H617" s="104">
        <f>SUM(F458)</f>
        <v>19516107.41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426250.47</v>
      </c>
      <c r="H618" s="104">
        <f>SUM(G458)</f>
        <v>426250.47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494502.40000000002</v>
      </c>
      <c r="H619" s="104">
        <f>SUM(H458)</f>
        <v>494502.40000000002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645.63</v>
      </c>
      <c r="H621" s="104">
        <f>SUM(J458)</f>
        <v>645.63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19121625.220999997</v>
      </c>
      <c r="H622" s="104">
        <f>SUM(F462)</f>
        <v>19121625.219999999</v>
      </c>
      <c r="I622" s="140" t="s">
        <v>120</v>
      </c>
      <c r="J622" s="109">
        <f t="shared" si="49"/>
        <v>9.999983012676239E-4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484355.23800000001</v>
      </c>
      <c r="H623" s="104">
        <f>SUM(H462)</f>
        <v>484355.24</v>
      </c>
      <c r="I623" s="140" t="s">
        <v>121</v>
      </c>
      <c r="J623" s="109">
        <f>G623-H623</f>
        <v>-1.9999999785795808E-3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147.49</v>
      </c>
      <c r="H624" s="104">
        <f>I361</f>
        <v>147.49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433226.04999999993</v>
      </c>
      <c r="H625" s="104">
        <f>SUM(G462)</f>
        <v>433226.05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645.63000000000011</v>
      </c>
      <c r="H627" s="164">
        <f>SUM(J458)</f>
        <v>645.63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536424.26</v>
      </c>
      <c r="H629" s="104">
        <f>SUM(F451)</f>
        <v>536424.26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536424.26</v>
      </c>
      <c r="H632" s="104">
        <f>SUM(I451)</f>
        <v>536424.26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645.63</v>
      </c>
      <c r="H634" s="104">
        <f>H400</f>
        <v>645.63000000000011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645.63</v>
      </c>
      <c r="H636" s="104">
        <f>L400</f>
        <v>645.63000000000011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846522.32000000007</v>
      </c>
      <c r="H637" s="104">
        <f>L200+L218+L236</f>
        <v>846522.32000000007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252853.97999999998</v>
      </c>
      <c r="H638" s="104">
        <f>(J249+J330)-(J247+J328)</f>
        <v>252853.98000000004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493695.79</v>
      </c>
      <c r="H639" s="104">
        <f>H588</f>
        <v>493695.79000000004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352826.53</v>
      </c>
      <c r="H641" s="104">
        <f>J588</f>
        <v>352826.53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-1.0000169277191162E-3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12941309.641499996</v>
      </c>
      <c r="G650" s="19">
        <f>(L221+L301+L351)</f>
        <v>0</v>
      </c>
      <c r="H650" s="19">
        <f>(L239+L320+L352)</f>
        <v>6788274.0975000001</v>
      </c>
      <c r="I650" s="19">
        <f>SUM(F650:H650)</f>
        <v>19729583.738999996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165440.91200100552</v>
      </c>
      <c r="G651" s="19">
        <f>(L351/IF(SUM(L350:L352)=0,1,SUM(L350:L352))*(SUM(G89:G102)))</f>
        <v>0</v>
      </c>
      <c r="H651" s="19">
        <f>(L352/IF(SUM(L350:L352)=0,1,SUM(L350:L352))*(SUM(G89:G102)))</f>
        <v>88176.747998994513</v>
      </c>
      <c r="I651" s="19">
        <f>SUM(F651:H651)</f>
        <v>253617.66000000003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495352.69999999995</v>
      </c>
      <c r="G652" s="19">
        <f>(L218+L298)-(J218+J298)</f>
        <v>0</v>
      </c>
      <c r="H652" s="19">
        <f>(L236+L317)-(J236+J317)</f>
        <v>352964.87000000005</v>
      </c>
      <c r="I652" s="19">
        <f>SUM(F652:H652)</f>
        <v>848317.57000000007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255420.53000000003</v>
      </c>
      <c r="G653" s="200">
        <f>SUM(G565:G577)+SUM(I592:I594)+L602</f>
        <v>0</v>
      </c>
      <c r="H653" s="200">
        <f>SUM(H565:H577)+SUM(J592:J594)+L603</f>
        <v>364908.04</v>
      </c>
      <c r="I653" s="19">
        <f>SUM(F653:H653)</f>
        <v>620328.57000000007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12025095.499498991</v>
      </c>
      <c r="G654" s="19">
        <f>G650-SUM(G651:G653)</f>
        <v>0</v>
      </c>
      <c r="H654" s="19">
        <f>H650-SUM(H651:H653)</f>
        <v>5982224.4395010062</v>
      </c>
      <c r="I654" s="19">
        <f>I650-SUM(I651:I653)</f>
        <v>18007319.938999996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326.84+311.32+70.8</f>
        <v>708.95999999999992</v>
      </c>
      <c r="G655" s="249"/>
      <c r="H655" s="249">
        <v>377.67</v>
      </c>
      <c r="I655" s="19">
        <f>SUM(F655:H655)</f>
        <v>1086.6299999999999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16961.599999999999</v>
      </c>
      <c r="G657" s="19" t="e">
        <f>ROUND(G654/G655,2)</f>
        <v>#DIV/0!</v>
      </c>
      <c r="H657" s="19">
        <f>ROUND(H654/H655,2)</f>
        <v>15839.82</v>
      </c>
      <c r="I657" s="19">
        <f>ROUND(I654/I655,2)</f>
        <v>16571.71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-18.54</v>
      </c>
      <c r="I660" s="19">
        <f>SUM(F660:H660)</f>
        <v>-18.54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16961.599999999999</v>
      </c>
      <c r="G662" s="19" t="e">
        <f>ROUND((G654+G659)/(G655+G660),2)</f>
        <v>#DIV/0!</v>
      </c>
      <c r="H662" s="19">
        <f>ROUND((H654+H659)/(H655+H660),2)</f>
        <v>16657.55</v>
      </c>
      <c r="I662" s="19">
        <f>ROUND((I654+I659)/(I655+I660),2)</f>
        <v>16859.37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DBE1-6627-474D-8092-B014CA4BF9CA}">
  <sheetPr>
    <tabColor indexed="20"/>
  </sheetPr>
  <dimension ref="A1:C52"/>
  <sheetViews>
    <sheetView topLeftCell="A4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Inter-Lakes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5520386.4100000001</v>
      </c>
      <c r="C9" s="230">
        <f>'DOE25'!G189+'DOE25'!G207+'DOE25'!G225+'DOE25'!G268+'DOE25'!G287+'DOE25'!G306</f>
        <v>2175001.73</v>
      </c>
    </row>
    <row r="10" spans="1:3" x14ac:dyDescent="0.2">
      <c r="A10" t="s">
        <v>810</v>
      </c>
      <c r="B10" s="241">
        <v>5093779.4000000004</v>
      </c>
      <c r="C10" s="241">
        <v>2083671.31</v>
      </c>
    </row>
    <row r="11" spans="1:3" x14ac:dyDescent="0.2">
      <c r="A11" t="s">
        <v>811</v>
      </c>
      <c r="B11" s="241">
        <v>224525.4</v>
      </c>
      <c r="C11" s="241">
        <v>66939.179999999993</v>
      </c>
    </row>
    <row r="12" spans="1:3" x14ac:dyDescent="0.2">
      <c r="A12" t="s">
        <v>812</v>
      </c>
      <c r="B12" s="241">
        <f>133767.33+43727.5+24586.78</f>
        <v>202081.61</v>
      </c>
      <c r="C12" s="241">
        <v>24391.24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5520386.4100000011</v>
      </c>
      <c r="C13" s="232">
        <f>SUM(C10:C12)</f>
        <v>2175001.7300000004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1927114.55</v>
      </c>
      <c r="C18" s="230">
        <f>'DOE25'!G190+'DOE25'!G208+'DOE25'!G226+'DOE25'!G269+'DOE25'!G288+'DOE25'!G307</f>
        <v>778622.82</v>
      </c>
    </row>
    <row r="19" spans="1:3" x14ac:dyDescent="0.2">
      <c r="A19" t="s">
        <v>810</v>
      </c>
      <c r="B19" s="241">
        <f>831557.26+14122.5+28466.5</f>
        <v>874146.26</v>
      </c>
      <c r="C19" s="241">
        <v>419286.11</v>
      </c>
    </row>
    <row r="20" spans="1:3" x14ac:dyDescent="0.2">
      <c r="A20" t="s">
        <v>811</v>
      </c>
      <c r="B20" s="241">
        <f>1029935.36+12885.5+2169.08</f>
        <v>1044989.94</v>
      </c>
      <c r="C20" s="241">
        <v>357817.62</v>
      </c>
    </row>
    <row r="21" spans="1:3" x14ac:dyDescent="0.2">
      <c r="A21" t="s">
        <v>812</v>
      </c>
      <c r="B21" s="241">
        <v>7978.35</v>
      </c>
      <c r="C21" s="241">
        <v>1519.09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1927114.55</v>
      </c>
      <c r="C22" s="232">
        <f>SUM(C19:C21)</f>
        <v>778622.82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286275.16000000003</v>
      </c>
      <c r="C36" s="236">
        <f>'DOE25'!G192+'DOE25'!G210+'DOE25'!G228+'DOE25'!G271+'DOE25'!G290+'DOE25'!G309</f>
        <v>42522.67</v>
      </c>
    </row>
    <row r="37" spans="1:3" x14ac:dyDescent="0.2">
      <c r="A37" t="s">
        <v>810</v>
      </c>
      <c r="B37" s="241">
        <f>19240+76486.16</f>
        <v>95726.16</v>
      </c>
      <c r="C37" s="241">
        <v>19924.7</v>
      </c>
    </row>
    <row r="38" spans="1:3" x14ac:dyDescent="0.2">
      <c r="A38" t="s">
        <v>811</v>
      </c>
      <c r="B38" s="241">
        <v>3456</v>
      </c>
      <c r="C38" s="241">
        <v>828.02</v>
      </c>
    </row>
    <row r="39" spans="1:3" x14ac:dyDescent="0.2">
      <c r="A39" t="s">
        <v>812</v>
      </c>
      <c r="B39" s="241">
        <f>65081+198498.16-76486.16</f>
        <v>187093.00000000003</v>
      </c>
      <c r="C39" s="241">
        <f>8812.24+12957.71</f>
        <v>21769.949999999997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286275.16000000003</v>
      </c>
      <c r="C40" s="232">
        <f>SUM(C37:C39)</f>
        <v>42522.67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657-F614-4D6A-B78D-0C95DA09675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Inter-Lakes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11154033.07</v>
      </c>
      <c r="D5" s="20">
        <f>SUM('DOE25'!L189:L192)+SUM('DOE25'!L207:L210)+SUM('DOE25'!L225:L228)-F5-G5</f>
        <v>11120478.57</v>
      </c>
      <c r="E5" s="244"/>
      <c r="F5" s="256">
        <f>SUM('DOE25'!J189:J192)+SUM('DOE25'!J207:J210)+SUM('DOE25'!J225:J228)</f>
        <v>21171.16</v>
      </c>
      <c r="G5" s="53">
        <f>SUM('DOE25'!K189:K192)+SUM('DOE25'!K207:K210)+SUM('DOE25'!K225:K228)</f>
        <v>12383.34</v>
      </c>
      <c r="H5" s="260"/>
    </row>
    <row r="6" spans="1:9" x14ac:dyDescent="0.2">
      <c r="A6" s="32">
        <v>2100</v>
      </c>
      <c r="B6" t="s">
        <v>832</v>
      </c>
      <c r="C6" s="246">
        <f t="shared" si="0"/>
        <v>1441227.49</v>
      </c>
      <c r="D6" s="20">
        <f>'DOE25'!L194+'DOE25'!L212+'DOE25'!L230-F6-G6</f>
        <v>1437297.85</v>
      </c>
      <c r="E6" s="244"/>
      <c r="F6" s="256">
        <f>'DOE25'!J194+'DOE25'!J212+'DOE25'!J230</f>
        <v>3774.75</v>
      </c>
      <c r="G6" s="53">
        <f>'DOE25'!K194+'DOE25'!K212+'DOE25'!K230</f>
        <v>154.88999999999999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1065167.8</v>
      </c>
      <c r="D7" s="20">
        <f>'DOE25'!L195+'DOE25'!L213+'DOE25'!L231-F7-G7</f>
        <v>885825.56</v>
      </c>
      <c r="E7" s="244"/>
      <c r="F7" s="256">
        <f>'DOE25'!J195+'DOE25'!J213+'DOE25'!J231</f>
        <v>176665.24</v>
      </c>
      <c r="G7" s="53">
        <f>'DOE25'!K195+'DOE25'!K213+'DOE25'!K231</f>
        <v>2677</v>
      </c>
      <c r="H7" s="260"/>
    </row>
    <row r="8" spans="1:9" x14ac:dyDescent="0.2">
      <c r="A8" s="32">
        <v>2300</v>
      </c>
      <c r="B8" t="s">
        <v>833</v>
      </c>
      <c r="C8" s="246">
        <f t="shared" si="0"/>
        <v>358503.10000000003</v>
      </c>
      <c r="D8" s="244"/>
      <c r="E8" s="20">
        <f>'DOE25'!L196+'DOE25'!L214+'DOE25'!L232-F8-G8-D9-D11</f>
        <v>349888.49000000005</v>
      </c>
      <c r="F8" s="256">
        <f>'DOE25'!J196+'DOE25'!J214+'DOE25'!J232</f>
        <v>0</v>
      </c>
      <c r="G8" s="53">
        <f>'DOE25'!K196+'DOE25'!K214+'DOE25'!K232</f>
        <v>8614.61</v>
      </c>
      <c r="H8" s="260"/>
    </row>
    <row r="9" spans="1:9" x14ac:dyDescent="0.2">
      <c r="A9" s="32">
        <v>2310</v>
      </c>
      <c r="B9" t="s">
        <v>849</v>
      </c>
      <c r="C9" s="246">
        <f t="shared" si="0"/>
        <v>70963.98</v>
      </c>
      <c r="D9" s="245">
        <v>70963.98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23625</v>
      </c>
      <c r="D10" s="244"/>
      <c r="E10" s="245">
        <v>23625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322700.90999999997</v>
      </c>
      <c r="D11" s="245">
        <v>322700.90999999997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1129698.0299999998</v>
      </c>
      <c r="D12" s="20">
        <f>'DOE25'!L197+'DOE25'!L215+'DOE25'!L233-F12-G12</f>
        <v>1117461.5399999998</v>
      </c>
      <c r="E12" s="244"/>
      <c r="F12" s="256">
        <f>'DOE25'!J197+'DOE25'!J215+'DOE25'!J233</f>
        <v>199.49</v>
      </c>
      <c r="G12" s="53">
        <f>'DOE25'!K197+'DOE25'!K215+'DOE25'!K233</f>
        <v>12037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15797.539999999997</v>
      </c>
      <c r="D13" s="244"/>
      <c r="E13" s="20">
        <f>'DOE25'!L198+'DOE25'!L216+'DOE25'!L234-F13-G13</f>
        <v>14680.029999999997</v>
      </c>
      <c r="F13" s="256">
        <f>'DOE25'!J198+'DOE25'!J216+'DOE25'!J234</f>
        <v>1117.51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1958161.5899999999</v>
      </c>
      <c r="D14" s="20">
        <f>'DOE25'!L199+'DOE25'!L217+'DOE25'!L235-F14-G14</f>
        <v>1940298.7699999998</v>
      </c>
      <c r="E14" s="244"/>
      <c r="F14" s="256">
        <f>'DOE25'!J199+'DOE25'!J217+'DOE25'!J235</f>
        <v>17862.82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846522.32000000007</v>
      </c>
      <c r="D15" s="20">
        <f>'DOE25'!L200+'DOE25'!L218+'DOE25'!L236-F15-G15</f>
        <v>846522.32000000007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449226.62099999998</v>
      </c>
      <c r="D16" s="244"/>
      <c r="E16" s="20">
        <f>'DOE25'!L201+'DOE25'!L219+'DOE25'!L237-F16-G16</f>
        <v>449226.62099999998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309622.77</v>
      </c>
      <c r="D25" s="244"/>
      <c r="E25" s="244"/>
      <c r="F25" s="259"/>
      <c r="G25" s="257"/>
      <c r="H25" s="258">
        <f>'DOE25'!L252+'DOE25'!L253+'DOE25'!L333+'DOE25'!L334</f>
        <v>309622.77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433226.04999999993</v>
      </c>
      <c r="D29" s="20">
        <f>'DOE25'!L350+'DOE25'!L351+'DOE25'!L352-'DOE25'!I359-F29-G29</f>
        <v>429663.06999999995</v>
      </c>
      <c r="E29" s="244"/>
      <c r="F29" s="256">
        <f>'DOE25'!J350+'DOE25'!J351+'DOE25'!J352</f>
        <v>2847</v>
      </c>
      <c r="G29" s="53">
        <f>'DOE25'!K350+'DOE25'!K351+'DOE25'!K352</f>
        <v>715.98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484355.23800000001</v>
      </c>
      <c r="D31" s="20">
        <f>'DOE25'!L282+'DOE25'!L301+'DOE25'!L320+'DOE25'!L325+'DOE25'!L326+'DOE25'!L327-F31-G31</f>
        <v>436262.14799999999</v>
      </c>
      <c r="E31" s="244"/>
      <c r="F31" s="256">
        <f>'DOE25'!J282+'DOE25'!J301+'DOE25'!J320+'DOE25'!J325+'DOE25'!J326+'DOE25'!J327</f>
        <v>32063.01</v>
      </c>
      <c r="G31" s="53">
        <f>'DOE25'!K282+'DOE25'!K301+'DOE25'!K320+'DOE25'!K325+'DOE25'!K326+'DOE25'!K327</f>
        <v>16030.080000000002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18607474.717999998</v>
      </c>
      <c r="E33" s="247">
        <f>SUM(E5:E31)</f>
        <v>837420.14100000006</v>
      </c>
      <c r="F33" s="247">
        <f>SUM(F5:F31)</f>
        <v>255700.98</v>
      </c>
      <c r="G33" s="247">
        <f>SUM(G5:G31)</f>
        <v>52612.9</v>
      </c>
      <c r="H33" s="247">
        <f>SUM(H5:H31)</f>
        <v>309622.77</v>
      </c>
    </row>
    <row r="35" spans="2:8" ht="12" thickBot="1" x14ac:dyDescent="0.25">
      <c r="B35" s="254" t="s">
        <v>878</v>
      </c>
      <c r="D35" s="255">
        <f>E33</f>
        <v>837420.14100000006</v>
      </c>
      <c r="E35" s="250"/>
    </row>
    <row r="36" spans="2:8" ht="12" thickTop="1" x14ac:dyDescent="0.2">
      <c r="B36" t="s">
        <v>846</v>
      </c>
      <c r="D36" s="20">
        <f>D33</f>
        <v>18607474.717999998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E70C-6E53-40AD-A66F-151C348859DE}">
  <sheetPr transitionEvaluation="1" codeName="Sheet2">
    <tabColor indexed="10"/>
  </sheetPr>
  <dimension ref="A1:I156"/>
  <sheetViews>
    <sheetView zoomScale="75" workbookViewId="0">
      <pane ySplit="2" topLeftCell="A108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973139.06</v>
      </c>
      <c r="D9" s="95">
        <f>'DOE25'!G9</f>
        <v>0</v>
      </c>
      <c r="E9" s="95">
        <f>'DOE25'!H9</f>
        <v>0</v>
      </c>
      <c r="F9" s="95">
        <f>'DOE25'!I9</f>
        <v>3231.11</v>
      </c>
      <c r="G9" s="95">
        <f>'DOE25'!J9</f>
        <v>511424.25999999995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3004546.32</v>
      </c>
      <c r="D12" s="95">
        <f>'DOE25'!G12</f>
        <v>1455851.14</v>
      </c>
      <c r="E12" s="95">
        <f>'DOE25'!H12</f>
        <v>1481849.12</v>
      </c>
      <c r="F12" s="95">
        <f>'DOE25'!I12</f>
        <v>0</v>
      </c>
      <c r="G12" s="95">
        <f>'DOE25'!J12</f>
        <v>25000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130334.24</v>
      </c>
      <c r="D13" s="95">
        <f>'DOE25'!G13</f>
        <v>43237.19</v>
      </c>
      <c r="E13" s="95">
        <f>'DOE25'!H13</f>
        <v>91469.85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-3094.66</v>
      </c>
      <c r="D14" s="95">
        <f>'DOE25'!G14</f>
        <v>-5587.97</v>
      </c>
      <c r="E14" s="95">
        <f>'DOE25'!H14</f>
        <v>540.37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79439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4184363.96</v>
      </c>
      <c r="D19" s="41">
        <f>SUM(D9:D18)</f>
        <v>1493500.3599999999</v>
      </c>
      <c r="E19" s="41">
        <f>SUM(E9:E18)</f>
        <v>1573859.3400000003</v>
      </c>
      <c r="F19" s="41">
        <f>SUM(F9:F18)</f>
        <v>3231.11</v>
      </c>
      <c r="G19" s="41">
        <f>SUM(G9:G18)</f>
        <v>536424.26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2962722.64</v>
      </c>
      <c r="D22" s="95">
        <f>'DOE25'!G23</f>
        <v>1465068.97</v>
      </c>
      <c r="E22" s="95">
        <f>'DOE25'!H23</f>
        <v>1514454.97</v>
      </c>
      <c r="F22" s="95">
        <f>'DOE25'!I23</f>
        <v>0</v>
      </c>
      <c r="G22" s="95">
        <f>'DOE25'!J23</f>
        <v>25000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508236.35</v>
      </c>
      <c r="D24" s="95">
        <f>'DOE25'!G25</f>
        <v>811.75</v>
      </c>
      <c r="E24" s="95">
        <f>'DOE25'!H25</f>
        <v>36638.1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14462.02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4623.88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3485421.0100000002</v>
      </c>
      <c r="D32" s="41">
        <f>SUM(D22:D31)</f>
        <v>1465880.72</v>
      </c>
      <c r="E32" s="41">
        <f>SUM(E22:E31)</f>
        <v>1555716.95</v>
      </c>
      <c r="F32" s="41">
        <f>SUM(F22:F31)</f>
        <v>0</v>
      </c>
      <c r="G32" s="41">
        <f>SUM(G22:G31)</f>
        <v>25000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301673.75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27619.64</v>
      </c>
      <c r="E40" s="95">
        <f>'DOE25'!H41</f>
        <v>18142.39</v>
      </c>
      <c r="F40" s="95">
        <f>'DOE25'!I41</f>
        <v>3231.11</v>
      </c>
      <c r="G40" s="95">
        <f>'DOE25'!J41</f>
        <v>511424.26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347269.2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698942.95</v>
      </c>
      <c r="D42" s="41">
        <f>SUM(D34:D41)</f>
        <v>27619.64</v>
      </c>
      <c r="E42" s="41">
        <f>SUM(E34:E41)</f>
        <v>18142.39</v>
      </c>
      <c r="F42" s="41">
        <f>SUM(F34:F41)</f>
        <v>3231.11</v>
      </c>
      <c r="G42" s="41">
        <f>SUM(G34:G41)</f>
        <v>511424.26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4184363.96</v>
      </c>
      <c r="D43" s="41">
        <f>D42+D32</f>
        <v>1493500.3599999999</v>
      </c>
      <c r="E43" s="41">
        <f>E42+E32</f>
        <v>1573859.3399999999</v>
      </c>
      <c r="F43" s="41">
        <f>F42+F32</f>
        <v>3231.11</v>
      </c>
      <c r="G43" s="41">
        <f>G42+G32</f>
        <v>536424.26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12525378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22903.040000000001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5953.49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645.63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253617.66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89820.68</v>
      </c>
      <c r="D53" s="95">
        <f>SUM('DOE25'!G90:G102)</f>
        <v>0</v>
      </c>
      <c r="E53" s="95">
        <f>SUM('DOE25'!H90:H102)</f>
        <v>75276.03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118677.20999999999</v>
      </c>
      <c r="D54" s="130">
        <f>SUM(D49:D53)</f>
        <v>253617.66</v>
      </c>
      <c r="E54" s="130">
        <f>SUM(E49:E53)</f>
        <v>75276.03</v>
      </c>
      <c r="F54" s="130">
        <f>SUM(F49:F53)</f>
        <v>0</v>
      </c>
      <c r="G54" s="130">
        <f>SUM(G49:G53)</f>
        <v>645.63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12644055.210000001</v>
      </c>
      <c r="D55" s="22">
        <f>D48+D54</f>
        <v>253617.66</v>
      </c>
      <c r="E55" s="22">
        <f>E48+E54</f>
        <v>75276.03</v>
      </c>
      <c r="F55" s="22">
        <f>F48+F54</f>
        <v>0</v>
      </c>
      <c r="G55" s="22">
        <f>G48+G54</f>
        <v>645.63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240266.6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6269006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8714.4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6517987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175983.34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28160.42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9908.14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8550</v>
      </c>
      <c r="D69" s="95">
        <f>SUM('DOE25'!G123:G127)</f>
        <v>5235.82</v>
      </c>
      <c r="E69" s="95">
        <f>SUM('DOE25'!H123:H127)</f>
        <v>13493.09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222601.90000000002</v>
      </c>
      <c r="D70" s="130">
        <f>SUM(D64:D69)</f>
        <v>5235.82</v>
      </c>
      <c r="E70" s="130">
        <f>SUM(E64:E69)</f>
        <v>13493.09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6740588.9000000004</v>
      </c>
      <c r="D73" s="130">
        <f>SUM(D71:D72)+D70+D62</f>
        <v>5235.82</v>
      </c>
      <c r="E73" s="130">
        <f>SUM(E71:E72)+E70+E62</f>
        <v>13493.09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119353.15</v>
      </c>
      <c r="D80" s="95">
        <f>SUM('DOE25'!G145:G153)</f>
        <v>167396.99</v>
      </c>
      <c r="E80" s="95">
        <f>SUM('DOE25'!H145:H153)</f>
        <v>405733.28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12110.15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131463.29999999999</v>
      </c>
      <c r="D83" s="131">
        <f>SUM(D77:D82)</f>
        <v>167396.99</v>
      </c>
      <c r="E83" s="131">
        <f>SUM(E77:E82)</f>
        <v>405733.28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19516107.41</v>
      </c>
      <c r="D96" s="86">
        <f>D55+D73+D83+D95</f>
        <v>426250.47</v>
      </c>
      <c r="E96" s="86">
        <f>E55+E73+E83+E95</f>
        <v>494502.40000000002</v>
      </c>
      <c r="F96" s="86">
        <f>F55+F73+F83+F95</f>
        <v>0</v>
      </c>
      <c r="G96" s="86">
        <f>G55+G73+G95</f>
        <v>645.63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7655493.2999999989</v>
      </c>
      <c r="D101" s="24" t="s">
        <v>312</v>
      </c>
      <c r="E101" s="95">
        <f>('DOE25'!L268)+('DOE25'!L287)+('DOE25'!L306)</f>
        <v>306275.68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2970746.48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95691.7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432101.59000000008</v>
      </c>
      <c r="D104" s="24" t="s">
        <v>312</v>
      </c>
      <c r="E104" s="95">
        <f>+('DOE25'!L271)+('DOE25'!L290)+('DOE25'!L309)</f>
        <v>6819.84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11154033.069999998</v>
      </c>
      <c r="D107" s="86">
        <f>SUM(D101:D106)</f>
        <v>0</v>
      </c>
      <c r="E107" s="86">
        <f>SUM(E101:E106)</f>
        <v>313095.52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1441227.49</v>
      </c>
      <c r="D110" s="24" t="s">
        <v>312</v>
      </c>
      <c r="E110" s="95">
        <f>+('DOE25'!L273)+('DOE25'!L292)+('DOE25'!L311)</f>
        <v>52903.77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1065167.8</v>
      </c>
      <c r="D111" s="24" t="s">
        <v>312</v>
      </c>
      <c r="E111" s="95">
        <f>+('DOE25'!L274)+('DOE25'!L293)+('DOE25'!L312)</f>
        <v>102420.27800000001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752167.99</v>
      </c>
      <c r="D112" s="24" t="s">
        <v>312</v>
      </c>
      <c r="E112" s="95">
        <f>+('DOE25'!L275)+('DOE25'!L294)+('DOE25'!L313)</f>
        <v>14140.420000000002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1129698.0299999998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15797.539999999997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1958161.5899999999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846522.32000000007</v>
      </c>
      <c r="D116" s="24" t="s">
        <v>312</v>
      </c>
      <c r="E116" s="95">
        <f>+('DOE25'!L279)+('DOE25'!L298)+('DOE25'!L317)</f>
        <v>1795.25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449226.62099999998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433226.04999999993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7657969.381000001</v>
      </c>
      <c r="D120" s="86">
        <f>SUM(D110:D119)</f>
        <v>433226.04999999993</v>
      </c>
      <c r="E120" s="86">
        <f>SUM(E110:E119)</f>
        <v>171259.71800000002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19622.77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645.63000000000011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-645.63000000000011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309622.77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19121625.220999997</v>
      </c>
      <c r="D137" s="86">
        <f>(D107+D120+D136)</f>
        <v>433226.04999999993</v>
      </c>
      <c r="E137" s="86">
        <f>(E107+E120+E136)</f>
        <v>484355.23800000001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02/12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3.91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290000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290000</v>
      </c>
    </row>
    <row r="151" spans="1:7" x14ac:dyDescent="0.2">
      <c r="A151" s="22" t="s">
        <v>35</v>
      </c>
      <c r="B151" s="137">
        <f>'DOE25'!F488</f>
        <v>290000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290000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290000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290000</v>
      </c>
    </row>
    <row r="154" spans="1:7" x14ac:dyDescent="0.2">
      <c r="A154" s="22" t="s">
        <v>38</v>
      </c>
      <c r="B154" s="137">
        <f>'DOE25'!F491</f>
        <v>290000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290000</v>
      </c>
    </row>
    <row r="155" spans="1:7" x14ac:dyDescent="0.2">
      <c r="A155" s="22" t="s">
        <v>39</v>
      </c>
      <c r="B155" s="137">
        <f>'DOE25'!F492</f>
        <v>8504.25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8504.25</v>
      </c>
    </row>
    <row r="156" spans="1:7" x14ac:dyDescent="0.2">
      <c r="A156" s="22" t="s">
        <v>269</v>
      </c>
      <c r="B156" s="137">
        <f>'DOE25'!F493</f>
        <v>298504.25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298504.25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B945-29B1-45E5-9548-769D12E52AA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Inter-Lakes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16962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16658</v>
      </c>
    </row>
    <row r="7" spans="1:4" x14ac:dyDescent="0.2">
      <c r="B7" t="s">
        <v>736</v>
      </c>
      <c r="C7" s="179">
        <f>IF('DOE25'!I655+'DOE25'!I660=0,0,ROUND('DOE25'!I662,0))</f>
        <v>16859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7961769</v>
      </c>
      <c r="D10" s="182">
        <f>ROUND((C10/$C$28)*100,1)</f>
        <v>40.799999999999997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2970746</v>
      </c>
      <c r="D11" s="182">
        <f>ROUND((C11/$C$28)*100,1)</f>
        <v>15.2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95692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438921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1494131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1167588</v>
      </c>
      <c r="D16" s="182">
        <f t="shared" si="0"/>
        <v>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1215535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1129698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15798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1958162</v>
      </c>
      <c r="D20" s="182">
        <f t="shared" si="0"/>
        <v>10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848318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19623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179608.34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19495589.34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19495589.34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12525378</v>
      </c>
      <c r="D35" s="182">
        <f t="shared" ref="D35:D40" si="1">ROUND((C35/$C$41)*100,1)</f>
        <v>62.1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194598.86999999918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6517987</v>
      </c>
      <c r="D37" s="182">
        <f t="shared" si="1"/>
        <v>32.299999999999997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241331</v>
      </c>
      <c r="D38" s="182">
        <f t="shared" si="1"/>
        <v>1.2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704594</v>
      </c>
      <c r="D39" s="182">
        <f t="shared" si="1"/>
        <v>3.5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20183888.869999997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4343-D92E-4C73-8336-4A97715AE57F}">
  <sheetPr>
    <tabColor indexed="17"/>
  </sheetPr>
  <dimension ref="A1:IV90"/>
  <sheetViews>
    <sheetView workbookViewId="0">
      <pane ySplit="3" topLeftCell="A4" activePane="bottomLeft" state="frozen"/>
      <selection pane="bottomLeft" activeCell="A6" sqref="A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Inter-Lakes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 t="s">
        <v>897</v>
      </c>
      <c r="B4" s="220">
        <v>12</v>
      </c>
      <c r="C4" s="280" t="s">
        <v>900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22</v>
      </c>
      <c r="B6" s="220" t="s">
        <v>898</v>
      </c>
      <c r="C6" s="280" t="s">
        <v>899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2011-09-07T17:11:05Z</cp:lastPrinted>
  <dcterms:created xsi:type="dcterms:W3CDTF">1997-12-04T19:04:30Z</dcterms:created>
  <dcterms:modified xsi:type="dcterms:W3CDTF">2025-01-10T20:08:33Z</dcterms:modified>
</cp:coreProperties>
</file>