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8CD898D-AB02-4896-BDA1-521D750A3128}" xr6:coauthVersionLast="47" xr6:coauthVersionMax="47" xr10:uidLastSave="{00000000-0000-0000-0000-000000000000}"/>
  <workbookProtection workbookPassword="B30A" lockStructure="1"/>
  <bookViews>
    <workbookView xWindow="-120" yWindow="-120" windowWidth="29040" windowHeight="15990" tabRatio="855" xr2:uid="{DE884230-E456-49AB-8722-44DFFFF59187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0" i="2" l="1"/>
  <c r="B150" i="2"/>
  <c r="D150" i="2"/>
  <c r="E150" i="2"/>
  <c r="G150" i="2" s="1"/>
  <c r="F150" i="2"/>
  <c r="H388" i="1"/>
  <c r="G388" i="1"/>
  <c r="G393" i="1" s="1"/>
  <c r="C20" i="12"/>
  <c r="C19" i="12"/>
  <c r="B20" i="12"/>
  <c r="B22" i="12" s="1"/>
  <c r="A22" i="12" s="1"/>
  <c r="C12" i="12"/>
  <c r="C13" i="12" s="1"/>
  <c r="B12" i="12"/>
  <c r="F9" i="1"/>
  <c r="C37" i="10"/>
  <c r="C60" i="2"/>
  <c r="B2" i="13"/>
  <c r="F8" i="13"/>
  <c r="G8" i="13"/>
  <c r="L196" i="1"/>
  <c r="E8" i="13" s="1"/>
  <c r="L214" i="1"/>
  <c r="L232" i="1"/>
  <c r="D39" i="13"/>
  <c r="F13" i="13"/>
  <c r="G13" i="13"/>
  <c r="L198" i="1"/>
  <c r="L216" i="1"/>
  <c r="L234" i="1"/>
  <c r="C114" i="2" s="1"/>
  <c r="F16" i="13"/>
  <c r="G16" i="13"/>
  <c r="L201" i="1"/>
  <c r="L219" i="1"/>
  <c r="L237" i="1"/>
  <c r="F5" i="13"/>
  <c r="G5" i="13"/>
  <c r="D5" i="13" s="1"/>
  <c r="L189" i="1"/>
  <c r="L203" i="1" s="1"/>
  <c r="L190" i="1"/>
  <c r="L191" i="1"/>
  <c r="L192" i="1"/>
  <c r="L207" i="1"/>
  <c r="L208" i="1"/>
  <c r="L209" i="1"/>
  <c r="C12" i="10" s="1"/>
  <c r="L210" i="1"/>
  <c r="L225" i="1"/>
  <c r="L226" i="1"/>
  <c r="L227" i="1"/>
  <c r="L228" i="1"/>
  <c r="C13" i="10" s="1"/>
  <c r="F6" i="13"/>
  <c r="G6" i="13"/>
  <c r="L194" i="1"/>
  <c r="D6" i="13"/>
  <c r="C6" i="13"/>
  <c r="L212" i="1"/>
  <c r="L230" i="1"/>
  <c r="C15" i="10" s="1"/>
  <c r="F7" i="13"/>
  <c r="G7" i="13"/>
  <c r="L195" i="1"/>
  <c r="D7" i="13"/>
  <c r="C7" i="13"/>
  <c r="L213" i="1"/>
  <c r="L231" i="1"/>
  <c r="F12" i="13"/>
  <c r="G12" i="13"/>
  <c r="L197" i="1"/>
  <c r="C18" i="10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F652" i="1" s="1"/>
  <c r="L218" i="1"/>
  <c r="G640" i="1" s="1"/>
  <c r="J640" i="1" s="1"/>
  <c r="L236" i="1"/>
  <c r="H652" i="1" s="1"/>
  <c r="F17" i="13"/>
  <c r="G17" i="13"/>
  <c r="L243" i="1"/>
  <c r="D17" i="13" s="1"/>
  <c r="C17" i="13" s="1"/>
  <c r="F18" i="13"/>
  <c r="G18" i="13"/>
  <c r="L244" i="1"/>
  <c r="D18" i="13" s="1"/>
  <c r="C18" i="13" s="1"/>
  <c r="F19" i="13"/>
  <c r="G19" i="13"/>
  <c r="L245" i="1"/>
  <c r="D19" i="13"/>
  <c r="C19" i="13" s="1"/>
  <c r="F29" i="13"/>
  <c r="D29" i="13" s="1"/>
  <c r="C29" i="13" s="1"/>
  <c r="G29" i="13"/>
  <c r="L350" i="1"/>
  <c r="L351" i="1"/>
  <c r="L354" i="1" s="1"/>
  <c r="L352" i="1"/>
  <c r="H651" i="1" s="1"/>
  <c r="I359" i="1"/>
  <c r="J282" i="1"/>
  <c r="J330" i="1" s="1"/>
  <c r="J344" i="1" s="1"/>
  <c r="J301" i="1"/>
  <c r="J320" i="1"/>
  <c r="K282" i="1"/>
  <c r="G31" i="13"/>
  <c r="K301" i="1"/>
  <c r="K320" i="1"/>
  <c r="L268" i="1"/>
  <c r="L269" i="1"/>
  <c r="L270" i="1"/>
  <c r="L271" i="1"/>
  <c r="E104" i="2" s="1"/>
  <c r="L273" i="1"/>
  <c r="L274" i="1"/>
  <c r="E111" i="2" s="1"/>
  <c r="L275" i="1"/>
  <c r="L276" i="1"/>
  <c r="E113" i="2" s="1"/>
  <c r="L277" i="1"/>
  <c r="E114" i="2" s="1"/>
  <c r="L278" i="1"/>
  <c r="L279" i="1"/>
  <c r="L280" i="1"/>
  <c r="L287" i="1"/>
  <c r="E101" i="2" s="1"/>
  <c r="E107" i="2" s="1"/>
  <c r="L288" i="1"/>
  <c r="L289" i="1"/>
  <c r="L290" i="1"/>
  <c r="L292" i="1"/>
  <c r="L293" i="1"/>
  <c r="L294" i="1"/>
  <c r="E112" i="2" s="1"/>
  <c r="L295" i="1"/>
  <c r="L296" i="1"/>
  <c r="L297" i="1"/>
  <c r="E115" i="2" s="1"/>
  <c r="L298" i="1"/>
  <c r="E116" i="2" s="1"/>
  <c r="L299" i="1"/>
  <c r="E117" i="2"/>
  <c r="L306" i="1"/>
  <c r="L320" i="1" s="1"/>
  <c r="L307" i="1"/>
  <c r="L308" i="1"/>
  <c r="E103" i="2" s="1"/>
  <c r="L309" i="1"/>
  <c r="L311" i="1"/>
  <c r="L312" i="1"/>
  <c r="L313" i="1"/>
  <c r="L314" i="1"/>
  <c r="L315" i="1"/>
  <c r="L316" i="1"/>
  <c r="L317" i="1"/>
  <c r="L318" i="1"/>
  <c r="L325" i="1"/>
  <c r="L326" i="1"/>
  <c r="E106" i="2"/>
  <c r="L327" i="1"/>
  <c r="L252" i="1"/>
  <c r="C123" i="2"/>
  <c r="L253" i="1"/>
  <c r="C124" i="2" s="1"/>
  <c r="L333" i="1"/>
  <c r="E123" i="2" s="1"/>
  <c r="L334" i="1"/>
  <c r="L247" i="1"/>
  <c r="C29" i="10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C27" i="12"/>
  <c r="B31" i="12"/>
  <c r="A31" i="12" s="1"/>
  <c r="C31" i="12"/>
  <c r="B9" i="12"/>
  <c r="B13" i="12"/>
  <c r="C9" i="12"/>
  <c r="B18" i="12"/>
  <c r="C18" i="12"/>
  <c r="C22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 s="1"/>
  <c r="C131" i="2" s="1"/>
  <c r="L395" i="1"/>
  <c r="L396" i="1"/>
  <c r="L397" i="1"/>
  <c r="L399" i="1" s="1"/>
  <c r="C132" i="2" s="1"/>
  <c r="L398" i="1"/>
  <c r="L258" i="1"/>
  <c r="J52" i="1"/>
  <c r="J104" i="1" s="1"/>
  <c r="J185" i="1" s="1"/>
  <c r="G51" i="2"/>
  <c r="G53" i="2"/>
  <c r="G54" i="2"/>
  <c r="F2" i="11"/>
  <c r="L603" i="1"/>
  <c r="H653" i="1"/>
  <c r="L602" i="1"/>
  <c r="G653" i="1" s="1"/>
  <c r="L601" i="1"/>
  <c r="F653" i="1" s="1"/>
  <c r="I653" i="1" s="1"/>
  <c r="C40" i="10"/>
  <c r="F52" i="1"/>
  <c r="C48" i="2" s="1"/>
  <c r="C55" i="2" s="1"/>
  <c r="G52" i="1"/>
  <c r="H52" i="1"/>
  <c r="I52" i="1"/>
  <c r="F71" i="1"/>
  <c r="F86" i="1"/>
  <c r="F103" i="1"/>
  <c r="G103" i="1"/>
  <c r="G104" i="1" s="1"/>
  <c r="H71" i="1"/>
  <c r="H86" i="1"/>
  <c r="H103" i="1"/>
  <c r="H104" i="1" s="1"/>
  <c r="H185" i="1" s="1"/>
  <c r="G619" i="1" s="1"/>
  <c r="J619" i="1" s="1"/>
  <c r="I103" i="1"/>
  <c r="I104" i="1" s="1"/>
  <c r="J103" i="1"/>
  <c r="F113" i="1"/>
  <c r="F128" i="1"/>
  <c r="F132" i="1" s="1"/>
  <c r="G113" i="1"/>
  <c r="G132" i="1" s="1"/>
  <c r="G128" i="1"/>
  <c r="H113" i="1"/>
  <c r="H132" i="1" s="1"/>
  <c r="H128" i="1"/>
  <c r="I113" i="1"/>
  <c r="I128" i="1"/>
  <c r="I132" i="1"/>
  <c r="J113" i="1"/>
  <c r="J128" i="1"/>
  <c r="J132" i="1"/>
  <c r="F139" i="1"/>
  <c r="F161" i="1" s="1"/>
  <c r="C39" i="10" s="1"/>
  <c r="F154" i="1"/>
  <c r="G139" i="1"/>
  <c r="D77" i="2" s="1"/>
  <c r="D83" i="2" s="1"/>
  <c r="G154" i="1"/>
  <c r="H139" i="1"/>
  <c r="H154" i="1"/>
  <c r="H161" i="1"/>
  <c r="I139" i="1"/>
  <c r="I161" i="1" s="1"/>
  <c r="I154" i="1"/>
  <c r="L242" i="1"/>
  <c r="C23" i="10" s="1"/>
  <c r="L324" i="1"/>
  <c r="E105" i="2" s="1"/>
  <c r="L246" i="1"/>
  <c r="C25" i="10"/>
  <c r="L260" i="1"/>
  <c r="C134" i="2" s="1"/>
  <c r="L261" i="1"/>
  <c r="L341" i="1"/>
  <c r="L342" i="1"/>
  <c r="E135" i="2" s="1"/>
  <c r="I655" i="1"/>
  <c r="I660" i="1"/>
  <c r="I659" i="1"/>
  <c r="C6" i="10"/>
  <c r="C5" i="10"/>
  <c r="C42" i="10"/>
  <c r="L366" i="1"/>
  <c r="F126" i="2"/>
  <c r="L367" i="1"/>
  <c r="F122" i="2" s="1"/>
  <c r="F136" i="2" s="1"/>
  <c r="L368" i="1"/>
  <c r="L369" i="1"/>
  <c r="L370" i="1"/>
  <c r="L371" i="1"/>
  <c r="L372" i="1"/>
  <c r="B2" i="10"/>
  <c r="L336" i="1"/>
  <c r="L343" i="1" s="1"/>
  <c r="L337" i="1"/>
  <c r="L338" i="1"/>
  <c r="L339" i="1"/>
  <c r="K343" i="1"/>
  <c r="L511" i="1"/>
  <c r="L514" i="1" s="1"/>
  <c r="L512" i="1"/>
  <c r="F540" i="1" s="1"/>
  <c r="L513" i="1"/>
  <c r="F541" i="1"/>
  <c r="L516" i="1"/>
  <c r="G539" i="1" s="1"/>
  <c r="L517" i="1"/>
  <c r="G540" i="1" s="1"/>
  <c r="L518" i="1"/>
  <c r="G541" i="1" s="1"/>
  <c r="K541" i="1" s="1"/>
  <c r="L521" i="1"/>
  <c r="L524" i="1" s="1"/>
  <c r="H539" i="1"/>
  <c r="L522" i="1"/>
  <c r="H540" i="1" s="1"/>
  <c r="H542" i="1" s="1"/>
  <c r="L523" i="1"/>
  <c r="H541" i="1"/>
  <c r="L526" i="1"/>
  <c r="I539" i="1" s="1"/>
  <c r="I542" i="1" s="1"/>
  <c r="L527" i="1"/>
  <c r="I540" i="1" s="1"/>
  <c r="L528" i="1"/>
  <c r="I541" i="1" s="1"/>
  <c r="L531" i="1"/>
  <c r="J539" i="1"/>
  <c r="L532" i="1"/>
  <c r="L534" i="1" s="1"/>
  <c r="L533" i="1"/>
  <c r="J541" i="1"/>
  <c r="E124" i="2"/>
  <c r="K262" i="1"/>
  <c r="J262" i="1"/>
  <c r="I262" i="1"/>
  <c r="H262" i="1"/>
  <c r="G262" i="1"/>
  <c r="F262" i="1"/>
  <c r="L262" i="1" s="1"/>
  <c r="A1" i="2"/>
  <c r="A2" i="2"/>
  <c r="C9" i="2"/>
  <c r="C19" i="2" s="1"/>
  <c r="D9" i="2"/>
  <c r="E9" i="2"/>
  <c r="F9" i="2"/>
  <c r="I431" i="1"/>
  <c r="J9" i="1" s="1"/>
  <c r="C10" i="2"/>
  <c r="D10" i="2"/>
  <c r="E10" i="2"/>
  <c r="E19" i="2" s="1"/>
  <c r="F10" i="2"/>
  <c r="F19" i="2" s="1"/>
  <c r="I432" i="1"/>
  <c r="J10" i="1"/>
  <c r="G10" i="2" s="1"/>
  <c r="C11" i="2"/>
  <c r="C12" i="2"/>
  <c r="D12" i="2"/>
  <c r="E12" i="2"/>
  <c r="E13" i="2"/>
  <c r="E14" i="2"/>
  <c r="E16" i="2"/>
  <c r="E17" i="2"/>
  <c r="E18" i="2"/>
  <c r="F12" i="2"/>
  <c r="I433" i="1"/>
  <c r="J12" i="1" s="1"/>
  <c r="G12" i="2" s="1"/>
  <c r="C13" i="2"/>
  <c r="D13" i="2"/>
  <c r="F13" i="2"/>
  <c r="I434" i="1"/>
  <c r="J13" i="1" s="1"/>
  <c r="G13" i="2" s="1"/>
  <c r="C14" i="2"/>
  <c r="D14" i="2"/>
  <c r="F14" i="2"/>
  <c r="I435" i="1"/>
  <c r="J14" i="1" s="1"/>
  <c r="G14" i="2" s="1"/>
  <c r="F15" i="2"/>
  <c r="C16" i="2"/>
  <c r="D16" i="2"/>
  <c r="F16" i="2"/>
  <c r="C17" i="2"/>
  <c r="D17" i="2"/>
  <c r="D19" i="2" s="1"/>
  <c r="F17" i="2"/>
  <c r="I436" i="1"/>
  <c r="J17" i="1" s="1"/>
  <c r="G17" i="2" s="1"/>
  <c r="C18" i="2"/>
  <c r="D18" i="2"/>
  <c r="F18" i="2"/>
  <c r="I437" i="1"/>
  <c r="J18" i="1" s="1"/>
  <c r="G18" i="2" s="1"/>
  <c r="C22" i="2"/>
  <c r="D22" i="2"/>
  <c r="D23" i="2"/>
  <c r="D32" i="2" s="1"/>
  <c r="D24" i="2"/>
  <c r="D25" i="2"/>
  <c r="D28" i="2"/>
  <c r="D29" i="2"/>
  <c r="D30" i="2"/>
  <c r="D31" i="2"/>
  <c r="E22" i="2"/>
  <c r="F22" i="2"/>
  <c r="F32" i="2" s="1"/>
  <c r="I440" i="1"/>
  <c r="J23" i="1" s="1"/>
  <c r="C23" i="2"/>
  <c r="C32" i="2" s="1"/>
  <c r="E23" i="2"/>
  <c r="E32" i="2" s="1"/>
  <c r="E43" i="2" s="1"/>
  <c r="E24" i="2"/>
  <c r="E25" i="2"/>
  <c r="E28" i="2"/>
  <c r="E29" i="2"/>
  <c r="E30" i="2"/>
  <c r="E31" i="2"/>
  <c r="F23" i="2"/>
  <c r="I441" i="1"/>
  <c r="J24" i="1"/>
  <c r="G23" i="2"/>
  <c r="C24" i="2"/>
  <c r="F24" i="2"/>
  <c r="F25" i="2"/>
  <c r="F26" i="2"/>
  <c r="F27" i="2"/>
  <c r="F28" i="2"/>
  <c r="F29" i="2"/>
  <c r="F30" i="2"/>
  <c r="F31" i="2"/>
  <c r="I442" i="1"/>
  <c r="J25" i="1"/>
  <c r="G24" i="2"/>
  <c r="C25" i="2"/>
  <c r="C26" i="2"/>
  <c r="C27" i="2"/>
  <c r="C28" i="2"/>
  <c r="C29" i="2"/>
  <c r="C30" i="2"/>
  <c r="C31" i="2"/>
  <c r="I443" i="1"/>
  <c r="I444" i="1" s="1"/>
  <c r="C34" i="2"/>
  <c r="C42" i="2" s="1"/>
  <c r="C43" i="2" s="1"/>
  <c r="D34" i="2"/>
  <c r="D42" i="2" s="1"/>
  <c r="D43" i="2" s="1"/>
  <c r="E34" i="2"/>
  <c r="F34" i="2"/>
  <c r="C35" i="2"/>
  <c r="D35" i="2"/>
  <c r="E35" i="2"/>
  <c r="F35" i="2"/>
  <c r="F42" i="2" s="1"/>
  <c r="F43" i="2" s="1"/>
  <c r="C36" i="2"/>
  <c r="D36" i="2"/>
  <c r="E36" i="2"/>
  <c r="F36" i="2"/>
  <c r="I446" i="1"/>
  <c r="I450" i="1" s="1"/>
  <c r="J37" i="1"/>
  <c r="G36" i="2" s="1"/>
  <c r="G42" i="2" s="1"/>
  <c r="C37" i="2"/>
  <c r="D37" i="2"/>
  <c r="D38" i="2"/>
  <c r="D40" i="2"/>
  <c r="D41" i="2"/>
  <c r="E37" i="2"/>
  <c r="F37" i="2"/>
  <c r="I447" i="1"/>
  <c r="J38" i="1"/>
  <c r="G37" i="2"/>
  <c r="C38" i="2"/>
  <c r="E38" i="2"/>
  <c r="F38" i="2"/>
  <c r="I448" i="1"/>
  <c r="J40" i="1" s="1"/>
  <c r="G39" i="2" s="1"/>
  <c r="C40" i="2"/>
  <c r="E40" i="2"/>
  <c r="F40" i="2"/>
  <c r="F41" i="2"/>
  <c r="I449" i="1"/>
  <c r="J41" i="1"/>
  <c r="C41" i="2"/>
  <c r="E41" i="2"/>
  <c r="D48" i="2"/>
  <c r="D55" i="2" s="1"/>
  <c r="D96" i="2" s="1"/>
  <c r="E48" i="2"/>
  <c r="C49" i="2"/>
  <c r="C54" i="2" s="1"/>
  <c r="C50" i="2"/>
  <c r="E50" i="2"/>
  <c r="C51" i="2"/>
  <c r="D51" i="2"/>
  <c r="D54" i="2" s="1"/>
  <c r="E51" i="2"/>
  <c r="E54" i="2" s="1"/>
  <c r="E55" i="2" s="1"/>
  <c r="E96" i="2" s="1"/>
  <c r="F51" i="2"/>
  <c r="F53" i="2"/>
  <c r="F54" i="2" s="1"/>
  <c r="F55" i="2" s="1"/>
  <c r="D52" i="2"/>
  <c r="C53" i="2"/>
  <c r="D53" i="2"/>
  <c r="E53" i="2"/>
  <c r="C58" i="2"/>
  <c r="C62" i="2" s="1"/>
  <c r="C59" i="2"/>
  <c r="C61" i="2"/>
  <c r="D61" i="2"/>
  <c r="E61" i="2"/>
  <c r="F61" i="2"/>
  <c r="F62" i="2" s="1"/>
  <c r="G61" i="2"/>
  <c r="G62" i="2" s="1"/>
  <c r="D62" i="2"/>
  <c r="E62" i="2"/>
  <c r="C64" i="2"/>
  <c r="F64" i="2"/>
  <c r="F70" i="2" s="1"/>
  <c r="F73" i="2" s="1"/>
  <c r="F65" i="2"/>
  <c r="F68" i="2"/>
  <c r="F69" i="2"/>
  <c r="C65" i="2"/>
  <c r="C70" i="2" s="1"/>
  <c r="C73" i="2" s="1"/>
  <c r="C66" i="2"/>
  <c r="C67" i="2"/>
  <c r="C68" i="2"/>
  <c r="E68" i="2"/>
  <c r="C69" i="2"/>
  <c r="D69" i="2"/>
  <c r="D70" i="2"/>
  <c r="D73" i="2" s="1"/>
  <c r="D71" i="2"/>
  <c r="E69" i="2"/>
  <c r="G69" i="2"/>
  <c r="G70" i="2" s="1"/>
  <c r="G73" i="2" s="1"/>
  <c r="E70" i="2"/>
  <c r="C71" i="2"/>
  <c r="E71" i="2"/>
  <c r="C72" i="2"/>
  <c r="E72" i="2"/>
  <c r="C77" i="2"/>
  <c r="C83" i="2" s="1"/>
  <c r="E77" i="2"/>
  <c r="C79" i="2"/>
  <c r="E79" i="2"/>
  <c r="F79" i="2"/>
  <c r="C80" i="2"/>
  <c r="D80" i="2"/>
  <c r="E80" i="2"/>
  <c r="E81" i="2"/>
  <c r="E83" i="2"/>
  <c r="F80" i="2"/>
  <c r="C81" i="2"/>
  <c r="D81" i="2"/>
  <c r="F81" i="2"/>
  <c r="C82" i="2"/>
  <c r="C85" i="2"/>
  <c r="F85" i="2"/>
  <c r="C86" i="2"/>
  <c r="F86" i="2"/>
  <c r="D88" i="2"/>
  <c r="D95" i="2" s="1"/>
  <c r="D89" i="2"/>
  <c r="D90" i="2"/>
  <c r="D91" i="2"/>
  <c r="D92" i="2"/>
  <c r="D93" i="2"/>
  <c r="D94" i="2"/>
  <c r="E88" i="2"/>
  <c r="E95" i="2" s="1"/>
  <c r="F88" i="2"/>
  <c r="G88" i="2"/>
  <c r="G89" i="2"/>
  <c r="G90" i="2"/>
  <c r="G95" i="2"/>
  <c r="C89" i="2"/>
  <c r="E89" i="2"/>
  <c r="F89" i="2"/>
  <c r="C90" i="2"/>
  <c r="E90" i="2"/>
  <c r="C91" i="2"/>
  <c r="E91" i="2"/>
  <c r="F91" i="2"/>
  <c r="C92" i="2"/>
  <c r="E92" i="2"/>
  <c r="F92" i="2"/>
  <c r="F95" i="2" s="1"/>
  <c r="C93" i="2"/>
  <c r="C95" i="2" s="1"/>
  <c r="E93" i="2"/>
  <c r="F93" i="2"/>
  <c r="C94" i="2"/>
  <c r="E94" i="2"/>
  <c r="F94" i="2"/>
  <c r="D107" i="2"/>
  <c r="F107" i="2"/>
  <c r="G107" i="2"/>
  <c r="D119" i="2"/>
  <c r="D120" i="2" s="1"/>
  <c r="F120" i="2"/>
  <c r="G120" i="2"/>
  <c r="E122" i="2"/>
  <c r="D126" i="2"/>
  <c r="K411" i="1"/>
  <c r="K426" i="1" s="1"/>
  <c r="G126" i="2" s="1"/>
  <c r="G136" i="2" s="1"/>
  <c r="K419" i="1"/>
  <c r="K425" i="1"/>
  <c r="L255" i="1"/>
  <c r="C127" i="2"/>
  <c r="E127" i="2"/>
  <c r="L256" i="1"/>
  <c r="C128" i="2" s="1"/>
  <c r="L257" i="1"/>
  <c r="C129" i="2"/>
  <c r="E129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K490" i="1" s="1"/>
  <c r="B153" i="2"/>
  <c r="G490" i="1"/>
  <c r="C153" i="2" s="1"/>
  <c r="G153" i="2" s="1"/>
  <c r="H490" i="1"/>
  <c r="D153" i="2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G155" i="2" s="1"/>
  <c r="D155" i="2"/>
  <c r="E155" i="2"/>
  <c r="F155" i="2"/>
  <c r="F493" i="1"/>
  <c r="K493" i="1" s="1"/>
  <c r="G493" i="1"/>
  <c r="C156" i="2"/>
  <c r="H493" i="1"/>
  <c r="D156" i="2" s="1"/>
  <c r="I493" i="1"/>
  <c r="E156" i="2"/>
  <c r="J493" i="1"/>
  <c r="F156" i="2" s="1"/>
  <c r="F19" i="1"/>
  <c r="G607" i="1" s="1"/>
  <c r="G19" i="1"/>
  <c r="G608" i="1" s="1"/>
  <c r="H19" i="1"/>
  <c r="G609" i="1" s="1"/>
  <c r="J609" i="1" s="1"/>
  <c r="I19" i="1"/>
  <c r="G610" i="1"/>
  <c r="F33" i="1"/>
  <c r="G33" i="1"/>
  <c r="H33" i="1"/>
  <c r="I33" i="1"/>
  <c r="F43" i="1"/>
  <c r="G612" i="1" s="1"/>
  <c r="J612" i="1" s="1"/>
  <c r="G43" i="1"/>
  <c r="G44" i="1" s="1"/>
  <c r="H608" i="1" s="1"/>
  <c r="H43" i="1"/>
  <c r="H44" i="1" s="1"/>
  <c r="H609" i="1" s="1"/>
  <c r="I43" i="1"/>
  <c r="G615" i="1" s="1"/>
  <c r="F169" i="1"/>
  <c r="F184" i="1" s="1"/>
  <c r="I169" i="1"/>
  <c r="I184" i="1" s="1"/>
  <c r="F175" i="1"/>
  <c r="G175" i="1"/>
  <c r="G184" i="1" s="1"/>
  <c r="H175" i="1"/>
  <c r="H184" i="1" s="1"/>
  <c r="I175" i="1"/>
  <c r="J175" i="1"/>
  <c r="J184" i="1" s="1"/>
  <c r="F180" i="1"/>
  <c r="G180" i="1"/>
  <c r="H180" i="1"/>
  <c r="I180" i="1"/>
  <c r="F203" i="1"/>
  <c r="G203" i="1"/>
  <c r="G249" i="1" s="1"/>
  <c r="G263" i="1" s="1"/>
  <c r="H203" i="1"/>
  <c r="I203" i="1"/>
  <c r="J203" i="1"/>
  <c r="J249" i="1" s="1"/>
  <c r="K203" i="1"/>
  <c r="F221" i="1"/>
  <c r="G221" i="1"/>
  <c r="H221" i="1"/>
  <c r="H249" i="1" s="1"/>
  <c r="H263" i="1" s="1"/>
  <c r="I221" i="1"/>
  <c r="I249" i="1" s="1"/>
  <c r="I263" i="1" s="1"/>
  <c r="J221" i="1"/>
  <c r="K221" i="1"/>
  <c r="F239" i="1"/>
  <c r="G239" i="1"/>
  <c r="H239" i="1"/>
  <c r="I239" i="1"/>
  <c r="J239" i="1"/>
  <c r="K239" i="1"/>
  <c r="F248" i="1"/>
  <c r="L248" i="1" s="1"/>
  <c r="G248" i="1"/>
  <c r="H248" i="1"/>
  <c r="I248" i="1"/>
  <c r="J248" i="1"/>
  <c r="K248" i="1"/>
  <c r="F282" i="1"/>
  <c r="F330" i="1" s="1"/>
  <c r="F344" i="1" s="1"/>
  <c r="G282" i="1"/>
  <c r="G330" i="1" s="1"/>
  <c r="G344" i="1" s="1"/>
  <c r="H282" i="1"/>
  <c r="H330" i="1" s="1"/>
  <c r="H344" i="1" s="1"/>
  <c r="I282" i="1"/>
  <c r="I330" i="1"/>
  <c r="I344" i="1" s="1"/>
  <c r="F301" i="1"/>
  <c r="G301" i="1"/>
  <c r="H301" i="1"/>
  <c r="I301" i="1"/>
  <c r="F320" i="1"/>
  <c r="G320" i="1"/>
  <c r="H320" i="1"/>
  <c r="I320" i="1"/>
  <c r="F329" i="1"/>
  <c r="G329" i="1"/>
  <c r="L329" i="1" s="1"/>
  <c r="H329" i="1"/>
  <c r="I329" i="1"/>
  <c r="J329" i="1"/>
  <c r="K329" i="1"/>
  <c r="K330" i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F400" i="1" s="1"/>
  <c r="H633" i="1" s="1"/>
  <c r="G385" i="1"/>
  <c r="G400" i="1" s="1"/>
  <c r="H635" i="1" s="1"/>
  <c r="H385" i="1"/>
  <c r="H400" i="1" s="1"/>
  <c r="H634" i="1" s="1"/>
  <c r="I385" i="1"/>
  <c r="F393" i="1"/>
  <c r="H393" i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I426" i="1"/>
  <c r="J425" i="1"/>
  <c r="J426" i="1"/>
  <c r="F438" i="1"/>
  <c r="G438" i="1"/>
  <c r="G630" i="1"/>
  <c r="H438" i="1"/>
  <c r="G631" i="1" s="1"/>
  <c r="J631" i="1" s="1"/>
  <c r="F444" i="1"/>
  <c r="F451" i="1" s="1"/>
  <c r="H629" i="1" s="1"/>
  <c r="G444" i="1"/>
  <c r="G451" i="1" s="1"/>
  <c r="H630" i="1" s="1"/>
  <c r="H444" i="1"/>
  <c r="F450" i="1"/>
  <c r="G450" i="1"/>
  <c r="H450" i="1"/>
  <c r="H451" i="1"/>
  <c r="H631" i="1" s="1"/>
  <c r="F460" i="1"/>
  <c r="G460" i="1"/>
  <c r="H460" i="1"/>
  <c r="I460" i="1"/>
  <c r="I466" i="1" s="1"/>
  <c r="H615" i="1" s="1"/>
  <c r="J460" i="1"/>
  <c r="J466" i="1" s="1"/>
  <c r="H616" i="1" s="1"/>
  <c r="F464" i="1"/>
  <c r="F466" i="1" s="1"/>
  <c r="H612" i="1" s="1"/>
  <c r="G464" i="1"/>
  <c r="G466" i="1"/>
  <c r="H613" i="1" s="1"/>
  <c r="H464" i="1"/>
  <c r="I464" i="1"/>
  <c r="J464" i="1"/>
  <c r="K485" i="1"/>
  <c r="K486" i="1"/>
  <c r="K488" i="1"/>
  <c r="K489" i="1"/>
  <c r="K491" i="1"/>
  <c r="K492" i="1"/>
  <c r="F507" i="1"/>
  <c r="G507" i="1"/>
  <c r="H507" i="1"/>
  <c r="I507" i="1"/>
  <c r="F514" i="1"/>
  <c r="G514" i="1"/>
  <c r="G535" i="1" s="1"/>
  <c r="H514" i="1"/>
  <c r="I514" i="1"/>
  <c r="I535" i="1" s="1"/>
  <c r="J514" i="1"/>
  <c r="J535" i="1"/>
  <c r="K514" i="1"/>
  <c r="K535" i="1" s="1"/>
  <c r="F519" i="1"/>
  <c r="G519" i="1"/>
  <c r="H519" i="1"/>
  <c r="I519" i="1"/>
  <c r="J519" i="1"/>
  <c r="K519" i="1"/>
  <c r="F524" i="1"/>
  <c r="G524" i="1"/>
  <c r="H524" i="1"/>
  <c r="I524" i="1"/>
  <c r="J524" i="1"/>
  <c r="K524" i="1"/>
  <c r="F529" i="1"/>
  <c r="F535" i="1" s="1"/>
  <c r="G529" i="1"/>
  <c r="H529" i="1"/>
  <c r="I529" i="1"/>
  <c r="J529" i="1"/>
  <c r="K529" i="1"/>
  <c r="F534" i="1"/>
  <c r="G534" i="1"/>
  <c r="H534" i="1"/>
  <c r="I534" i="1"/>
  <c r="J534" i="1"/>
  <c r="K534" i="1"/>
  <c r="L547" i="1"/>
  <c r="L548" i="1"/>
  <c r="L549" i="1"/>
  <c r="L550" i="1" s="1"/>
  <c r="L561" i="1" s="1"/>
  <c r="F550" i="1"/>
  <c r="F561" i="1" s="1"/>
  <c r="G550" i="1"/>
  <c r="H550" i="1"/>
  <c r="H561" i="1"/>
  <c r="I550" i="1"/>
  <c r="J550" i="1"/>
  <c r="J561" i="1" s="1"/>
  <c r="K550" i="1"/>
  <c r="L552" i="1"/>
  <c r="L555" i="1" s="1"/>
  <c r="L553" i="1"/>
  <c r="L554" i="1"/>
  <c r="F555" i="1"/>
  <c r="G555" i="1"/>
  <c r="H555" i="1"/>
  <c r="I555" i="1"/>
  <c r="I561" i="1" s="1"/>
  <c r="J555" i="1"/>
  <c r="K555" i="1"/>
  <c r="L557" i="1"/>
  <c r="L560" i="1" s="1"/>
  <c r="L558" i="1"/>
  <c r="L559" i="1"/>
  <c r="F560" i="1"/>
  <c r="G560" i="1"/>
  <c r="G561" i="1" s="1"/>
  <c r="H560" i="1"/>
  <c r="I560" i="1"/>
  <c r="J560" i="1"/>
  <c r="K560" i="1"/>
  <c r="K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J637" i="1" s="1"/>
  <c r="K583" i="1"/>
  <c r="K584" i="1"/>
  <c r="K585" i="1"/>
  <c r="K586" i="1"/>
  <c r="K587" i="1"/>
  <c r="H588" i="1"/>
  <c r="H639" i="1"/>
  <c r="I588" i="1"/>
  <c r="H640" i="1" s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G633" i="1"/>
  <c r="G634" i="1"/>
  <c r="G639" i="1"/>
  <c r="J639" i="1" s="1"/>
  <c r="G642" i="1"/>
  <c r="H642" i="1"/>
  <c r="G643" i="1"/>
  <c r="H643" i="1"/>
  <c r="J643" i="1"/>
  <c r="G644" i="1"/>
  <c r="H644" i="1"/>
  <c r="J644" i="1" s="1"/>
  <c r="G645" i="1"/>
  <c r="J645" i="1" s="1"/>
  <c r="H645" i="1"/>
  <c r="H535" i="1"/>
  <c r="H466" i="1"/>
  <c r="H614" i="1" s="1"/>
  <c r="J614" i="1" s="1"/>
  <c r="E102" i="2"/>
  <c r="C11" i="10"/>
  <c r="J642" i="1"/>
  <c r="H25" i="13"/>
  <c r="C25" i="13" s="1"/>
  <c r="C116" i="2"/>
  <c r="G641" i="1"/>
  <c r="J641" i="1" s="1"/>
  <c r="L239" i="1"/>
  <c r="H650" i="1" s="1"/>
  <c r="H654" i="1" s="1"/>
  <c r="H637" i="1"/>
  <c r="K249" i="1"/>
  <c r="K263" i="1" s="1"/>
  <c r="C102" i="2"/>
  <c r="C110" i="2"/>
  <c r="C104" i="2"/>
  <c r="F249" i="1"/>
  <c r="F263" i="1" s="1"/>
  <c r="G161" i="1"/>
  <c r="F104" i="1"/>
  <c r="E42" i="2"/>
  <c r="G613" i="1"/>
  <c r="J613" i="1" s="1"/>
  <c r="E134" i="2"/>
  <c r="C24" i="10"/>
  <c r="F22" i="13"/>
  <c r="C22" i="13"/>
  <c r="C16" i="10"/>
  <c r="C111" i="2"/>
  <c r="C117" i="2"/>
  <c r="E110" i="2"/>
  <c r="G614" i="1"/>
  <c r="L374" i="1"/>
  <c r="G626" i="1"/>
  <c r="J626" i="1" s="1"/>
  <c r="C32" i="10"/>
  <c r="E16" i="13"/>
  <c r="C16" i="13"/>
  <c r="F48" i="2"/>
  <c r="E73" i="2"/>
  <c r="C105" i="2"/>
  <c r="E49" i="2"/>
  <c r="H33" i="13"/>
  <c r="L221" i="1"/>
  <c r="C103" i="2"/>
  <c r="K487" i="1"/>
  <c r="G40" i="2"/>
  <c r="J634" i="1" l="1"/>
  <c r="J633" i="1"/>
  <c r="F137" i="2"/>
  <c r="G185" i="1"/>
  <c r="G618" i="1" s="1"/>
  <c r="J618" i="1" s="1"/>
  <c r="C130" i="2"/>
  <c r="L400" i="1"/>
  <c r="I451" i="1"/>
  <c r="H632" i="1" s="1"/>
  <c r="J629" i="1"/>
  <c r="D137" i="2"/>
  <c r="G542" i="1"/>
  <c r="E120" i="2"/>
  <c r="C5" i="13"/>
  <c r="C8" i="13"/>
  <c r="L249" i="1"/>
  <c r="L263" i="1" s="1"/>
  <c r="G622" i="1" s="1"/>
  <c r="J622" i="1" s="1"/>
  <c r="J263" i="1"/>
  <c r="H638" i="1"/>
  <c r="J638" i="1" s="1"/>
  <c r="A13" i="12"/>
  <c r="H657" i="1"/>
  <c r="H662" i="1"/>
  <c r="G625" i="1"/>
  <c r="J625" i="1" s="1"/>
  <c r="C27" i="10"/>
  <c r="C38" i="10"/>
  <c r="F185" i="1"/>
  <c r="G617" i="1" s="1"/>
  <c r="J617" i="1" s="1"/>
  <c r="G621" i="1"/>
  <c r="J621" i="1" s="1"/>
  <c r="G636" i="1"/>
  <c r="L426" i="1"/>
  <c r="G628" i="1" s="1"/>
  <c r="J628" i="1" s="1"/>
  <c r="J608" i="1"/>
  <c r="C133" i="2"/>
  <c r="J630" i="1"/>
  <c r="C96" i="2"/>
  <c r="J615" i="1"/>
  <c r="G22" i="2"/>
  <c r="J624" i="1"/>
  <c r="G137" i="2"/>
  <c r="J19" i="1"/>
  <c r="G611" i="1" s="1"/>
  <c r="G9" i="2"/>
  <c r="G19" i="2" s="1"/>
  <c r="I185" i="1"/>
  <c r="G620" i="1" s="1"/>
  <c r="J620" i="1" s="1"/>
  <c r="I652" i="1"/>
  <c r="F44" i="1"/>
  <c r="H607" i="1" s="1"/>
  <c r="J607" i="1" s="1"/>
  <c r="C35" i="10"/>
  <c r="C17" i="10"/>
  <c r="C112" i="2"/>
  <c r="G652" i="1"/>
  <c r="L529" i="1"/>
  <c r="E126" i="2"/>
  <c r="E136" i="2" s="1"/>
  <c r="E137" i="2" s="1"/>
  <c r="C106" i="2"/>
  <c r="L301" i="1"/>
  <c r="G650" i="1" s="1"/>
  <c r="G654" i="1" s="1"/>
  <c r="J43" i="1"/>
  <c r="C19" i="10"/>
  <c r="C21" i="10"/>
  <c r="G33" i="13"/>
  <c r="C26" i="10"/>
  <c r="C113" i="2"/>
  <c r="I438" i="1"/>
  <c r="G632" i="1" s="1"/>
  <c r="I44" i="1"/>
  <c r="H610" i="1" s="1"/>
  <c r="J610" i="1" s="1"/>
  <c r="J32" i="1"/>
  <c r="G31" i="2" s="1"/>
  <c r="J540" i="1"/>
  <c r="J542" i="1" s="1"/>
  <c r="F651" i="1"/>
  <c r="G48" i="2"/>
  <c r="G55" i="2" s="1"/>
  <c r="G96" i="2" s="1"/>
  <c r="C115" i="2"/>
  <c r="L282" i="1"/>
  <c r="L519" i="1"/>
  <c r="L535" i="1" s="1"/>
  <c r="G635" i="1"/>
  <c r="J635" i="1" s="1"/>
  <c r="F31" i="13"/>
  <c r="F33" i="13" s="1"/>
  <c r="C20" i="10"/>
  <c r="E13" i="13"/>
  <c r="C13" i="13" s="1"/>
  <c r="C122" i="2"/>
  <c r="C136" i="2" s="1"/>
  <c r="D15" i="13"/>
  <c r="C15" i="13" s="1"/>
  <c r="F539" i="1"/>
  <c r="D12" i="13"/>
  <c r="C12" i="13" s="1"/>
  <c r="C10" i="10"/>
  <c r="C101" i="2"/>
  <c r="C107" i="2" s="1"/>
  <c r="B156" i="2"/>
  <c r="G156" i="2" s="1"/>
  <c r="F77" i="2"/>
  <c r="F83" i="2" s="1"/>
  <c r="F96" i="2" s="1"/>
  <c r="G651" i="1"/>
  <c r="G657" i="1" l="1"/>
  <c r="G662" i="1"/>
  <c r="J33" i="1"/>
  <c r="J44" i="1" s="1"/>
  <c r="H611" i="1" s="1"/>
  <c r="J611" i="1" s="1"/>
  <c r="D33" i="13"/>
  <c r="D36" i="13" s="1"/>
  <c r="J632" i="1"/>
  <c r="C120" i="2"/>
  <c r="G32" i="2"/>
  <c r="G43" i="2" s="1"/>
  <c r="H636" i="1"/>
  <c r="G627" i="1"/>
  <c r="J627" i="1" s="1"/>
  <c r="C137" i="2"/>
  <c r="K540" i="1"/>
  <c r="J636" i="1"/>
  <c r="K539" i="1"/>
  <c r="K542" i="1" s="1"/>
  <c r="F542" i="1"/>
  <c r="C36" i="10"/>
  <c r="C41" i="10"/>
  <c r="D38" i="10"/>
  <c r="L330" i="1"/>
  <c r="L344" i="1" s="1"/>
  <c r="G623" i="1" s="1"/>
  <c r="J623" i="1" s="1"/>
  <c r="D31" i="13"/>
  <c r="C31" i="13" s="1"/>
  <c r="G616" i="1"/>
  <c r="C28" i="10"/>
  <c r="D10" i="10" s="1"/>
  <c r="F650" i="1"/>
  <c r="I651" i="1"/>
  <c r="E33" i="13"/>
  <c r="D35" i="13" s="1"/>
  <c r="D22" i="10" l="1"/>
  <c r="C30" i="10"/>
  <c r="D15" i="10"/>
  <c r="D12" i="10"/>
  <c r="D18" i="10"/>
  <c r="D23" i="10"/>
  <c r="D25" i="10"/>
  <c r="D11" i="10"/>
  <c r="D28" i="10" s="1"/>
  <c r="D24" i="10"/>
  <c r="D13" i="10"/>
  <c r="D16" i="10"/>
  <c r="D17" i="10"/>
  <c r="D21" i="10"/>
  <c r="D20" i="10"/>
  <c r="D37" i="10"/>
  <c r="D39" i="10"/>
  <c r="D40" i="10"/>
  <c r="J616" i="1"/>
  <c r="H646" i="1"/>
  <c r="D19" i="10"/>
  <c r="D27" i="10"/>
  <c r="D35" i="10"/>
  <c r="D36" i="10"/>
  <c r="I650" i="1"/>
  <c r="I654" i="1" s="1"/>
  <c r="F654" i="1"/>
  <c r="D26" i="10"/>
  <c r="D41" i="10" l="1"/>
  <c r="F657" i="1"/>
  <c r="F662" i="1"/>
  <c r="C4" i="10" s="1"/>
  <c r="I657" i="1"/>
  <c r="I662" i="1"/>
  <c r="C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C064B61-97EF-4345-8C2D-916742E8E04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D774C4AC-2954-4DBF-A0EA-8041860F6DF7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02113BFE-1BDC-4967-81A2-5509C00AE8C2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F36683CE-449C-48A5-991C-17A9924ED5E5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E5CBB678-0D53-4523-8A8A-4A57A1AB02A7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037A0C6A-61AB-4586-9FDC-19825A299AF3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B2ED8C40-2B4E-4CE4-8C12-3EA6145CB89D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AF2A0C22-175D-4D92-92F4-B7A47FB0852F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D9D93402-5B72-4029-B780-AC98657B261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50DEBAE3-097B-48FD-8FC2-CF3307DB5398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D66B2FBF-4079-4FD0-90AB-069B4FAA54D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85DE9118-6D59-496D-9CD6-5D98348BAF11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<sst xmlns="http://schemas.openxmlformats.org/spreadsheetml/2006/main" count="3860" uniqueCount="897">
  <si>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</si>
  <si>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</si>
  <si>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</si>
  <si>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</si>
  <si>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</si>
  <si>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</si>
  <si>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</si>
  <si>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</si>
  <si>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</si>
  <si>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</si>
  <si>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</si>
  <si>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</si>
  <si>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</si>
  <si>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</si>
  <si>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</si>
  <si>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</si>
  <si>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</si>
  <si>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</si>
  <si>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</si>
  <si>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</si>
  <si>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</si>
  <si>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</si>
  <si>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</si>
  <si>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</si>
  <si>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</si>
  <si>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</si>
  <si>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</si>
  <si>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</si>
  <si>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</si>
  <si>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</si>
  <si>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</si>
  <si>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</si>
  <si>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</si>
  <si>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</si>
  <si>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</si>
  <si>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</si>
  <si>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</si>
  <si>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</si>
  <si>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</si>
  <si>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</si>
  <si>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</si>
  <si>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</si>
  <si>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</si>
  <si>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</si>
  <si>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</si>
  <si>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</si>
  <si>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</si>
  <si>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</si>
  <si>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</si>
  <si>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</si>
  <si>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</si>
  <si>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</si>
  <si>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</si>
  <si>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</si>
  <si>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</si>
  <si>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</si>
  <si>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</si>
  <si>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</si>
  <si>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</si>
  <si>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</si>
  <si>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</si>
  <si>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</si>
  <si>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</si>
  <si>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</si>
  <si>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</si>
  <si>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</si>
  <si>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</si>
  <si>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</si>
  <si>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</si>
  <si>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</si>
  <si>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</si>
  <si>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</si>
  <si>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</si>
  <si>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</si>
  <si>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</si>
  <si>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</si>
  <si>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</si>
  <si>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</si>
  <si>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</si>
  <si>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</si>
  <si>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</si>
  <si>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</si>
  <si>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</si>
  <si>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</si>
  <si>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</si>
  <si>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</si>
  <si>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</si>
  <si>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</si>
  <si>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</si>
  <si>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</si>
  <si>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</si>
  <si>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</si>
  <si>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</si>
  <si>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</si>
  <si>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</si>
  <si>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</si>
  <si>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</si>
  <si>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</si>
  <si>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</si>
  <si>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</si>
  <si>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</si>
  <si>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</si>
  <si>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</si>
  <si>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</si>
  <si>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</si>
  <si>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</si>
  <si>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</si>
  <si>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</si>
  <si>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</si>
  <si>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</si>
  <si>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</si>
  <si>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</si>
  <si>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</si>
  <si>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</si>
  <si>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</si>
  <si>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</si>
  <si>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</si>
  <si>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</si>
  <si>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</si>
  <si>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</si>
  <si>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</si>
  <si>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</si>
  <si>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</si>
  <si>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</si>
  <si>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</si>
  <si>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</si>
  <si>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</si>
  <si>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</si>
  <si>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</si>
  <si>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</si>
  <si>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</si>
  <si>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</si>
  <si>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</si>
  <si>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</si>
  <si>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</si>
  <si>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</si>
  <si>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</si>
  <si>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</si>
  <si>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</si>
  <si>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</si>
  <si>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</si>
  <si>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</si>
  <si>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</si>
  <si>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</si>
  <si>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</si>
  <si>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</si>
  <si>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</si>
  <si>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</si>
  <si>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</si>
  <si>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</si>
  <si>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</si>
  <si>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</si>
  <si>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</si>
  <si>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</si>
  <si>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</si>
  <si>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</si>
  <si>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</si>
  <si>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</si>
  <si>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</si>
  <si>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</si>
  <si>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</si>
  <si>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</si>
  <si>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</si>
  <si>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</si>
  <si>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</si>
  <si>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</si>
  <si>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</si>
  <si>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</si>
  <si>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</si>
  <si>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</si>
  <si>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</si>
  <si>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</si>
  <si>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</si>
  <si>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</si>
  <si>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</si>
  <si>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</si>
  <si>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</si>
  <si>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</si>
  <si>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</si>
  <si>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</si>
  <si>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</si>
  <si>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</si>
  <si>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</si>
  <si>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</si>
  <si>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</si>
  <si>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</si>
  <si>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</si>
  <si>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</si>
  <si>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</si>
  <si>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</si>
  <si>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</si>
  <si>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</si>
  <si>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</si>
  <si>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</si>
  <si>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</si>
  <si>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</si>
  <si>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</si>
  <si>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</si>
  <si>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</si>
  <si>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</si>
  <si>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</si>
  <si>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</si>
  <si>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</si>
  <si>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</si>
  <si>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</si>
  <si>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</si>
  <si>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</si>
  <si>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</si>
  <si>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</si>
  <si>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</si>
  <si>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</si>
  <si>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</si>
  <si>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</si>
  <si>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</si>
  <si>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</si>
  <si>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</si>
  <si>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</si>
  <si>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</si>
  <si>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</si>
  <si>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</si>
  <si>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</si>
  <si>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</si>
  <si>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</si>
  <si>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</si>
  <si>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</si>
  <si>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</si>
  <si>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</si>
  <si>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</si>
  <si>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</si>
  <si>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</si>
  <si>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</si>
  <si>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</si>
  <si>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</si>
  <si>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</si>
  <si>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</si>
  <si>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</si>
  <si>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</si>
  <si>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</si>
  <si>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</si>
  <si>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</si>
  <si>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</si>
  <si>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</si>
  <si>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</si>
  <si>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</si>
  <si>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</si>
  <si>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</si>
  <si>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</si>
  <si>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</si>
  <si>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</si>
  <si>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</si>
  <si>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</si>
  <si>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</si>
  <si>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</si>
  <si>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</si>
  <si>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</si>
  <si>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</si>
  <si>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</si>
  <si>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</si>
  <si>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</si>
  <si>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</si>
  <si>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</si>
  <si>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</si>
  <si>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</si>
  <si>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</si>
  <si>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</si>
  <si>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</si>
  <si>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</si>
  <si>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</si>
  <si>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</si>
  <si>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</si>
  <si>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</si>
  <si>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</si>
  <si>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</si>
  <si>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</si>
  <si>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</si>
  <si>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</si>
  <si>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</si>
  <si>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</si>
  <si>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</si>
  <si>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</si>
  <si>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</si>
  <si>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</si>
  <si>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</si>
  <si>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</si>
  <si>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</si>
  <si>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</si>
  <si>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</si>
  <si>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</si>
  <si>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</si>
  <si>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</si>
  <si>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</si>
  <si>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</si>
  <si>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</si>
  <si>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</si>
  <si>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</si>
  <si>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</si>
  <si>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</si>
  <si>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</si>
  <si>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</si>
  <si>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</si>
  <si>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</si>
  <si>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</si>
  <si>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</si>
  <si>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</si>
  <si>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</si>
  <si>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</si>
  <si>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</si>
  <si>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</si>
  <si>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</si>
  <si>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</si>
  <si>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</si>
  <si>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</si>
  <si>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</si>
  <si>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</si>
  <si>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</si>
  <si>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</si>
  <si>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</si>
  <si>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</si>
  <si>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</si>
  <si>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</si>
  <si>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</si>
  <si>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</si>
  <si>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</si>
  <si>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</si>
  <si>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</si>
  <si>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</si>
  <si>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</si>
  <si>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</si>
  <si>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</si>
  <si>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</si>
  <si>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</si>
  <si>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</si>
  <si>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</si>
  <si>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</si>
  <si>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</si>
  <si>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</si>
  <si>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</si>
  <si>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</si>
  <si>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</si>
  <si>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</si>
  <si>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</si>
  <si>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</si>
  <si>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</si>
  <si>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</si>
  <si>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</si>
  <si>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</si>
  <si>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</si>
  <si>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</si>
  <si>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</si>
  <si>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</si>
  <si>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</si>
  <si>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</si>
  <si>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</si>
  <si>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</si>
  <si>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</si>
  <si>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</si>
  <si>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</si>
  <si>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</si>
  <si>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</si>
  <si>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</si>
  <si>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</si>
  <si>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</si>
  <si>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</si>
  <si>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</si>
  <si>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</si>
  <si>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</si>
  <si>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</si>
  <si>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</si>
  <si>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</si>
  <si>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</si>
  <si>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</si>
  <si>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</si>
  <si>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</si>
  <si>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</si>
  <si>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</si>
  <si>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</si>
  <si>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</si>
  <si>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</si>
  <si>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</si>
  <si>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</si>
  <si>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</si>
  <si>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</si>
  <si>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</si>
  <si>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</si>
  <si>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</si>
  <si>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</si>
  <si>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</si>
  <si>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</si>
  <si>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</si>
  <si>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</si>
  <si>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</si>
  <si>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</si>
  <si>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</si>
  <si>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</si>
  <si>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</si>
  <si>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</si>
  <si>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</si>
  <si>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</si>
  <si>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</si>
  <si>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</si>
  <si>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</si>
  <si>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</si>
  <si>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</si>
  <si>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</si>
  <si>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</si>
  <si>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</si>
  <si>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</si>
  <si>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</si>
  <si>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</si>
  <si>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</si>
  <si>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</si>
  <si>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</si>
  <si>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</si>
  <si>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</si>
  <si>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</si>
  <si>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</si>
  <si>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</si>
  <si>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</si>
  <si>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</si>
  <si>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</si>
  <si>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</si>
  <si>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</si>
  <si>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</si>
  <si>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</si>
  <si>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</si>
  <si>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</si>
  <si>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</si>
  <si>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</si>
  <si>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</si>
  <si>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</si>
  <si>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</si>
  <si>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</si>
  <si>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</si>
  <si>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</si>
  <si>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</si>
  <si>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</si>
  <si>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</si>
  <si>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</si>
  <si>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</si>
  <si>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</si>
  <si>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</si>
  <si>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</si>
  <si>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</si>
  <si>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</si>
  <si>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</si>
  <si>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</si>
  <si>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</si>
  <si>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</si>
  <si>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</si>
  <si>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</si>
  <si>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</si>
  <si>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</si>
  <si>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</si>
  <si>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</si>
  <si>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</si>
  <si>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</si>
  <si>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</si>
  <si>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</si>
  <si>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</si>
  <si>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</si>
  <si>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</si>
  <si>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</si>
  <si>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</si>
  <si>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</si>
  <si>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</si>
  <si>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</si>
  <si>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</si>
  <si>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</si>
  <si>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</si>
  <si>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</si>
  <si>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</si>
  <si>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</si>
  <si>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</si>
  <si>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</si>
  <si>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</si>
  <si>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</si>
  <si>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</si>
  <si>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</si>
  <si>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</si>
  <si>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</si>
  <si>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</si>
  <si>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</si>
  <si>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</si>
  <si>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</si>
  <si>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</si>
  <si>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</si>
  <si>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</si>
  <si>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</si>
  <si>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</si>
  <si>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</si>
  <si>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</si>
  <si>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</si>
  <si>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</si>
  <si>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</si>
  <si>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</si>
  <si>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</si>
  <si>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</si>
  <si>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</si>
  <si>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</si>
  <si>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</si>
  <si>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</si>
  <si>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</si>
  <si>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</si>
  <si>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</si>
  <si>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</si>
  <si>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</si>
  <si>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</si>
  <si>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</si>
  <si>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</si>
  <si>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</si>
  <si>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</si>
  <si>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</si>
  <si>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</si>
  <si>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</si>
  <si>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</si>
  <si>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</si>
  <si>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</si>
  <si>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</si>
  <si>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</si>
  <si>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</si>
  <si>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</si>
  <si>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</si>
  <si>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</si>
  <si>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</si>
  <si>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</si>
  <si>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</si>
  <si>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</si>
  <si>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</si>
  <si>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</si>
  <si>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</si>
  <si>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</si>
  <si>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</si>
  <si>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</si>
  <si>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</si>
  <si>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</si>
  <si>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</si>
  <si>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</si>
  <si>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</si>
  <si>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</si>
  <si>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</si>
  <si>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</si>
  <si>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</si>
  <si>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</si>
  <si>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</si>
  <si>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</si>
  <si>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</si>
  <si>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</si>
  <si>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</si>
  <si>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</si>
  <si>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</si>
  <si>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</si>
  <si>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</si>
  <si>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</si>
  <si>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</si>
  <si>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</si>
  <si>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</si>
  <si>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</si>
  <si>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</si>
  <si>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</si>
  <si>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</si>
  <si>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</si>
  <si>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</si>
  <si>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</si>
  <si>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</si>
  <si>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</si>
  <si>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</si>
  <si>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</si>
  <si>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</si>
  <si>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</si>
  <si>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</si>
  <si>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</si>
  <si>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</si>
  <si>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</si>
  <si>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</si>
  <si>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</si>
  <si>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</si>
  <si>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</si>
  <si>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</si>
  <si>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</si>
  <si>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</si>
  <si>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</si>
  <si>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</si>
  <si>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</si>
  <si>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</si>
  <si>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</si>
  <si>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</si>
  <si>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</si>
  <si>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</si>
  <si>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</si>
  <si>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</si>
  <si>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</si>
  <si>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</si>
  <si>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</si>
  <si>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</si>
  <si>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</si>
  <si>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</si>
  <si>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</si>
  <si>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</si>
  <si>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</si>
  <si>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</si>
  <si>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</si>
  <si>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</si>
  <si>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</si>
  <si>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</si>
  <si>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</si>
  <si>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</si>
  <si>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</si>
  <si>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</si>
  <si>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</si>
  <si>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</si>
  <si>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</si>
  <si>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</si>
  <si>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</si>
  <si>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</si>
  <si>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</si>
  <si>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</si>
  <si>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</si>
  <si>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</si>
  <si>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</si>
  <si>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</si>
  <si>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</si>
  <si>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</si>
  <si>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</si>
  <si>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</si>
  <si>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</si>
  <si>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</si>
  <si>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</si>
  <si>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</si>
  <si>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</si>
  <si>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</si>
  <si>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</si>
  <si>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</si>
  <si>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</si>
  <si>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</si>
  <si>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</si>
  <si>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</si>
  <si>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</si>
  <si>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</si>
  <si>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</si>
  <si>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</si>
  <si>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</si>
  <si>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</si>
  <si>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</si>
  <si>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</si>
  <si>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</si>
  <si>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</si>
  <si>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</si>
  <si>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</si>
  <si>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</si>
  <si>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</si>
  <si>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</si>
  <si>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</si>
  <si>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</si>
  <si>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</si>
  <si>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</si>
  <si>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</si>
  <si>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</si>
  <si>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</si>
  <si>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</si>
  <si>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</si>
  <si>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</si>
  <si>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</si>
  <si>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</si>
  <si>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</si>
  <si>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</si>
  <si>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</si>
  <si>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</si>
  <si>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</si>
  <si>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</si>
  <si>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</si>
  <si>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</si>
  <si>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</si>
  <si>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</si>
  <si>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</si>
  <si>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</si>
  <si>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</si>
  <si>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</si>
  <si>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</si>
  <si>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</si>
  <si>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</si>
  <si>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</si>
  <si>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</si>
  <si>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</si>
  <si>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</si>
  <si>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</si>
  <si>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</si>
  <si>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</si>
  <si>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</si>
  <si>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</si>
  <si>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</si>
  <si>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</si>
  <si>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</si>
  <si>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</si>
  <si>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</si>
  <si>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</si>
  <si>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</si>
  <si>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</si>
  <si>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</si>
  <si>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</si>
  <si>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</si>
  <si>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</si>
  <si>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</si>
  <si>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</si>
  <si>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</si>
  <si>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</si>
  <si>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</si>
  <si>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</si>
  <si>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</si>
  <si>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</si>
  <si>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</si>
  <si>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</si>
  <si>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</si>
  <si>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</si>
  <si>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</si>
  <si>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</si>
  <si>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</si>
  <si>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</si>
  <si>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</si>
  <si>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</si>
  <si>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</si>
  <si>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</si>
  <si>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</si>
  <si>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</si>
  <si>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</si>
  <si>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</si>
  <si>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</si>
  <si>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</si>
  <si>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</si>
  <si>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</si>
  <si>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</si>
  <si>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</si>
  <si>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</si>
  <si>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</si>
  <si>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</si>
  <si>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</si>
  <si>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</si>
  <si>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</si>
  <si>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</si>
  <si>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</si>
  <si>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</si>
  <si>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</si>
  <si>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</si>
  <si>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</si>
  <si>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</si>
  <si>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</si>
  <si>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</si>
  <si>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</si>
  <si>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</si>
  <si>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</si>
  <si>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</si>
  <si>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</si>
  <si>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</si>
  <si>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</si>
  <si>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</si>
  <si>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</si>
  <si>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</si>
  <si>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</si>
  <si>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</si>
  <si>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</si>
  <si>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</si>
  <si>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</si>
  <si>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</si>
  <si>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</si>
  <si>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</si>
  <si>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</si>
  <si>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</si>
  <si>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</si>
  <si>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</si>
  <si>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</si>
  <si>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</si>
  <si>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</si>
  <si>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</si>
  <si>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</si>
  <si>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</si>
  <si>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</si>
  <si>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</si>
  <si>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</si>
  <si>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</si>
  <si>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</si>
  <si>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</si>
  <si>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</si>
  <si>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</si>
  <si>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</si>
  <si>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</si>
  <si>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</si>
  <si>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</si>
  <si>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</si>
  <si>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</si>
  <si>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</si>
  <si>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</si>
  <si>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</si>
  <si>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</si>
  <si>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</si>
  <si>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</si>
  <si>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</si>
  <si>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</si>
  <si>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</si>
  <si>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</si>
  <si>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</si>
  <si>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</si>
  <si>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</si>
  <si>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</si>
  <si>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</si>
  <si>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</si>
  <si>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</si>
  <si>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</si>
  <si>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</si>
  <si>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</si>
  <si>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</si>
  <si>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</si>
  <si>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</si>
  <si>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</si>
  <si>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</si>
  <si>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</si>
  <si>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</si>
  <si>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</si>
  <si>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</si>
  <si>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</si>
  <si>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</si>
  <si>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</si>
  <si>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</si>
  <si>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</si>
  <si>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</si>
  <si>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</si>
  <si>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</si>
  <si>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</si>
  <si>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</si>
  <si>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</si>
  <si>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</si>
  <si>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</si>
  <si>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</si>
  <si>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</si>
  <si>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</si>
  <si>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</si>
  <si>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</si>
  <si>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</si>
  <si>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</si>
  <si>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</si>
  <si>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</si>
  <si>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</si>
  <si>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</si>
  <si>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</si>
  <si>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</si>
  <si>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</si>
  <si>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</si>
  <si>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</si>
  <si>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</si>
  <si>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</si>
  <si>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</si>
  <si>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</si>
  <si>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</si>
  <si>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</si>
  <si>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</si>
  <si>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</si>
  <si>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</si>
  <si>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</si>
  <si>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</si>
  <si>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</si>
  <si>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</si>
  <si>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</si>
  <si>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</si>
  <si>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</si>
  <si>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</si>
  <si>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</si>
  <si>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</si>
  <si>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</si>
  <si>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</si>
  <si>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</si>
  <si>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</si>
  <si>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</si>
  <si>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</si>
  <si>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</si>
  <si>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</si>
  <si>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</si>
  <si>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</si>
  <si>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</si>
  <si>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</si>
  <si>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</si>
  <si>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</si>
  <si>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</si>
  <si>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</si>
  <si>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</si>
  <si>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</si>
  <si>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</si>
  <si>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</si>
  <si>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</si>
  <si>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</si>
  <si>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</si>
  <si>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</si>
  <si>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</si>
  <si>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</si>
  <si>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</si>
  <si>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</si>
  <si>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</si>
  <si>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7/1/08</t>
  </si>
  <si>
    <t>8/15/2013</t>
  </si>
  <si>
    <t>JACKSON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</si>
</sst>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1A1F7-0F2D-4283-8ED9-68A1CD7E16D2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0" activePane="bottomRight" state="frozen"/>
      <selection pane="topRight" activeCell="F1" sqref="F1"/>
      <selection pane="bottomLeft" activeCell="A4" sqref="A4"/>
      <selection pane="bottomRight" activeCell="I655" sqref="I655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271</v>
      </c>
      <c r="C2" s="21">
        <v>271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f>178360.11+150</f>
        <v>178510.11</v>
      </c>
      <c r="G9" s="18"/>
      <c r="H9" s="18"/>
      <c r="I9" s="18">
        <v>24057.77</v>
      </c>
      <c r="J9" s="67">
        <f>SUM(I431)</f>
        <v>248406.72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649.94000000000005</v>
      </c>
      <c r="G12" s="18"/>
      <c r="H12" s="18">
        <v>221.05</v>
      </c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360.75</v>
      </c>
      <c r="G13" s="18">
        <v>649.94000000000005</v>
      </c>
      <c r="H13" s="18">
        <v>1599.74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179520.8</v>
      </c>
      <c r="G19" s="41">
        <f>SUM(G9:G18)</f>
        <v>649.94000000000005</v>
      </c>
      <c r="H19" s="41">
        <f>SUM(H9:H18)</f>
        <v>1820.79</v>
      </c>
      <c r="I19" s="41">
        <f>SUM(I9:I18)</f>
        <v>24057.77</v>
      </c>
      <c r="J19" s="41">
        <f>SUM(J9:J18)</f>
        <v>248406.72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221.05</v>
      </c>
      <c r="G23" s="18">
        <v>649.94000000000005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99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2393.38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22677.09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25390.52</v>
      </c>
      <c r="G33" s="41">
        <f>SUM(G23:G32)</f>
        <v>649.94000000000005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0</v>
      </c>
      <c r="H41" s="18">
        <v>1820.79</v>
      </c>
      <c r="I41" s="18">
        <v>24057.77</v>
      </c>
      <c r="J41" s="13">
        <f>SUM(I449)</f>
        <v>248406.72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154130.28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154130.28</v>
      </c>
      <c r="G43" s="41">
        <f>SUM(G35:G42)</f>
        <v>0</v>
      </c>
      <c r="H43" s="41">
        <f>SUM(H35:H42)</f>
        <v>1820.79</v>
      </c>
      <c r="I43" s="41">
        <f>SUM(I35:I42)</f>
        <v>24057.77</v>
      </c>
      <c r="J43" s="41">
        <f>SUM(J35:J42)</f>
        <v>248406.72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179520.8</v>
      </c>
      <c r="G44" s="41">
        <f>G43+G33</f>
        <v>649.94000000000005</v>
      </c>
      <c r="H44" s="41">
        <f>H43+H33</f>
        <v>1820.79</v>
      </c>
      <c r="I44" s="41">
        <f>I43+I33</f>
        <v>24057.77</v>
      </c>
      <c r="J44" s="41">
        <f>J43+J33</f>
        <v>248406.72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1043399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1043399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18047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>
        <v>4100</v>
      </c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22147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>
        <v>2520</v>
      </c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2520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1087.58</v>
      </c>
      <c r="G88" s="18"/>
      <c r="H88" s="18"/>
      <c r="I88" s="18">
        <v>44.5</v>
      </c>
      <c r="J88" s="18">
        <v>320.83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9796.6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905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20244.13</v>
      </c>
      <c r="G102" s="18"/>
      <c r="H102" s="18">
        <v>2482.6799999999998</v>
      </c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22236.71</v>
      </c>
      <c r="G103" s="41">
        <f>SUM(G88:G102)</f>
        <v>9796.6</v>
      </c>
      <c r="H103" s="41">
        <f>SUM(H88:H102)</f>
        <v>2482.6799999999998</v>
      </c>
      <c r="I103" s="41">
        <f>SUM(I88:I102)</f>
        <v>44.5</v>
      </c>
      <c r="J103" s="41">
        <f>SUM(J88:J102)</f>
        <v>320.83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1090302.71</v>
      </c>
      <c r="G104" s="41">
        <f>G52+G103</f>
        <v>9796.6</v>
      </c>
      <c r="H104" s="41">
        <f>H52+H71+H86+H103</f>
        <v>2482.6799999999998</v>
      </c>
      <c r="I104" s="41">
        <f>I52+I103</f>
        <v>44.5</v>
      </c>
      <c r="J104" s="41">
        <f>J52+J103</f>
        <v>320.83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75392.53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829504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2734.47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907631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55766.18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18071.099999999999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170.07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73837.279999999999</v>
      </c>
      <c r="G128" s="41">
        <f>SUM(G115:G127)</f>
        <v>170.07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981468.28</v>
      </c>
      <c r="G132" s="41">
        <f>G113+SUM(G128:G129)</f>
        <v>170.07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15495.57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2706.62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7731.99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/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0</v>
      </c>
      <c r="G154" s="41">
        <f>SUM(G142:G153)</f>
        <v>2706.62</v>
      </c>
      <c r="H154" s="41">
        <f>SUM(H142:H153)</f>
        <v>23227.559999999998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21987.77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21987.77</v>
      </c>
      <c r="G161" s="41">
        <f>G139+G154+SUM(G155:G160)</f>
        <v>2706.62</v>
      </c>
      <c r="H161" s="41">
        <f>H139+H154+SUM(H155:H160)</f>
        <v>23227.559999999998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6063.02</v>
      </c>
      <c r="H171" s="18"/>
      <c r="I171" s="18"/>
      <c r="J171" s="18">
        <v>95000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6063.02</v>
      </c>
      <c r="H175" s="41">
        <f>SUM(H171:H174)</f>
        <v>0</v>
      </c>
      <c r="I175" s="41">
        <f>SUM(I171:I174)</f>
        <v>0</v>
      </c>
      <c r="J175" s="41">
        <f>SUM(J171:J174)</f>
        <v>95000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>
        <v>42860</v>
      </c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42860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42860</v>
      </c>
      <c r="G184" s="41">
        <f>G175+SUM(G180:G183)</f>
        <v>6063.02</v>
      </c>
      <c r="H184" s="41">
        <f>+H175+SUM(H180:H183)</f>
        <v>0</v>
      </c>
      <c r="I184" s="41">
        <f>I169+I175+SUM(I180:I183)</f>
        <v>0</v>
      </c>
      <c r="J184" s="41">
        <f>J175</f>
        <v>95000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2136618.7599999998</v>
      </c>
      <c r="G185" s="47">
        <f>G104+G132+G161+G184</f>
        <v>18736.310000000001</v>
      </c>
      <c r="H185" s="47">
        <f>H104+H132+H161+H184</f>
        <v>25710.239999999998</v>
      </c>
      <c r="I185" s="47">
        <f>I104+I132+I161+I184</f>
        <v>44.5</v>
      </c>
      <c r="J185" s="47">
        <f>J104+J132+J184</f>
        <v>95320.83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277017.39</v>
      </c>
      <c r="G189" s="18">
        <v>125137.67</v>
      </c>
      <c r="H189" s="18">
        <v>8402.4500000000007</v>
      </c>
      <c r="I189" s="18">
        <v>11785.38</v>
      </c>
      <c r="J189" s="18">
        <v>8480.36</v>
      </c>
      <c r="K189" s="18"/>
      <c r="L189" s="19">
        <f>SUM(F189:K189)</f>
        <v>430823.25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59366.54</v>
      </c>
      <c r="G190" s="18">
        <v>35484.080000000002</v>
      </c>
      <c r="H190" s="18">
        <v>8491</v>
      </c>
      <c r="I190" s="18">
        <v>118.4</v>
      </c>
      <c r="J190" s="18"/>
      <c r="K190" s="18"/>
      <c r="L190" s="19">
        <f>SUM(F190:K190)</f>
        <v>103460.01999999999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6013.5</v>
      </c>
      <c r="G192" s="18">
        <v>535.66999999999996</v>
      </c>
      <c r="H192" s="18">
        <v>2850</v>
      </c>
      <c r="I192" s="18">
        <v>100</v>
      </c>
      <c r="J192" s="18"/>
      <c r="K192" s="18"/>
      <c r="L192" s="19">
        <f>SUM(F192:K192)</f>
        <v>9499.17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14751.46</v>
      </c>
      <c r="G194" s="18">
        <v>6030.76</v>
      </c>
      <c r="H194" s="18">
        <v>25773.38</v>
      </c>
      <c r="I194" s="18">
        <v>296.35000000000002</v>
      </c>
      <c r="J194" s="18"/>
      <c r="K194" s="18"/>
      <c r="L194" s="19">
        <f t="shared" ref="L194:L200" si="0">SUM(F194:K194)</f>
        <v>46851.950000000004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21765.54</v>
      </c>
      <c r="G195" s="18">
        <v>10614.5</v>
      </c>
      <c r="H195" s="18">
        <v>11609.66</v>
      </c>
      <c r="I195" s="18">
        <v>413.92</v>
      </c>
      <c r="J195" s="18"/>
      <c r="K195" s="18"/>
      <c r="L195" s="19">
        <f t="shared" si="0"/>
        <v>44403.619999999995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7723.8</v>
      </c>
      <c r="G196" s="18">
        <v>566.41</v>
      </c>
      <c r="H196" s="18">
        <v>57372.76</v>
      </c>
      <c r="I196" s="18"/>
      <c r="J196" s="18"/>
      <c r="K196" s="18">
        <v>1257.32</v>
      </c>
      <c r="L196" s="19">
        <f t="shared" si="0"/>
        <v>66920.290000000008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80847.710000000006</v>
      </c>
      <c r="G197" s="18">
        <v>38640.79</v>
      </c>
      <c r="H197" s="18">
        <v>2012.94</v>
      </c>
      <c r="I197" s="18">
        <v>3526.9</v>
      </c>
      <c r="J197" s="18">
        <v>299</v>
      </c>
      <c r="K197" s="18">
        <v>554</v>
      </c>
      <c r="L197" s="19">
        <f t="shared" si="0"/>
        <v>125881.34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56413.63</v>
      </c>
      <c r="G199" s="18">
        <v>35990.94</v>
      </c>
      <c r="H199" s="18">
        <v>80924.98</v>
      </c>
      <c r="I199" s="18">
        <v>33978.129999999997</v>
      </c>
      <c r="J199" s="18">
        <v>944.99</v>
      </c>
      <c r="K199" s="18"/>
      <c r="L199" s="19">
        <f t="shared" si="0"/>
        <v>208252.66999999998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24729.24</v>
      </c>
      <c r="G200" s="18">
        <v>20099.16</v>
      </c>
      <c r="H200" s="18">
        <v>6646.97</v>
      </c>
      <c r="I200" s="18">
        <v>9490.49</v>
      </c>
      <c r="J200" s="18"/>
      <c r="K200" s="18"/>
      <c r="L200" s="19">
        <f t="shared" si="0"/>
        <v>60965.86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>
        <v>171</v>
      </c>
      <c r="I201" s="18"/>
      <c r="J201" s="18"/>
      <c r="K201" s="18"/>
      <c r="L201" s="19">
        <f>SUM(F201:K201)</f>
        <v>171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548628.81000000006</v>
      </c>
      <c r="G203" s="41">
        <f t="shared" si="1"/>
        <v>273099.98000000004</v>
      </c>
      <c r="H203" s="41">
        <f t="shared" si="1"/>
        <v>204255.13999999998</v>
      </c>
      <c r="I203" s="41">
        <f t="shared" si="1"/>
        <v>59709.569999999992</v>
      </c>
      <c r="J203" s="41">
        <f t="shared" si="1"/>
        <v>9724.35</v>
      </c>
      <c r="K203" s="41">
        <f t="shared" si="1"/>
        <v>1811.32</v>
      </c>
      <c r="L203" s="41">
        <f t="shared" si="1"/>
        <v>1097229.1700000002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>
        <v>196875.03</v>
      </c>
      <c r="I207" s="18"/>
      <c r="J207" s="18"/>
      <c r="K207" s="18"/>
      <c r="L207" s="19">
        <f>SUM(F207:K207)</f>
        <v>196875.03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>
        <v>27825.279999999999</v>
      </c>
      <c r="I208" s="18"/>
      <c r="J208" s="18"/>
      <c r="K208" s="18"/>
      <c r="L208" s="19">
        <f>SUM(F208:K208)</f>
        <v>27825.279999999999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1978.2</v>
      </c>
      <c r="G214" s="18">
        <v>140.44999999999999</v>
      </c>
      <c r="H214" s="18">
        <v>14694.16</v>
      </c>
      <c r="I214" s="18"/>
      <c r="J214" s="18"/>
      <c r="K214" s="18">
        <v>322.02</v>
      </c>
      <c r="L214" s="19">
        <f t="shared" si="2"/>
        <v>17134.830000000002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9891.7000000000007</v>
      </c>
      <c r="G218" s="18">
        <v>8039.67</v>
      </c>
      <c r="H218" s="18">
        <v>1417.21</v>
      </c>
      <c r="I218" s="18">
        <v>3796.19</v>
      </c>
      <c r="J218" s="18"/>
      <c r="K218" s="18"/>
      <c r="L218" s="19">
        <f t="shared" si="2"/>
        <v>23144.77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>
        <v>68.400000000000006</v>
      </c>
      <c r="I219" s="18"/>
      <c r="J219" s="18"/>
      <c r="K219" s="18"/>
      <c r="L219" s="19">
        <f>SUM(F219:K219)</f>
        <v>68.400000000000006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11869.900000000001</v>
      </c>
      <c r="G221" s="41">
        <f>SUM(G207:G220)</f>
        <v>8180.12</v>
      </c>
      <c r="H221" s="41">
        <f>SUM(H207:H220)</f>
        <v>240880.08</v>
      </c>
      <c r="I221" s="41">
        <f>SUM(I207:I220)</f>
        <v>3796.19</v>
      </c>
      <c r="J221" s="41">
        <f>SUM(J207:J220)</f>
        <v>0</v>
      </c>
      <c r="K221" s="41">
        <f t="shared" si="3"/>
        <v>322.02</v>
      </c>
      <c r="L221" s="41">
        <f t="shared" si="3"/>
        <v>265048.31000000006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483225</v>
      </c>
      <c r="I225" s="18"/>
      <c r="J225" s="18"/>
      <c r="K225" s="18"/>
      <c r="L225" s="19">
        <f>SUM(F225:K225)</f>
        <v>483225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59855.199999999997</v>
      </c>
      <c r="I226" s="18"/>
      <c r="J226" s="18"/>
      <c r="K226" s="18"/>
      <c r="L226" s="19">
        <f>SUM(F226:K226)</f>
        <v>59855.199999999997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2898</v>
      </c>
      <c r="G232" s="18">
        <v>211.14</v>
      </c>
      <c r="H232" s="18">
        <v>21526.48</v>
      </c>
      <c r="I232" s="18"/>
      <c r="J232" s="18"/>
      <c r="K232" s="18">
        <v>471.75</v>
      </c>
      <c r="L232" s="19">
        <f t="shared" si="4"/>
        <v>25107.37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14837.55</v>
      </c>
      <c r="G236" s="18">
        <v>12059.5</v>
      </c>
      <c r="H236" s="18">
        <v>2125.81</v>
      </c>
      <c r="I236" s="18">
        <v>5694.28</v>
      </c>
      <c r="J236" s="18"/>
      <c r="K236" s="18"/>
      <c r="L236" s="19">
        <f t="shared" si="4"/>
        <v>34717.14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>
        <v>102.6</v>
      </c>
      <c r="I237" s="18"/>
      <c r="J237" s="18"/>
      <c r="K237" s="18"/>
      <c r="L237" s="19">
        <f>SUM(F237:K237)</f>
        <v>102.6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17735.55</v>
      </c>
      <c r="G239" s="41">
        <f t="shared" si="5"/>
        <v>12270.64</v>
      </c>
      <c r="H239" s="41">
        <f t="shared" si="5"/>
        <v>566835.09</v>
      </c>
      <c r="I239" s="41">
        <f t="shared" si="5"/>
        <v>5694.28</v>
      </c>
      <c r="J239" s="41">
        <f t="shared" si="5"/>
        <v>0</v>
      </c>
      <c r="K239" s="41">
        <f t="shared" si="5"/>
        <v>471.75</v>
      </c>
      <c r="L239" s="41">
        <f t="shared" si="5"/>
        <v>603007.30999999994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578234.26000000013</v>
      </c>
      <c r="G249" s="41">
        <f t="shared" si="8"/>
        <v>293550.74000000005</v>
      </c>
      <c r="H249" s="41">
        <f t="shared" si="8"/>
        <v>1011970.3099999999</v>
      </c>
      <c r="I249" s="41">
        <f t="shared" si="8"/>
        <v>69200.039999999994</v>
      </c>
      <c r="J249" s="41">
        <f t="shared" si="8"/>
        <v>9724.35</v>
      </c>
      <c r="K249" s="41">
        <f t="shared" si="8"/>
        <v>2605.09</v>
      </c>
      <c r="L249" s="41">
        <f t="shared" si="8"/>
        <v>1965284.79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125000</v>
      </c>
      <c r="L252" s="19">
        <f>SUM(F252:K252)</f>
        <v>125000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21562.5</v>
      </c>
      <c r="L253" s="19">
        <f>SUM(F253:K253)</f>
        <v>21562.5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6063.02</v>
      </c>
      <c r="L255" s="19">
        <f>SUM(F255:K255)</f>
        <v>6063.02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95000</v>
      </c>
      <c r="L258" s="19">
        <f t="shared" si="9"/>
        <v>95000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247625.52</v>
      </c>
      <c r="L262" s="41">
        <f t="shared" si="9"/>
        <v>247625.52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578234.26000000013</v>
      </c>
      <c r="G263" s="42">
        <f t="shared" si="11"/>
        <v>293550.74000000005</v>
      </c>
      <c r="H263" s="42">
        <f t="shared" si="11"/>
        <v>1011970.3099999999</v>
      </c>
      <c r="I263" s="42">
        <f t="shared" si="11"/>
        <v>69200.039999999994</v>
      </c>
      <c r="J263" s="42">
        <f t="shared" si="11"/>
        <v>9724.35</v>
      </c>
      <c r="K263" s="42">
        <f t="shared" si="11"/>
        <v>250230.61</v>
      </c>
      <c r="L263" s="42">
        <f t="shared" si="11"/>
        <v>2212910.31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1174.5999999999999</v>
      </c>
      <c r="G268" s="18">
        <v>187.87</v>
      </c>
      <c r="H268" s="18">
        <v>600</v>
      </c>
      <c r="I268" s="18">
        <v>245.84</v>
      </c>
      <c r="J268" s="18">
        <v>8413.41</v>
      </c>
      <c r="K268" s="18"/>
      <c r="L268" s="19">
        <f>SUM(F268:K268)</f>
        <v>10621.72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v>449.86</v>
      </c>
      <c r="G269" s="18">
        <v>34.43</v>
      </c>
      <c r="H269" s="18"/>
      <c r="I269" s="18">
        <v>329</v>
      </c>
      <c r="J269" s="18">
        <v>4376.2</v>
      </c>
      <c r="K269" s="18"/>
      <c r="L269" s="19">
        <f>SUM(F269:K269)</f>
        <v>5189.49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v>2542.5</v>
      </c>
      <c r="I273" s="18"/>
      <c r="J273" s="18"/>
      <c r="K273" s="18"/>
      <c r="L273" s="19">
        <f t="shared" ref="L273:L279" si="12">SUM(F273:K273)</f>
        <v>2542.5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1776</v>
      </c>
      <c r="G274" s="18">
        <v>118.23</v>
      </c>
      <c r="H274" s="18">
        <v>2009.2</v>
      </c>
      <c r="I274" s="18">
        <v>2784.47</v>
      </c>
      <c r="J274" s="18">
        <v>570</v>
      </c>
      <c r="K274" s="18"/>
      <c r="L274" s="19">
        <f t="shared" si="12"/>
        <v>7257.9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3400.46</v>
      </c>
      <c r="G282" s="42">
        <f t="shared" si="13"/>
        <v>340.53000000000003</v>
      </c>
      <c r="H282" s="42">
        <f t="shared" si="13"/>
        <v>5151.7</v>
      </c>
      <c r="I282" s="42">
        <f t="shared" si="13"/>
        <v>3359.31</v>
      </c>
      <c r="J282" s="42">
        <f t="shared" si="13"/>
        <v>13359.61</v>
      </c>
      <c r="K282" s="42">
        <f t="shared" si="13"/>
        <v>0</v>
      </c>
      <c r="L282" s="41">
        <f t="shared" si="13"/>
        <v>25611.61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3400.46</v>
      </c>
      <c r="G330" s="41">
        <f t="shared" si="20"/>
        <v>340.53000000000003</v>
      </c>
      <c r="H330" s="41">
        <f t="shared" si="20"/>
        <v>5151.7</v>
      </c>
      <c r="I330" s="41">
        <f t="shared" si="20"/>
        <v>3359.31</v>
      </c>
      <c r="J330" s="41">
        <f t="shared" si="20"/>
        <v>13359.61</v>
      </c>
      <c r="K330" s="41">
        <f t="shared" si="20"/>
        <v>0</v>
      </c>
      <c r="L330" s="41">
        <f t="shared" si="20"/>
        <v>25611.61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3400.46</v>
      </c>
      <c r="G344" s="41">
        <f>G330</f>
        <v>340.53000000000003</v>
      </c>
      <c r="H344" s="41">
        <f>H330</f>
        <v>5151.7</v>
      </c>
      <c r="I344" s="41">
        <f>I330</f>
        <v>3359.31</v>
      </c>
      <c r="J344" s="41">
        <f>J330</f>
        <v>13359.61</v>
      </c>
      <c r="K344" s="47">
        <f>K330+K343</f>
        <v>0</v>
      </c>
      <c r="L344" s="41">
        <f>L330+L343</f>
        <v>25611.61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5711.22</v>
      </c>
      <c r="G350" s="18">
        <v>727.82</v>
      </c>
      <c r="H350" s="18">
        <v>1592.61</v>
      </c>
      <c r="I350" s="18">
        <v>10704.66</v>
      </c>
      <c r="J350" s="18"/>
      <c r="K350" s="18"/>
      <c r="L350" s="13">
        <f>SUM(F350:K350)</f>
        <v>18736.309999999998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5711.22</v>
      </c>
      <c r="G354" s="47">
        <f t="shared" si="22"/>
        <v>727.82</v>
      </c>
      <c r="H354" s="47">
        <f t="shared" si="22"/>
        <v>1592.61</v>
      </c>
      <c r="I354" s="47">
        <f t="shared" si="22"/>
        <v>10704.66</v>
      </c>
      <c r="J354" s="47">
        <f t="shared" si="22"/>
        <v>0</v>
      </c>
      <c r="K354" s="47">
        <f t="shared" si="22"/>
        <v>0</v>
      </c>
      <c r="L354" s="47">
        <f t="shared" si="22"/>
        <v>18736.309999999998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10411.35</v>
      </c>
      <c r="G359" s="18"/>
      <c r="H359" s="18"/>
      <c r="I359" s="56">
        <f>SUM(F359:H359)</f>
        <v>10411.35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293.31</v>
      </c>
      <c r="G360" s="63"/>
      <c r="H360" s="63"/>
      <c r="I360" s="56">
        <f>SUM(F360:H360)</f>
        <v>293.31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10704.66</v>
      </c>
      <c r="G361" s="47">
        <f>SUM(G359:G360)</f>
        <v>0</v>
      </c>
      <c r="H361" s="47">
        <f>SUM(H359:H360)</f>
        <v>0</v>
      </c>
      <c r="I361" s="47">
        <f>SUM(I359:I360)</f>
        <v>10704.66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>
        <v>13500</v>
      </c>
      <c r="I367" s="18"/>
      <c r="J367" s="18"/>
      <c r="K367" s="18"/>
      <c r="L367" s="13">
        <f t="shared" ref="L367:L373" si="23">SUM(F367:K367)</f>
        <v>13500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>
        <v>5501.81</v>
      </c>
      <c r="I372" s="18"/>
      <c r="J372" s="18"/>
      <c r="K372" s="18"/>
      <c r="L372" s="13">
        <f t="shared" si="23"/>
        <v>5501.81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19001.810000000001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19001.810000000001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>
        <v>15000</v>
      </c>
      <c r="H382" s="18">
        <v>100</v>
      </c>
      <c r="I382" s="18"/>
      <c r="J382" s="24" t="s">
        <v>312</v>
      </c>
      <c r="K382" s="24" t="s">
        <v>312</v>
      </c>
      <c r="L382" s="56">
        <f t="shared" si="25"/>
        <v>15100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15000</v>
      </c>
      <c r="H385" s="139">
        <f>SUM(H379:H384)</f>
        <v>100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15100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f>35000+5000</f>
        <v>40000</v>
      </c>
      <c r="H388" s="18">
        <f>60.37+1.82</f>
        <v>62.19</v>
      </c>
      <c r="I388" s="18"/>
      <c r="J388" s="24" t="s">
        <v>312</v>
      </c>
      <c r="K388" s="24" t="s">
        <v>312</v>
      </c>
      <c r="L388" s="56">
        <f t="shared" si="26"/>
        <v>40062.19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120.98</v>
      </c>
      <c r="I389" s="18"/>
      <c r="J389" s="24" t="s">
        <v>312</v>
      </c>
      <c r="K389" s="24" t="s">
        <v>312</v>
      </c>
      <c r="L389" s="56">
        <f t="shared" si="26"/>
        <v>25120.98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>
        <v>15000</v>
      </c>
      <c r="H390" s="18">
        <v>31.32</v>
      </c>
      <c r="I390" s="18"/>
      <c r="J390" s="24" t="s">
        <v>312</v>
      </c>
      <c r="K390" s="24" t="s">
        <v>312</v>
      </c>
      <c r="L390" s="56">
        <f t="shared" si="26"/>
        <v>15031.32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>
        <v>6.34</v>
      </c>
      <c r="I391" s="18"/>
      <c r="J391" s="24" t="s">
        <v>312</v>
      </c>
      <c r="K391" s="24" t="s">
        <v>312</v>
      </c>
      <c r="L391" s="56">
        <f t="shared" si="26"/>
        <v>6.34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80000</v>
      </c>
      <c r="H393" s="47">
        <f>SUM(H387:H392)</f>
        <v>220.83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80220.829999999987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95000</v>
      </c>
      <c r="H400" s="47">
        <f>H385+H393+H399</f>
        <v>320.83000000000004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95320.829999999987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>
        <v>42860</v>
      </c>
      <c r="L414" s="56">
        <f t="shared" si="29"/>
        <v>42860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42860</v>
      </c>
      <c r="L419" s="47">
        <f t="shared" si="30"/>
        <v>42860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42860</v>
      </c>
      <c r="L426" s="47">
        <f t="shared" si="32"/>
        <v>42860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>
        <v>78457.13</v>
      </c>
      <c r="G431" s="18">
        <v>169949.59</v>
      </c>
      <c r="H431" s="18"/>
      <c r="I431" s="56">
        <f t="shared" ref="I431:I437" si="33">SUM(F431:H431)</f>
        <v>248406.72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78457.13</v>
      </c>
      <c r="G438" s="13">
        <f>SUM(G431:G437)</f>
        <v>169949.59</v>
      </c>
      <c r="H438" s="13">
        <f>SUM(H431:H437)</f>
        <v>0</v>
      </c>
      <c r="I438" s="13">
        <f>SUM(I431:I437)</f>
        <v>248406.72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78457.13</v>
      </c>
      <c r="G449" s="18">
        <v>169949.59</v>
      </c>
      <c r="H449" s="18"/>
      <c r="I449" s="56">
        <f>SUM(F449:H449)</f>
        <v>248406.72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78457.13</v>
      </c>
      <c r="G450" s="83">
        <f>SUM(G446:G449)</f>
        <v>169949.59</v>
      </c>
      <c r="H450" s="83">
        <f>SUM(H446:H449)</f>
        <v>0</v>
      </c>
      <c r="I450" s="83">
        <f>SUM(I446:I449)</f>
        <v>248406.72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78457.13</v>
      </c>
      <c r="G451" s="42">
        <f>G444+G450</f>
        <v>169949.59</v>
      </c>
      <c r="H451" s="42">
        <f>H444+H450</f>
        <v>0</v>
      </c>
      <c r="I451" s="42">
        <f>I444+I450</f>
        <v>248406.72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230421.83</v>
      </c>
      <c r="G455" s="18">
        <v>0</v>
      </c>
      <c r="H455" s="18">
        <v>1722.16</v>
      </c>
      <c r="I455" s="18">
        <v>43015.08</v>
      </c>
      <c r="J455" s="18">
        <v>195945.89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2136618.7599999998</v>
      </c>
      <c r="G458" s="18">
        <v>18736.310000000001</v>
      </c>
      <c r="H458" s="18">
        <v>25710.240000000002</v>
      </c>
      <c r="I458" s="18">
        <v>44.5</v>
      </c>
      <c r="J458" s="18">
        <v>95320.83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2136618.7599999998</v>
      </c>
      <c r="G460" s="53">
        <f>SUM(G458:G459)</f>
        <v>18736.310000000001</v>
      </c>
      <c r="H460" s="53">
        <f>SUM(H458:H459)</f>
        <v>25710.240000000002</v>
      </c>
      <c r="I460" s="53">
        <f>SUM(I458:I459)</f>
        <v>44.5</v>
      </c>
      <c r="J460" s="53">
        <f>SUM(J458:J459)</f>
        <v>95320.83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2212910.31</v>
      </c>
      <c r="G462" s="18">
        <v>18736.310000000001</v>
      </c>
      <c r="H462" s="18">
        <v>25611.61</v>
      </c>
      <c r="I462" s="18">
        <v>19001.810000000001</v>
      </c>
      <c r="J462" s="18">
        <v>42860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2212910.31</v>
      </c>
      <c r="G464" s="53">
        <f>SUM(G462:G463)</f>
        <v>18736.310000000001</v>
      </c>
      <c r="H464" s="53">
        <f>SUM(H462:H463)</f>
        <v>25611.61</v>
      </c>
      <c r="I464" s="53">
        <f>SUM(I462:I463)</f>
        <v>19001.810000000001</v>
      </c>
      <c r="J464" s="53">
        <f>SUM(J462:J463)</f>
        <v>42860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154130.2799999998</v>
      </c>
      <c r="G466" s="53">
        <f>(G455+G460)- G464</f>
        <v>0</v>
      </c>
      <c r="H466" s="53">
        <f>(H455+H460)- H464</f>
        <v>1820.7900000000009</v>
      </c>
      <c r="I466" s="53">
        <f>(I455+I460)- I464</f>
        <v>24057.77</v>
      </c>
      <c r="J466" s="53">
        <f>(J455+J460)- J464</f>
        <v>248406.72000000003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650000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3.34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500000</v>
      </c>
      <c r="G485" s="18"/>
      <c r="H485" s="18"/>
      <c r="I485" s="18"/>
      <c r="J485" s="18"/>
      <c r="K485" s="53">
        <f>SUM(F485:J485)</f>
        <v>500000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125000</v>
      </c>
      <c r="G487" s="18"/>
      <c r="H487" s="18"/>
      <c r="I487" s="18"/>
      <c r="J487" s="18"/>
      <c r="K487" s="53">
        <f t="shared" si="34"/>
        <v>125000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375000</v>
      </c>
      <c r="G488" s="205"/>
      <c r="H488" s="205"/>
      <c r="I488" s="205"/>
      <c r="J488" s="205"/>
      <c r="K488" s="206">
        <f t="shared" si="34"/>
        <v>375000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28906.25</v>
      </c>
      <c r="G489" s="18"/>
      <c r="H489" s="18"/>
      <c r="I489" s="18"/>
      <c r="J489" s="18"/>
      <c r="K489" s="53">
        <f t="shared" si="34"/>
        <v>28906.25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403906.25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403906.25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125000</v>
      </c>
      <c r="G491" s="205"/>
      <c r="H491" s="205"/>
      <c r="I491" s="205"/>
      <c r="J491" s="205"/>
      <c r="K491" s="206">
        <f t="shared" si="34"/>
        <v>125000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15937.5</v>
      </c>
      <c r="G492" s="18"/>
      <c r="H492" s="18"/>
      <c r="I492" s="18"/>
      <c r="J492" s="18"/>
      <c r="K492" s="53">
        <f t="shared" si="34"/>
        <v>15937.5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140937.5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140937.5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59816.4</v>
      </c>
      <c r="G511" s="18">
        <v>35518.51</v>
      </c>
      <c r="H511" s="18">
        <v>8491</v>
      </c>
      <c r="I511" s="18">
        <v>447.4</v>
      </c>
      <c r="J511" s="18">
        <v>4376.2</v>
      </c>
      <c r="K511" s="18"/>
      <c r="L511" s="88">
        <f>SUM(F511:K511)</f>
        <v>108649.51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>
        <v>27825.279999999999</v>
      </c>
      <c r="I512" s="18"/>
      <c r="J512" s="18"/>
      <c r="K512" s="18"/>
      <c r="L512" s="88">
        <f>SUM(F512:K512)</f>
        <v>27825.279999999999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59855.199999999997</v>
      </c>
      <c r="I513" s="18"/>
      <c r="J513" s="18"/>
      <c r="K513" s="18"/>
      <c r="L513" s="88">
        <f>SUM(F513:K513)</f>
        <v>59855.199999999997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59816.4</v>
      </c>
      <c r="G514" s="108">
        <f t="shared" ref="G514:L514" si="35">SUM(G511:G513)</f>
        <v>35518.51</v>
      </c>
      <c r="H514" s="108">
        <f t="shared" si="35"/>
        <v>96171.48</v>
      </c>
      <c r="I514" s="108">
        <f t="shared" si="35"/>
        <v>447.4</v>
      </c>
      <c r="J514" s="108">
        <f t="shared" si="35"/>
        <v>4376.2</v>
      </c>
      <c r="K514" s="108">
        <f t="shared" si="35"/>
        <v>0</v>
      </c>
      <c r="L514" s="89">
        <f t="shared" si="35"/>
        <v>196329.99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26815.88</v>
      </c>
      <c r="I516" s="18"/>
      <c r="J516" s="18"/>
      <c r="K516" s="18"/>
      <c r="L516" s="88">
        <f>SUM(F516:K516)</f>
        <v>26815.88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26815.88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26815.88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>
        <v>8832.24</v>
      </c>
      <c r="I521" s="18"/>
      <c r="J521" s="18"/>
      <c r="K521" s="18"/>
      <c r="L521" s="88">
        <f>SUM(F521:K521)</f>
        <v>8832.24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>
        <v>2262.09</v>
      </c>
      <c r="I522" s="18"/>
      <c r="J522" s="18"/>
      <c r="K522" s="18"/>
      <c r="L522" s="88">
        <f>SUM(F522:K522)</f>
        <v>2262.09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>
        <v>3313.9</v>
      </c>
      <c r="I523" s="18"/>
      <c r="J523" s="18"/>
      <c r="K523" s="18"/>
      <c r="L523" s="88">
        <f>SUM(F523:K523)</f>
        <v>3313.9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14408.23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14408.23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1350</v>
      </c>
      <c r="I531" s="18"/>
      <c r="J531" s="18"/>
      <c r="K531" s="18"/>
      <c r="L531" s="88">
        <f>SUM(F531:K531)</f>
        <v>1350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1350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1350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59816.4</v>
      </c>
      <c r="G535" s="89">
        <f t="shared" ref="G535:L535" si="40">G514+G519+G524+G529+G534</f>
        <v>35518.51</v>
      </c>
      <c r="H535" s="89">
        <f t="shared" si="40"/>
        <v>138745.59</v>
      </c>
      <c r="I535" s="89">
        <f t="shared" si="40"/>
        <v>447.4</v>
      </c>
      <c r="J535" s="89">
        <f t="shared" si="40"/>
        <v>4376.2</v>
      </c>
      <c r="K535" s="89">
        <f t="shared" si="40"/>
        <v>0</v>
      </c>
      <c r="L535" s="89">
        <f t="shared" si="40"/>
        <v>238904.1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108649.51</v>
      </c>
      <c r="G539" s="87">
        <f>L516</f>
        <v>26815.88</v>
      </c>
      <c r="H539" s="87">
        <f>L521</f>
        <v>8832.24</v>
      </c>
      <c r="I539" s="87">
        <f>L526</f>
        <v>0</v>
      </c>
      <c r="J539" s="87">
        <f>L531</f>
        <v>1350</v>
      </c>
      <c r="K539" s="87">
        <f>SUM(F539:J539)</f>
        <v>145647.62999999998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27825.279999999999</v>
      </c>
      <c r="G540" s="87">
        <f>L517</f>
        <v>0</v>
      </c>
      <c r="H540" s="87">
        <f>L522</f>
        <v>2262.09</v>
      </c>
      <c r="I540" s="87">
        <f>L527</f>
        <v>0</v>
      </c>
      <c r="J540" s="87">
        <f>L532</f>
        <v>0</v>
      </c>
      <c r="K540" s="87">
        <f>SUM(F540:J540)</f>
        <v>30087.37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59855.199999999997</v>
      </c>
      <c r="G541" s="87">
        <f>L518</f>
        <v>0</v>
      </c>
      <c r="H541" s="87">
        <f>L523</f>
        <v>3313.9</v>
      </c>
      <c r="I541" s="87">
        <f>L528</f>
        <v>0</v>
      </c>
      <c r="J541" s="87">
        <f>L533</f>
        <v>0</v>
      </c>
      <c r="K541" s="87">
        <f>SUM(F541:J541)</f>
        <v>63169.1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196329.99</v>
      </c>
      <c r="G542" s="89">
        <f t="shared" si="41"/>
        <v>26815.88</v>
      </c>
      <c r="H542" s="89">
        <f t="shared" si="41"/>
        <v>14408.23</v>
      </c>
      <c r="I542" s="89">
        <f t="shared" si="41"/>
        <v>0</v>
      </c>
      <c r="J542" s="89">
        <f t="shared" si="41"/>
        <v>1350</v>
      </c>
      <c r="K542" s="89">
        <f t="shared" si="41"/>
        <v>238904.09999999998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>
        <v>196875.03</v>
      </c>
      <c r="H565" s="18">
        <v>483225</v>
      </c>
      <c r="I565" s="87">
        <f>SUM(F565:H565)</f>
        <v>680100.03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27825.279999999999</v>
      </c>
      <c r="H569" s="18">
        <v>59855.199999999997</v>
      </c>
      <c r="I569" s="87">
        <f t="shared" si="46"/>
        <v>87680.48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5556</v>
      </c>
      <c r="G572" s="18"/>
      <c r="H572" s="18"/>
      <c r="I572" s="87">
        <f t="shared" si="46"/>
        <v>5556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57861.91</v>
      </c>
      <c r="I581" s="18">
        <v>23144.77</v>
      </c>
      <c r="J581" s="18">
        <v>34717.14</v>
      </c>
      <c r="K581" s="104">
        <f t="shared" ref="K581:K587" si="47">SUM(H581:J581)</f>
        <v>115723.82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1350</v>
      </c>
      <c r="I582" s="18"/>
      <c r="J582" s="18"/>
      <c r="K582" s="104">
        <f t="shared" si="47"/>
        <v>1350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1243.51</v>
      </c>
      <c r="I585" s="18"/>
      <c r="J585" s="18"/>
      <c r="K585" s="104">
        <f t="shared" si="47"/>
        <v>1243.51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>
        <v>510.44</v>
      </c>
      <c r="I587" s="18"/>
      <c r="J587" s="18"/>
      <c r="K587" s="104">
        <f t="shared" si="47"/>
        <v>510.44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60965.860000000008</v>
      </c>
      <c r="I588" s="108">
        <f>SUM(I581:I587)</f>
        <v>23144.77</v>
      </c>
      <c r="J588" s="108">
        <f>SUM(J581:J587)</f>
        <v>34717.14</v>
      </c>
      <c r="K588" s="108">
        <f>SUM(K581:K587)</f>
        <v>118827.77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23083.96</v>
      </c>
      <c r="I594" s="18"/>
      <c r="J594" s="18"/>
      <c r="K594" s="104">
        <f>SUM(H594:J594)</f>
        <v>23083.96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23083.96</v>
      </c>
      <c r="I595" s="108">
        <f>SUM(I592:I594)</f>
        <v>0</v>
      </c>
      <c r="J595" s="108">
        <f>SUM(J592:J594)</f>
        <v>0</v>
      </c>
      <c r="K595" s="108">
        <f>SUM(K592:K594)</f>
        <v>23083.96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v>6013.5</v>
      </c>
      <c r="G601" s="18">
        <v>535.66999999999996</v>
      </c>
      <c r="H601" s="18">
        <v>1300</v>
      </c>
      <c r="I601" s="18"/>
      <c r="J601" s="18"/>
      <c r="K601" s="18"/>
      <c r="L601" s="88">
        <f>SUM(F601:K601)</f>
        <v>7849.17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6013.5</v>
      </c>
      <c r="G604" s="108">
        <f t="shared" si="48"/>
        <v>535.66999999999996</v>
      </c>
      <c r="H604" s="108">
        <f t="shared" si="48"/>
        <v>1300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7849.17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179520.8</v>
      </c>
      <c r="H607" s="109">
        <f>SUM(F44)</f>
        <v>179520.8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649.94000000000005</v>
      </c>
      <c r="H608" s="109">
        <f>SUM(G44)</f>
        <v>649.94000000000005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1820.79</v>
      </c>
      <c r="H609" s="109">
        <f>SUM(H44)</f>
        <v>1820.79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24057.77</v>
      </c>
      <c r="H610" s="109">
        <f>SUM(I44)</f>
        <v>24057.77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248406.72</v>
      </c>
      <c r="H611" s="109">
        <f>SUM(J44)</f>
        <v>248406.72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154130.28</v>
      </c>
      <c r="H612" s="109">
        <f>F466</f>
        <v>154130.2799999998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0</v>
      </c>
      <c r="H613" s="109">
        <f>G466</f>
        <v>0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1820.79</v>
      </c>
      <c r="H614" s="109">
        <f>H466</f>
        <v>1820.7900000000009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24057.77</v>
      </c>
      <c r="H615" s="109">
        <f>I466</f>
        <v>24057.77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248406.72</v>
      </c>
      <c r="H616" s="109">
        <f>J466</f>
        <v>248406.72000000003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2136618.7599999998</v>
      </c>
      <c r="H617" s="104">
        <f>SUM(F458)</f>
        <v>2136618.7599999998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18736.310000000001</v>
      </c>
      <c r="H618" s="104">
        <f>SUM(G458)</f>
        <v>18736.310000000001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25710.239999999998</v>
      </c>
      <c r="H619" s="104">
        <f>SUM(H458)</f>
        <v>25710.240000000002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44.5</v>
      </c>
      <c r="H620" s="104">
        <f>SUM(I458)</f>
        <v>44.5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95320.83</v>
      </c>
      <c r="H621" s="104">
        <f>SUM(J458)</f>
        <v>95320.83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2212910.31</v>
      </c>
      <c r="H622" s="104">
        <f>SUM(F462)</f>
        <v>2212910.31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25611.61</v>
      </c>
      <c r="H623" s="104">
        <f>SUM(H462)</f>
        <v>25611.61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10704.66</v>
      </c>
      <c r="H624" s="104">
        <f>I361</f>
        <v>10704.66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18736.309999999998</v>
      </c>
      <c r="H625" s="104">
        <f>SUM(G462)</f>
        <v>18736.310000000001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19001.810000000001</v>
      </c>
      <c r="H626" s="104">
        <f>SUM(I462)</f>
        <v>19001.810000000001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95320.829999999987</v>
      </c>
      <c r="H627" s="164">
        <f>SUM(J458)</f>
        <v>95320.83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42860</v>
      </c>
      <c r="H628" s="164">
        <f>SUM(J462)</f>
        <v>42860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78457.13</v>
      </c>
      <c r="H629" s="104">
        <f>SUM(F451)</f>
        <v>78457.13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169949.59</v>
      </c>
      <c r="H630" s="104">
        <f>SUM(G451)</f>
        <v>169949.59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248406.72</v>
      </c>
      <c r="H632" s="104">
        <f>SUM(I451)</f>
        <v>248406.72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320.83</v>
      </c>
      <c r="H634" s="104">
        <f>H400</f>
        <v>320.83000000000004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95000</v>
      </c>
      <c r="H635" s="104">
        <f>G400</f>
        <v>95000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95320.83</v>
      </c>
      <c r="H636" s="104">
        <f>L400</f>
        <v>95320.829999999987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118827.77</v>
      </c>
      <c r="H637" s="104">
        <f>L200+L218+L236</f>
        <v>118827.77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23083.96</v>
      </c>
      <c r="H638" s="104">
        <f>(J249+J330)-(J247+J328)</f>
        <v>23083.96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60965.86</v>
      </c>
      <c r="H639" s="104">
        <f>H588</f>
        <v>60965.860000000008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23144.77</v>
      </c>
      <c r="H640" s="104">
        <f>I588</f>
        <v>23144.77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34717.14</v>
      </c>
      <c r="H641" s="104">
        <f>J588</f>
        <v>34717.14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6063.02</v>
      </c>
      <c r="H642" s="104">
        <f>K255+K337</f>
        <v>6063.02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95000</v>
      </c>
      <c r="H645" s="104">
        <f>K258+K339</f>
        <v>95000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1141577.0900000003</v>
      </c>
      <c r="G650" s="19">
        <f>(L221+L301+L351)</f>
        <v>265048.31000000006</v>
      </c>
      <c r="H650" s="19">
        <f>(L239+L320+L352)</f>
        <v>603007.30999999994</v>
      </c>
      <c r="I650" s="19">
        <f>SUM(F650:H650)</f>
        <v>2009632.7100000004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9796.6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9796.6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60965.86</v>
      </c>
      <c r="G652" s="19">
        <f>(L218+L298)-(J218+J298)</f>
        <v>23144.77</v>
      </c>
      <c r="H652" s="19">
        <f>(L236+L317)-(J236+J317)</f>
        <v>34717.14</v>
      </c>
      <c r="I652" s="19">
        <f>SUM(F652:H652)</f>
        <v>118827.77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36489.129999999997</v>
      </c>
      <c r="G653" s="200">
        <f>SUM(G565:G577)+SUM(I592:I594)+L602</f>
        <v>224700.31</v>
      </c>
      <c r="H653" s="200">
        <f>SUM(H565:H577)+SUM(J592:J594)+L603</f>
        <v>543080.19999999995</v>
      </c>
      <c r="I653" s="19">
        <f>SUM(F653:H653)</f>
        <v>804269.6399999999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1034325.5000000003</v>
      </c>
      <c r="G654" s="19">
        <f>G650-SUM(G651:G653)</f>
        <v>17203.230000000069</v>
      </c>
      <c r="H654" s="19">
        <f>H650-SUM(H651:H653)</f>
        <v>25209.969999999972</v>
      </c>
      <c r="I654" s="19">
        <f>I650-SUM(I651:I653)</f>
        <v>1076738.7000000007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52.72</v>
      </c>
      <c r="G655" s="249"/>
      <c r="H655" s="249"/>
      <c r="I655" s="19">
        <f>SUM(F655:H655)</f>
        <v>52.72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19619.22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20423.72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>
        <v>-17203.23</v>
      </c>
      <c r="H659" s="18">
        <v>-25209.97</v>
      </c>
      <c r="I659" s="19">
        <f>SUM(F659:H659)</f>
        <v>-42413.2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19619.22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19619.22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D57-D7C8-4392-A003-FB818E82E0A8}">
  <sheetPr>
    <tabColor indexed="20"/>
  </sheetPr>
  <dimension ref="A1:C52"/>
  <sheetViews>
    <sheetView workbookViewId="0">
      <selection activeCell="C47" sqref="C4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JACKSON SCHOOL DISTRICT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278191.99</v>
      </c>
      <c r="C9" s="230">
        <f>'DOE25'!G189+'DOE25'!G207+'DOE25'!G225+'DOE25'!G268+'DOE25'!G287+'DOE25'!G306</f>
        <v>125325.54</v>
      </c>
    </row>
    <row r="10" spans="1:3" x14ac:dyDescent="0.2">
      <c r="A10" t="s">
        <v>810</v>
      </c>
      <c r="B10" s="241">
        <v>265213.59999999998</v>
      </c>
      <c r="C10" s="241">
        <v>115286.15</v>
      </c>
    </row>
    <row r="11" spans="1:3" x14ac:dyDescent="0.2">
      <c r="A11" t="s">
        <v>811</v>
      </c>
      <c r="B11" s="241">
        <v>8288.2900000000009</v>
      </c>
      <c r="C11" s="241">
        <v>9514.67</v>
      </c>
    </row>
    <row r="12" spans="1:3" x14ac:dyDescent="0.2">
      <c r="A12" t="s">
        <v>812</v>
      </c>
      <c r="B12" s="241">
        <f>1174.6+3515.5</f>
        <v>4690.1000000000004</v>
      </c>
      <c r="C12" s="241">
        <f>336.85+187.87</f>
        <v>524.72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278191.98999999993</v>
      </c>
      <c r="C13" s="232">
        <f>SUM(C10:C12)</f>
        <v>125325.54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59816.4</v>
      </c>
      <c r="C18" s="230">
        <f>'DOE25'!G190+'DOE25'!G208+'DOE25'!G226+'DOE25'!G269+'DOE25'!G288+'DOE25'!G307</f>
        <v>35518.51</v>
      </c>
    </row>
    <row r="19" spans="1:3" x14ac:dyDescent="0.2">
      <c r="A19" t="s">
        <v>810</v>
      </c>
      <c r="B19" s="241">
        <v>22828</v>
      </c>
      <c r="C19" s="241">
        <f>5366.03+37.61</f>
        <v>5403.6399999999994</v>
      </c>
    </row>
    <row r="20" spans="1:3" x14ac:dyDescent="0.2">
      <c r="A20" t="s">
        <v>811</v>
      </c>
      <c r="B20" s="241">
        <f>11316.24+25222.3</f>
        <v>36538.54</v>
      </c>
      <c r="C20" s="241">
        <f>29041+1039.44</f>
        <v>30080.44</v>
      </c>
    </row>
    <row r="21" spans="1:3" x14ac:dyDescent="0.2">
      <c r="A21" t="s">
        <v>812</v>
      </c>
      <c r="B21" s="241">
        <v>449.86</v>
      </c>
      <c r="C21" s="241">
        <v>34.43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59816.4</v>
      </c>
      <c r="C22" s="232">
        <f>SUM(C19:C21)</f>
        <v>35518.51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6013.5</v>
      </c>
      <c r="C36" s="236">
        <f>'DOE25'!G192+'DOE25'!G210+'DOE25'!G228+'DOE25'!G271+'DOE25'!G290+'DOE25'!G309</f>
        <v>535.66999999999996</v>
      </c>
    </row>
    <row r="37" spans="1:3" x14ac:dyDescent="0.2">
      <c r="A37" t="s">
        <v>810</v>
      </c>
      <c r="B37" s="241"/>
      <c r="C37" s="241"/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>
        <v>6013.5</v>
      </c>
      <c r="C39" s="241">
        <v>535.66999999999996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6013.5</v>
      </c>
      <c r="C40" s="232">
        <f>SUM(C37:C39)</f>
        <v>535.66999999999996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0576E-72D1-439F-B854-24333B9B14D9}">
  <sheetPr>
    <tabColor indexed="11"/>
  </sheetPr>
  <dimension ref="A1:I51"/>
  <sheetViews>
    <sheetView workbookViewId="0">
      <pane ySplit="4" topLeftCell="A18" activePane="bottomLeft" state="frozen"/>
      <selection pane="bottomLeft" activeCell="D47" sqref="D47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JACKSON SCHOOL DISTRICT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1311562.95</v>
      </c>
      <c r="D5" s="20">
        <f>SUM('DOE25'!L189:L192)+SUM('DOE25'!L207:L210)+SUM('DOE25'!L225:L228)-F5-G5</f>
        <v>1303082.5899999999</v>
      </c>
      <c r="E5" s="244"/>
      <c r="F5" s="256">
        <f>SUM('DOE25'!J189:J192)+SUM('DOE25'!J207:J210)+SUM('DOE25'!J225:J228)</f>
        <v>8480.36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832</v>
      </c>
      <c r="C6" s="246">
        <f t="shared" si="0"/>
        <v>46851.950000000004</v>
      </c>
      <c r="D6" s="20">
        <f>'DOE25'!L194+'DOE25'!L212+'DOE25'!L230-F6-G6</f>
        <v>46851.950000000004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865</v>
      </c>
      <c r="C7" s="246">
        <f t="shared" si="0"/>
        <v>44403.619999999995</v>
      </c>
      <c r="D7" s="20">
        <f>'DOE25'!L195+'DOE25'!L213+'DOE25'!L231-F7-G7</f>
        <v>44403.619999999995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833</v>
      </c>
      <c r="C8" s="246">
        <f t="shared" si="0"/>
        <v>57794.990000000005</v>
      </c>
      <c r="D8" s="244"/>
      <c r="E8" s="20">
        <f>'DOE25'!L196+'DOE25'!L214+'DOE25'!L232-F8-G8-D9-D11</f>
        <v>55743.900000000009</v>
      </c>
      <c r="F8" s="256">
        <f>'DOE25'!J196+'DOE25'!J214+'DOE25'!J232</f>
        <v>0</v>
      </c>
      <c r="G8" s="53">
        <f>'DOE25'!K196+'DOE25'!K214+'DOE25'!K232</f>
        <v>2051.09</v>
      </c>
      <c r="H8" s="260"/>
    </row>
    <row r="9" spans="1:9" x14ac:dyDescent="0.2">
      <c r="A9" s="32">
        <v>2310</v>
      </c>
      <c r="B9" t="s">
        <v>849</v>
      </c>
      <c r="C9" s="246">
        <f t="shared" si="0"/>
        <v>28381.49</v>
      </c>
      <c r="D9" s="245">
        <v>28381.49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4540</v>
      </c>
      <c r="D10" s="244"/>
      <c r="E10" s="245">
        <v>4540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22986.01</v>
      </c>
      <c r="D11" s="245">
        <v>22986.01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125881.34</v>
      </c>
      <c r="D12" s="20">
        <f>'DOE25'!L197+'DOE25'!L215+'DOE25'!L233-F12-G12</f>
        <v>125028.34</v>
      </c>
      <c r="E12" s="244"/>
      <c r="F12" s="256">
        <f>'DOE25'!J197+'DOE25'!J215+'DOE25'!J233</f>
        <v>299</v>
      </c>
      <c r="G12" s="53">
        <f>'DOE25'!K197+'DOE25'!K215+'DOE25'!K233</f>
        <v>554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208252.66999999998</v>
      </c>
      <c r="D14" s="20">
        <f>'DOE25'!L199+'DOE25'!L217+'DOE25'!L235-F14-G14</f>
        <v>207307.68</v>
      </c>
      <c r="E14" s="244"/>
      <c r="F14" s="256">
        <f>'DOE25'!J199+'DOE25'!J217+'DOE25'!J235</f>
        <v>944.99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118827.77</v>
      </c>
      <c r="D15" s="20">
        <f>'DOE25'!L200+'DOE25'!L218+'DOE25'!L236-F15-G15</f>
        <v>118827.77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342</v>
      </c>
      <c r="D16" s="244"/>
      <c r="E16" s="20">
        <f>'DOE25'!L201+'DOE25'!L219+'DOE25'!L237-F16-G16</f>
        <v>342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146562.5</v>
      </c>
      <c r="D25" s="244"/>
      <c r="E25" s="244"/>
      <c r="F25" s="259"/>
      <c r="G25" s="257"/>
      <c r="H25" s="258">
        <f>'DOE25'!L252+'DOE25'!L253+'DOE25'!L333+'DOE25'!L334</f>
        <v>146562.5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8324.9599999999973</v>
      </c>
      <c r="D29" s="20">
        <f>'DOE25'!L350+'DOE25'!L351+'DOE25'!L352-'DOE25'!I359-F29-G29</f>
        <v>8324.9599999999973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25611.61</v>
      </c>
      <c r="D31" s="20">
        <f>'DOE25'!L282+'DOE25'!L301+'DOE25'!L320+'DOE25'!L325+'DOE25'!L326+'DOE25'!L327-F31-G31</f>
        <v>12252</v>
      </c>
      <c r="E31" s="244"/>
      <c r="F31" s="256">
        <f>'DOE25'!J282+'DOE25'!J301+'DOE25'!J320+'DOE25'!J325+'DOE25'!J326+'DOE25'!J327</f>
        <v>13359.61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1917446.4099999997</v>
      </c>
      <c r="E33" s="247">
        <f>SUM(E5:E31)</f>
        <v>60625.900000000009</v>
      </c>
      <c r="F33" s="247">
        <f>SUM(F5:F31)</f>
        <v>23083.96</v>
      </c>
      <c r="G33" s="247">
        <f>SUM(G5:G31)</f>
        <v>2605.09</v>
      </c>
      <c r="H33" s="247">
        <f>SUM(H5:H31)</f>
        <v>146562.5</v>
      </c>
    </row>
    <row r="35" spans="2:8" ht="12" thickBot="1" x14ac:dyDescent="0.25">
      <c r="B35" s="254" t="s">
        <v>878</v>
      </c>
      <c r="D35" s="255">
        <f>E33</f>
        <v>60625.900000000009</v>
      </c>
      <c r="E35" s="250"/>
    </row>
    <row r="36" spans="2:8" ht="12" thickTop="1" x14ac:dyDescent="0.2">
      <c r="B36" t="s">
        <v>846</v>
      </c>
      <c r="D36" s="20">
        <f>D33</f>
        <v>1917446.4099999997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065A9-B7A5-452E-BC79-16C1E6496489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JACKSON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178510.11</v>
      </c>
      <c r="D9" s="95">
        <f>'DOE25'!G9</f>
        <v>0</v>
      </c>
      <c r="E9" s="95">
        <f>'DOE25'!H9</f>
        <v>0</v>
      </c>
      <c r="F9" s="95">
        <f>'DOE25'!I9</f>
        <v>24057.77</v>
      </c>
      <c r="G9" s="95">
        <f>'DOE25'!J9</f>
        <v>248406.72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649.94000000000005</v>
      </c>
      <c r="D12" s="95">
        <f>'DOE25'!G12</f>
        <v>0</v>
      </c>
      <c r="E12" s="95">
        <f>'DOE25'!H12</f>
        <v>221.05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360.75</v>
      </c>
      <c r="D13" s="95">
        <f>'DOE25'!G13</f>
        <v>649.94000000000005</v>
      </c>
      <c r="E13" s="95">
        <f>'DOE25'!H13</f>
        <v>1599.74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179520.8</v>
      </c>
      <c r="D19" s="41">
        <f>SUM(D9:D18)</f>
        <v>649.94000000000005</v>
      </c>
      <c r="E19" s="41">
        <f>SUM(E9:E18)</f>
        <v>1820.79</v>
      </c>
      <c r="F19" s="41">
        <f>SUM(F9:F18)</f>
        <v>24057.77</v>
      </c>
      <c r="G19" s="41">
        <f>SUM(G9:G18)</f>
        <v>248406.72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221.05</v>
      </c>
      <c r="D22" s="95">
        <f>'DOE25'!G23</f>
        <v>649.94000000000005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99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2393.38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22677.09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25390.52</v>
      </c>
      <c r="D32" s="41">
        <f>SUM(D22:D31)</f>
        <v>649.94000000000005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0</v>
      </c>
      <c r="E40" s="95">
        <f>'DOE25'!H41</f>
        <v>1820.79</v>
      </c>
      <c r="F40" s="95">
        <f>'DOE25'!I41</f>
        <v>24057.77</v>
      </c>
      <c r="G40" s="95">
        <f>'DOE25'!J41</f>
        <v>248406.72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154130.28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154130.28</v>
      </c>
      <c r="D42" s="41">
        <f>SUM(D34:D41)</f>
        <v>0</v>
      </c>
      <c r="E42" s="41">
        <f>SUM(E34:E41)</f>
        <v>1820.79</v>
      </c>
      <c r="F42" s="41">
        <f>SUM(F34:F41)</f>
        <v>24057.77</v>
      </c>
      <c r="G42" s="41">
        <f>SUM(G34:G41)</f>
        <v>248406.72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179520.8</v>
      </c>
      <c r="D43" s="41">
        <f>D42+D32</f>
        <v>649.94000000000005</v>
      </c>
      <c r="E43" s="41">
        <f>E42+E32</f>
        <v>1820.79</v>
      </c>
      <c r="F43" s="41">
        <f>F42+F32</f>
        <v>24057.77</v>
      </c>
      <c r="G43" s="41">
        <f>G42+G32</f>
        <v>248406.72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1043399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22147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2520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1087.58</v>
      </c>
      <c r="D51" s="95">
        <f>'DOE25'!G88</f>
        <v>0</v>
      </c>
      <c r="E51" s="95">
        <f>'DOE25'!H88</f>
        <v>0</v>
      </c>
      <c r="F51" s="95">
        <f>'DOE25'!I88</f>
        <v>44.5</v>
      </c>
      <c r="G51" s="95">
        <f>'DOE25'!J88</f>
        <v>320.83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9796.6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21149.13</v>
      </c>
      <c r="D53" s="95">
        <f>SUM('DOE25'!G90:G102)</f>
        <v>0</v>
      </c>
      <c r="E53" s="95">
        <f>SUM('DOE25'!H90:H102)</f>
        <v>2482.6799999999998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46903.710000000006</v>
      </c>
      <c r="D54" s="130">
        <f>SUM(D49:D53)</f>
        <v>9796.6</v>
      </c>
      <c r="E54" s="130">
        <f>SUM(E49:E53)</f>
        <v>2482.6799999999998</v>
      </c>
      <c r="F54" s="130">
        <f>SUM(F49:F53)</f>
        <v>44.5</v>
      </c>
      <c r="G54" s="130">
        <f>SUM(G49:G53)</f>
        <v>320.83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1090302.71</v>
      </c>
      <c r="D55" s="22">
        <f>D48+D54</f>
        <v>9796.6</v>
      </c>
      <c r="E55" s="22">
        <f>E48+E54</f>
        <v>2482.6799999999998</v>
      </c>
      <c r="F55" s="22">
        <f>F48+F54</f>
        <v>44.5</v>
      </c>
      <c r="G55" s="22">
        <f>G48+G54</f>
        <v>320.83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75392.53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829504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2734.47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907631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55766.18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18071.099999999999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170.07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73837.279999999999</v>
      </c>
      <c r="D70" s="130">
        <f>SUM(D64:D69)</f>
        <v>170.07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981468.28</v>
      </c>
      <c r="D73" s="130">
        <f>SUM(D71:D72)+D70+D62</f>
        <v>170.07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0</v>
      </c>
      <c r="D80" s="95">
        <f>SUM('DOE25'!G145:G153)</f>
        <v>2706.62</v>
      </c>
      <c r="E80" s="95">
        <f>SUM('DOE25'!H145:H153)</f>
        <v>23227.559999999998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21987.77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21987.77</v>
      </c>
      <c r="D83" s="131">
        <f>SUM(D77:D82)</f>
        <v>2706.62</v>
      </c>
      <c r="E83" s="131">
        <f>SUM(E77:E82)</f>
        <v>23227.559999999998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6063.02</v>
      </c>
      <c r="E88" s="95">
        <f>'DOE25'!H171</f>
        <v>0</v>
      </c>
      <c r="F88" s="95">
        <f>'DOE25'!I171</f>
        <v>0</v>
      </c>
      <c r="G88" s="95">
        <f>'DOE25'!J171</f>
        <v>95000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42860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42860</v>
      </c>
      <c r="D95" s="86">
        <f>SUM(D85:D94)</f>
        <v>6063.02</v>
      </c>
      <c r="E95" s="86">
        <f>SUM(E85:E94)</f>
        <v>0</v>
      </c>
      <c r="F95" s="86">
        <f>SUM(F85:F94)</f>
        <v>0</v>
      </c>
      <c r="G95" s="86">
        <f>SUM(G85:G94)</f>
        <v>95000</v>
      </c>
    </row>
    <row r="96" spans="1:7" ht="12.75" thickTop="1" thickBot="1" x14ac:dyDescent="0.25">
      <c r="A96" s="33" t="s">
        <v>796</v>
      </c>
      <c r="C96" s="86">
        <f>C55+C73+C83+C95</f>
        <v>2136618.7599999998</v>
      </c>
      <c r="D96" s="86">
        <f>D55+D73+D83+D95</f>
        <v>18736.310000000001</v>
      </c>
      <c r="E96" s="86">
        <f>E55+E73+E83+E95</f>
        <v>25710.239999999998</v>
      </c>
      <c r="F96" s="86">
        <f>F55+F73+F83+F95</f>
        <v>44.5</v>
      </c>
      <c r="G96" s="86">
        <f>G55+G73+G95</f>
        <v>95320.83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1110923.28</v>
      </c>
      <c r="D101" s="24" t="s">
        <v>312</v>
      </c>
      <c r="E101" s="95">
        <f>('DOE25'!L268)+('DOE25'!L287)+('DOE25'!L306)</f>
        <v>10621.72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191140.5</v>
      </c>
      <c r="D102" s="24" t="s">
        <v>312</v>
      </c>
      <c r="E102" s="95">
        <f>('DOE25'!L269)+('DOE25'!L288)+('DOE25'!L307)</f>
        <v>5189.49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9499.17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1311562.95</v>
      </c>
      <c r="D107" s="86">
        <f>SUM(D101:D106)</f>
        <v>0</v>
      </c>
      <c r="E107" s="86">
        <f>SUM(E101:E106)</f>
        <v>15811.21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46851.950000000004</v>
      </c>
      <c r="D110" s="24" t="s">
        <v>312</v>
      </c>
      <c r="E110" s="95">
        <f>+('DOE25'!L273)+('DOE25'!L292)+('DOE25'!L311)</f>
        <v>2542.5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44403.619999999995</v>
      </c>
      <c r="D111" s="24" t="s">
        <v>312</v>
      </c>
      <c r="E111" s="95">
        <f>+('DOE25'!L274)+('DOE25'!L293)+('DOE25'!L312)</f>
        <v>7257.9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109162.49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125881.34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208252.66999999998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118827.77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342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18736.309999999998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653721.84000000008</v>
      </c>
      <c r="D120" s="86">
        <f>SUM(D110:D119)</f>
        <v>18736.309999999998</v>
      </c>
      <c r="E120" s="86">
        <f>SUM(E110:E119)</f>
        <v>9800.4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19001.810000000001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125000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21562.5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42860</v>
      </c>
    </row>
    <row r="127" spans="1:7" x14ac:dyDescent="0.2">
      <c r="A127" t="s">
        <v>256</v>
      </c>
      <c r="B127" s="32" t="s">
        <v>257</v>
      </c>
      <c r="C127" s="95">
        <f>'DOE25'!L255</f>
        <v>6063.02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15100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80220.829999999987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-320.82999999998719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247625.52</v>
      </c>
      <c r="D136" s="141">
        <f>SUM(D122:D135)</f>
        <v>0</v>
      </c>
      <c r="E136" s="141">
        <f>SUM(E122:E135)</f>
        <v>0</v>
      </c>
      <c r="F136" s="141">
        <f>SUM(F122:F135)</f>
        <v>19001.810000000001</v>
      </c>
      <c r="G136" s="141">
        <f>SUM(G122:G135)</f>
        <v>42860</v>
      </c>
    </row>
    <row r="137" spans="1:9" ht="12.75" thickTop="1" thickBot="1" x14ac:dyDescent="0.25">
      <c r="A137" s="33" t="s">
        <v>267</v>
      </c>
      <c r="C137" s="86">
        <f>(C107+C120+C136)</f>
        <v>2212910.31</v>
      </c>
      <c r="D137" s="86">
        <f>(D107+D120+D136)</f>
        <v>18736.309999999998</v>
      </c>
      <c r="E137" s="86">
        <f>(E107+E120+E136)</f>
        <v>25611.61</v>
      </c>
      <c r="F137" s="86">
        <f>(F107+F120+F136)</f>
        <v>19001.810000000001</v>
      </c>
      <c r="G137" s="86">
        <f>(G107+G120+G136)</f>
        <v>42860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7/1/08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8/15/2013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650000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3.34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500000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500000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125000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125000</v>
      </c>
    </row>
    <row r="151" spans="1:7" x14ac:dyDescent="0.2">
      <c r="A151" s="22" t="s">
        <v>35</v>
      </c>
      <c r="B151" s="137">
        <f>'DOE25'!F488</f>
        <v>375000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375000</v>
      </c>
    </row>
    <row r="152" spans="1:7" x14ac:dyDescent="0.2">
      <c r="A152" s="22" t="s">
        <v>36</v>
      </c>
      <c r="B152" s="137">
        <f>'DOE25'!F489</f>
        <v>28906.25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28906.25</v>
      </c>
    </row>
    <row r="153" spans="1:7" x14ac:dyDescent="0.2">
      <c r="A153" s="22" t="s">
        <v>37</v>
      </c>
      <c r="B153" s="137">
        <f>'DOE25'!F490</f>
        <v>403906.25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403906.25</v>
      </c>
    </row>
    <row r="154" spans="1:7" x14ac:dyDescent="0.2">
      <c r="A154" s="22" t="s">
        <v>38</v>
      </c>
      <c r="B154" s="137">
        <f>'DOE25'!F491</f>
        <v>125000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125000</v>
      </c>
    </row>
    <row r="155" spans="1:7" x14ac:dyDescent="0.2">
      <c r="A155" s="22" t="s">
        <v>39</v>
      </c>
      <c r="B155" s="137">
        <f>'DOE25'!F492</f>
        <v>15937.5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15937.5</v>
      </c>
    </row>
    <row r="156" spans="1:7" x14ac:dyDescent="0.2">
      <c r="A156" s="22" t="s">
        <v>269</v>
      </c>
      <c r="B156" s="137">
        <f>'DOE25'!F493</f>
        <v>140937.5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140937.5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D932F-3C65-4DF0-9A11-FC88B00EC58B}">
  <sheetPr codeName="Sheet3">
    <tabColor indexed="43"/>
  </sheetPr>
  <dimension ref="A1:D42"/>
  <sheetViews>
    <sheetView topLeftCell="A1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JACKSON SCHOOL DISTRICT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19619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19619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1121545</v>
      </c>
      <c r="D10" s="182">
        <f>ROUND((C10/$C$28)*100,1)</f>
        <v>55.5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196330</v>
      </c>
      <c r="D11" s="182">
        <f>ROUND((C11/$C$28)*100,1)</f>
        <v>9.6999999999999993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9499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49394</v>
      </c>
      <c r="D15" s="182">
        <f t="shared" ref="D15:D27" si="0">ROUND((C15/$C$28)*100,1)</f>
        <v>2.4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51662</v>
      </c>
      <c r="D16" s="182">
        <f t="shared" si="0"/>
        <v>2.6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109504</v>
      </c>
      <c r="D17" s="182">
        <f t="shared" si="0"/>
        <v>5.4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125881</v>
      </c>
      <c r="D18" s="182">
        <f t="shared" si="0"/>
        <v>6.2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208253</v>
      </c>
      <c r="D20" s="182">
        <f t="shared" si="0"/>
        <v>10.3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118828</v>
      </c>
      <c r="D21" s="182">
        <f t="shared" si="0"/>
        <v>5.9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21563</v>
      </c>
      <c r="D25" s="182">
        <f t="shared" si="0"/>
        <v>1.1000000000000001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8939.4</v>
      </c>
      <c r="D27" s="182">
        <f t="shared" si="0"/>
        <v>0.4</v>
      </c>
    </row>
    <row r="28" spans="1:4" x14ac:dyDescent="0.2">
      <c r="B28" s="187" t="s">
        <v>754</v>
      </c>
      <c r="C28" s="180">
        <f>SUM(C10:C27)</f>
        <v>2021398.4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19002</v>
      </c>
    </row>
    <row r="30" spans="1:4" x14ac:dyDescent="0.2">
      <c r="B30" s="187" t="s">
        <v>760</v>
      </c>
      <c r="C30" s="180">
        <f>SUM(C28:C29)</f>
        <v>2040400.4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125000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1043399</v>
      </c>
      <c r="D35" s="182">
        <f t="shared" ref="D35:D40" si="1">ROUND((C35/$C$41)*100,1)</f>
        <v>49.2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49751.719999999972</v>
      </c>
      <c r="D36" s="182">
        <f t="shared" si="1"/>
        <v>2.2999999999999998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907631</v>
      </c>
      <c r="D37" s="182">
        <f t="shared" si="1"/>
        <v>42.8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74007</v>
      </c>
      <c r="D38" s="182">
        <f t="shared" si="1"/>
        <v>3.5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47922</v>
      </c>
      <c r="D39" s="182">
        <f t="shared" si="1"/>
        <v>2.2999999999999998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2122710.7199999997</v>
      </c>
      <c r="D41" s="184">
        <f>SUM(D35:D40)</f>
        <v>100.1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98CA-A51F-4654-A539-E617A457C702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JACKSON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879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30A" sheet="1" objects="1" scenarios="1"/>
  <mergeCells count="223">
    <mergeCell ref="C43:M43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CC40:CM40"/>
    <mergeCell ref="CP40:CZ40"/>
    <mergeCell ref="DC40:DM40"/>
    <mergeCell ref="EP40:EZ40"/>
    <mergeCell ref="DP40:DZ40"/>
    <mergeCell ref="BP39:BZ39"/>
    <mergeCell ref="BC40:BM40"/>
    <mergeCell ref="BP40:BZ40"/>
    <mergeCell ref="FC40:FM40"/>
    <mergeCell ref="CC39:CM39"/>
    <mergeCell ref="CP39:CZ39"/>
    <mergeCell ref="P39:Z39"/>
    <mergeCell ref="AC39:AM39"/>
    <mergeCell ref="AP39:AZ39"/>
    <mergeCell ref="HP39:HZ39"/>
    <mergeCell ref="HC39:HM39"/>
    <mergeCell ref="DC39:DM39"/>
    <mergeCell ref="DP39:DZ39"/>
    <mergeCell ref="EC39:EM39"/>
    <mergeCell ref="GC39:GM39"/>
    <mergeCell ref="GP39:GZ39"/>
    <mergeCell ref="HP38:HZ38"/>
    <mergeCell ref="IC38:IM38"/>
    <mergeCell ref="IP38:IV38"/>
    <mergeCell ref="IP39:IV39"/>
    <mergeCell ref="EP39:EZ39"/>
    <mergeCell ref="FC39:FM39"/>
    <mergeCell ref="FP39:FZ39"/>
    <mergeCell ref="IC39:IM39"/>
    <mergeCell ref="EP38:EZ38"/>
    <mergeCell ref="FC38:FM38"/>
    <mergeCell ref="FP38:FZ38"/>
    <mergeCell ref="GC38:GM38"/>
    <mergeCell ref="GP38:GZ38"/>
    <mergeCell ref="HC38:HM38"/>
    <mergeCell ref="CC38:CM38"/>
    <mergeCell ref="CC32:CM32"/>
    <mergeCell ref="CP38:CZ38"/>
    <mergeCell ref="DC38:DM38"/>
    <mergeCell ref="DP38:DZ38"/>
    <mergeCell ref="EC38:EM38"/>
    <mergeCell ref="AP38:A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BP38:BZ38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DP30:DZ30"/>
    <mergeCell ref="EC30:EM30"/>
    <mergeCell ref="EP30:EZ30"/>
    <mergeCell ref="FC30:FM30"/>
    <mergeCell ref="FP30:FZ30"/>
    <mergeCell ref="GC30:GM30"/>
    <mergeCell ref="AC32:AM32"/>
    <mergeCell ref="AP32:AZ32"/>
    <mergeCell ref="P38:Z38"/>
    <mergeCell ref="CC30:CM30"/>
    <mergeCell ref="CP30:CZ30"/>
    <mergeCell ref="DC30:DM30"/>
    <mergeCell ref="CC31:CM31"/>
    <mergeCell ref="CP31:CZ31"/>
    <mergeCell ref="DC31:DM31"/>
    <mergeCell ref="AC38:AM38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2011-11-04T17:53:54Z</cp:lastPrinted>
  <dcterms:created xsi:type="dcterms:W3CDTF">1997-12-04T19:04:30Z</dcterms:created>
  <dcterms:modified xsi:type="dcterms:W3CDTF">2025-01-10T20:08:26Z</dcterms:modified>
</cp:coreProperties>
</file>