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E2CCE2F8-3B62-4DAE-B70F-FEE05CB93CDD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B8604442-7649-4998-B076-EF8050ED289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5" i="1" l="1"/>
  <c r="G655" i="1"/>
  <c r="F655" i="1"/>
  <c r="F511" i="1"/>
  <c r="H511" i="1"/>
  <c r="H514" i="1" s="1"/>
  <c r="H535" i="1" s="1"/>
  <c r="G511" i="1"/>
  <c r="H516" i="1"/>
  <c r="J513" i="1"/>
  <c r="I513" i="1"/>
  <c r="G513" i="1"/>
  <c r="L513" i="1" s="1"/>
  <c r="F541" i="1" s="1"/>
  <c r="F513" i="1"/>
  <c r="K518" i="1"/>
  <c r="G518" i="1"/>
  <c r="F518" i="1"/>
  <c r="L518" i="1" s="1"/>
  <c r="G541" i="1" s="1"/>
  <c r="F517" i="1"/>
  <c r="L517" i="1" s="1"/>
  <c r="G540" i="1" s="1"/>
  <c r="G517" i="1"/>
  <c r="K517" i="1"/>
  <c r="I518" i="1"/>
  <c r="H518" i="1"/>
  <c r="I517" i="1"/>
  <c r="H517" i="1"/>
  <c r="K516" i="1"/>
  <c r="K519" i="1" s="1"/>
  <c r="K535" i="1" s="1"/>
  <c r="I516" i="1"/>
  <c r="G516" i="1"/>
  <c r="L516" i="1" s="1"/>
  <c r="F516" i="1"/>
  <c r="H513" i="1"/>
  <c r="H512" i="1"/>
  <c r="G512" i="1"/>
  <c r="F512" i="1"/>
  <c r="J512" i="1"/>
  <c r="I512" i="1"/>
  <c r="H533" i="1"/>
  <c r="H532" i="1"/>
  <c r="H531" i="1"/>
  <c r="L531" i="1" s="1"/>
  <c r="J582" i="1"/>
  <c r="I582" i="1"/>
  <c r="I588" i="1" s="1"/>
  <c r="H640" i="1" s="1"/>
  <c r="H585" i="1"/>
  <c r="H582" i="1"/>
  <c r="K582" i="1" s="1"/>
  <c r="K588" i="1" s="1"/>
  <c r="G637" i="1" s="1"/>
  <c r="I497" i="1"/>
  <c r="H504" i="1"/>
  <c r="H462" i="1"/>
  <c r="H464" i="1" s="1"/>
  <c r="H466" i="1" s="1"/>
  <c r="H614" i="1" s="1"/>
  <c r="H458" i="1"/>
  <c r="F9" i="1"/>
  <c r="F30" i="1"/>
  <c r="F128" i="1"/>
  <c r="F113" i="1"/>
  <c r="F132" i="1" s="1"/>
  <c r="H128" i="1"/>
  <c r="G128" i="1"/>
  <c r="G132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C114" i="2" s="1"/>
  <c r="L216" i="1"/>
  <c r="L234" i="1"/>
  <c r="F16" i="13"/>
  <c r="G16" i="13"/>
  <c r="G33" i="13" s="1"/>
  <c r="L201" i="1"/>
  <c r="L219" i="1"/>
  <c r="E16" i="13" s="1"/>
  <c r="C16" i="13" s="1"/>
  <c r="L237" i="1"/>
  <c r="F5" i="13"/>
  <c r="D5" i="13" s="1"/>
  <c r="G5" i="13"/>
  <c r="L189" i="1"/>
  <c r="L190" i="1"/>
  <c r="L191" i="1"/>
  <c r="L192" i="1"/>
  <c r="C13" i="10" s="1"/>
  <c r="L207" i="1"/>
  <c r="L208" i="1"/>
  <c r="L221" i="1" s="1"/>
  <c r="G650" i="1" s="1"/>
  <c r="L209" i="1"/>
  <c r="L210" i="1"/>
  <c r="L225" i="1"/>
  <c r="L239" i="1" s="1"/>
  <c r="H650" i="1" s="1"/>
  <c r="L226" i="1"/>
  <c r="L227" i="1"/>
  <c r="C12" i="10" s="1"/>
  <c r="L228" i="1"/>
  <c r="F6" i="13"/>
  <c r="G6" i="13"/>
  <c r="L194" i="1"/>
  <c r="D6" i="13" s="1"/>
  <c r="C6" i="13" s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L236" i="1"/>
  <c r="G641" i="1" s="1"/>
  <c r="J641" i="1" s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I359" i="1"/>
  <c r="J282" i="1"/>
  <c r="J301" i="1"/>
  <c r="J330" i="1" s="1"/>
  <c r="J344" i="1" s="1"/>
  <c r="J320" i="1"/>
  <c r="F31" i="13"/>
  <c r="K282" i="1"/>
  <c r="K301" i="1"/>
  <c r="G31" i="13" s="1"/>
  <c r="K320" i="1"/>
  <c r="L268" i="1"/>
  <c r="E101" i="2" s="1"/>
  <c r="E107" i="2" s="1"/>
  <c r="L269" i="1"/>
  <c r="L270" i="1"/>
  <c r="L271" i="1"/>
  <c r="L273" i="1"/>
  <c r="L274" i="1"/>
  <c r="E111" i="2" s="1"/>
  <c r="L275" i="1"/>
  <c r="L276" i="1"/>
  <c r="E113" i="2" s="1"/>
  <c r="L277" i="1"/>
  <c r="L278" i="1"/>
  <c r="E115" i="2" s="1"/>
  <c r="L279" i="1"/>
  <c r="E116" i="2" s="1"/>
  <c r="L280" i="1"/>
  <c r="E117" i="2" s="1"/>
  <c r="L287" i="1"/>
  <c r="L288" i="1"/>
  <c r="L289" i="1"/>
  <c r="L290" i="1"/>
  <c r="L292" i="1"/>
  <c r="L301" i="1" s="1"/>
  <c r="L293" i="1"/>
  <c r="L294" i="1"/>
  <c r="E112" i="2" s="1"/>
  <c r="L295" i="1"/>
  <c r="L296" i="1"/>
  <c r="E114" i="2" s="1"/>
  <c r="L297" i="1"/>
  <c r="L298" i="1"/>
  <c r="L299" i="1"/>
  <c r="L306" i="1"/>
  <c r="L307" i="1"/>
  <c r="L308" i="1"/>
  <c r="L309" i="1"/>
  <c r="L320" i="1" s="1"/>
  <c r="L311" i="1"/>
  <c r="L312" i="1"/>
  <c r="L313" i="1"/>
  <c r="L314" i="1"/>
  <c r="L315" i="1"/>
  <c r="L316" i="1"/>
  <c r="L317" i="1"/>
  <c r="L318" i="1"/>
  <c r="L325" i="1"/>
  <c r="L326" i="1"/>
  <c r="L327" i="1"/>
  <c r="E106" i="2" s="1"/>
  <c r="L252" i="1"/>
  <c r="C32" i="10" s="1"/>
  <c r="L253" i="1"/>
  <c r="C124" i="2" s="1"/>
  <c r="L333" i="1"/>
  <c r="L334" i="1"/>
  <c r="E124" i="2" s="1"/>
  <c r="L247" i="1"/>
  <c r="L328" i="1"/>
  <c r="C29" i="10" s="1"/>
  <c r="C11" i="13"/>
  <c r="C10" i="13"/>
  <c r="C9" i="13"/>
  <c r="L353" i="1"/>
  <c r="B4" i="12"/>
  <c r="B36" i="12"/>
  <c r="C36" i="12"/>
  <c r="A40" i="12" s="1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5" i="1" s="1"/>
  <c r="L382" i="1"/>
  <c r="L383" i="1"/>
  <c r="L384" i="1"/>
  <c r="L387" i="1"/>
  <c r="L388" i="1"/>
  <c r="L389" i="1"/>
  <c r="L390" i="1"/>
  <c r="L391" i="1"/>
  <c r="L392" i="1"/>
  <c r="L393" i="1"/>
  <c r="C131" i="2" s="1"/>
  <c r="L395" i="1"/>
  <c r="L399" i="1" s="1"/>
  <c r="C132" i="2" s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/>
  <c r="L602" i="1"/>
  <c r="G653" i="1" s="1"/>
  <c r="L601" i="1"/>
  <c r="F653" i="1" s="1"/>
  <c r="C40" i="10"/>
  <c r="F52" i="1"/>
  <c r="C35" i="10" s="1"/>
  <c r="G52" i="1"/>
  <c r="H52" i="1"/>
  <c r="E48" i="2" s="1"/>
  <c r="E55" i="2" s="1"/>
  <c r="I52" i="1"/>
  <c r="F71" i="1"/>
  <c r="F86" i="1"/>
  <c r="F103" i="1"/>
  <c r="G103" i="1"/>
  <c r="G104" i="1" s="1"/>
  <c r="H71" i="1"/>
  <c r="H86" i="1"/>
  <c r="E50" i="2" s="1"/>
  <c r="E54" i="2" s="1"/>
  <c r="H103" i="1"/>
  <c r="H104" i="1"/>
  <c r="I103" i="1"/>
  <c r="I104" i="1"/>
  <c r="J103" i="1"/>
  <c r="J104" i="1"/>
  <c r="G113" i="1"/>
  <c r="H113" i="1"/>
  <c r="H132" i="1" s="1"/>
  <c r="I113" i="1"/>
  <c r="I128" i="1"/>
  <c r="I132" i="1"/>
  <c r="J113" i="1"/>
  <c r="J132" i="1" s="1"/>
  <c r="J128" i="1"/>
  <c r="F139" i="1"/>
  <c r="F161" i="1" s="1"/>
  <c r="F154" i="1"/>
  <c r="G139" i="1"/>
  <c r="G161" i="1" s="1"/>
  <c r="G154" i="1"/>
  <c r="H139" i="1"/>
  <c r="H154" i="1"/>
  <c r="H161" i="1"/>
  <c r="I139" i="1"/>
  <c r="I161" i="1" s="1"/>
  <c r="I154" i="1"/>
  <c r="C11" i="10"/>
  <c r="L242" i="1"/>
  <c r="C105" i="2" s="1"/>
  <c r="L324" i="1"/>
  <c r="C23" i="10"/>
  <c r="L246" i="1"/>
  <c r="C25" i="10"/>
  <c r="L260" i="1"/>
  <c r="C26" i="10" s="1"/>
  <c r="L261" i="1"/>
  <c r="L341" i="1"/>
  <c r="L342" i="1"/>
  <c r="I655" i="1"/>
  <c r="I660" i="1"/>
  <c r="F651" i="1"/>
  <c r="I651" i="1" s="1"/>
  <c r="H651" i="1"/>
  <c r="G652" i="1"/>
  <c r="I659" i="1"/>
  <c r="C42" i="10"/>
  <c r="L366" i="1"/>
  <c r="L367" i="1"/>
  <c r="L368" i="1"/>
  <c r="L369" i="1"/>
  <c r="L370" i="1"/>
  <c r="L371" i="1"/>
  <c r="L372" i="1"/>
  <c r="B2" i="10"/>
  <c r="L336" i="1"/>
  <c r="L343" i="1" s="1"/>
  <c r="L337" i="1"/>
  <c r="L338" i="1"/>
  <c r="L339" i="1"/>
  <c r="K343" i="1"/>
  <c r="L511" i="1"/>
  <c r="F539" i="1" s="1"/>
  <c r="L512" i="1"/>
  <c r="F540" i="1" s="1"/>
  <c r="L521" i="1"/>
  <c r="H539" i="1" s="1"/>
  <c r="H542" i="1" s="1"/>
  <c r="L522" i="1"/>
  <c r="H540" i="1" s="1"/>
  <c r="L523" i="1"/>
  <c r="H541" i="1"/>
  <c r="L526" i="1"/>
  <c r="I539" i="1" s="1"/>
  <c r="I542" i="1" s="1"/>
  <c r="L527" i="1"/>
  <c r="I540" i="1"/>
  <c r="L528" i="1"/>
  <c r="I541" i="1"/>
  <c r="L532" i="1"/>
  <c r="J540" i="1"/>
  <c r="L533" i="1"/>
  <c r="J541" i="1" s="1"/>
  <c r="E123" i="2"/>
  <c r="K262" i="1"/>
  <c r="J262" i="1"/>
  <c r="I262" i="1"/>
  <c r="L262" i="1" s="1"/>
  <c r="H262" i="1"/>
  <c r="G262" i="1"/>
  <c r="F262" i="1"/>
  <c r="C123" i="2"/>
  <c r="A1" i="2"/>
  <c r="A2" i="2"/>
  <c r="C9" i="2"/>
  <c r="D9" i="2"/>
  <c r="D19" i="2" s="1"/>
  <c r="E9" i="2"/>
  <c r="F9" i="2"/>
  <c r="F19" i="2" s="1"/>
  <c r="I431" i="1"/>
  <c r="J9" i="1" s="1"/>
  <c r="C10" i="2"/>
  <c r="D10" i="2"/>
  <c r="E10" i="2"/>
  <c r="F10" i="2"/>
  <c r="I432" i="1"/>
  <c r="J10" i="1" s="1"/>
  <c r="G10" i="2" s="1"/>
  <c r="C11" i="2"/>
  <c r="C19" i="2" s="1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E19" i="2"/>
  <c r="C22" i="2"/>
  <c r="D22" i="2"/>
  <c r="E22" i="2"/>
  <c r="F22" i="2"/>
  <c r="I440" i="1"/>
  <c r="J23" i="1" s="1"/>
  <c r="C23" i="2"/>
  <c r="D23" i="2"/>
  <c r="E23" i="2"/>
  <c r="E32" i="2" s="1"/>
  <c r="F23" i="2"/>
  <c r="I441" i="1"/>
  <c r="J24" i="1" s="1"/>
  <c r="G23" i="2" s="1"/>
  <c r="C24" i="2"/>
  <c r="C32" i="2" s="1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F32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D32" i="2"/>
  <c r="C34" i="2"/>
  <c r="D34" i="2"/>
  <c r="E34" i="2"/>
  <c r="F34" i="2"/>
  <c r="C35" i="2"/>
  <c r="D35" i="2"/>
  <c r="E35" i="2"/>
  <c r="F35" i="2"/>
  <c r="C36" i="2"/>
  <c r="D36" i="2"/>
  <c r="D42" i="2" s="1"/>
  <c r="D43" i="2" s="1"/>
  <c r="E36" i="2"/>
  <c r="F36" i="2"/>
  <c r="F42" i="2" s="1"/>
  <c r="I446" i="1"/>
  <c r="J37" i="1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/>
  <c r="G39" i="2"/>
  <c r="C40" i="2"/>
  <c r="D40" i="2"/>
  <c r="E40" i="2"/>
  <c r="F40" i="2"/>
  <c r="I449" i="1"/>
  <c r="J41" i="1" s="1"/>
  <c r="G40" i="2" s="1"/>
  <c r="C41" i="2"/>
  <c r="D41" i="2"/>
  <c r="E41" i="2"/>
  <c r="F41" i="2"/>
  <c r="C42" i="2"/>
  <c r="E42" i="2"/>
  <c r="D48" i="2"/>
  <c r="F48" i="2"/>
  <c r="C49" i="2"/>
  <c r="C54" i="2" s="1"/>
  <c r="E49" i="2"/>
  <c r="C50" i="2"/>
  <c r="C51" i="2"/>
  <c r="D51" i="2"/>
  <c r="E51" i="2"/>
  <c r="F51" i="2"/>
  <c r="D52" i="2"/>
  <c r="C53" i="2"/>
  <c r="D53" i="2"/>
  <c r="D54" i="2" s="1"/>
  <c r="D55" i="2" s="1"/>
  <c r="E53" i="2"/>
  <c r="F53" i="2"/>
  <c r="F54" i="2" s="1"/>
  <c r="C58" i="2"/>
  <c r="C59" i="2"/>
  <c r="C62" i="2" s="1"/>
  <c r="C61" i="2"/>
  <c r="D61" i="2"/>
  <c r="D62" i="2" s="1"/>
  <c r="E61" i="2"/>
  <c r="F61" i="2"/>
  <c r="F62" i="2" s="1"/>
  <c r="G61" i="2"/>
  <c r="G62" i="2" s="1"/>
  <c r="E62" i="2"/>
  <c r="C64" i="2"/>
  <c r="F64" i="2"/>
  <c r="F70" i="2" s="1"/>
  <c r="F73" i="2" s="1"/>
  <c r="C65" i="2"/>
  <c r="F65" i="2"/>
  <c r="C66" i="2"/>
  <c r="C67" i="2"/>
  <c r="C70" i="2" s="1"/>
  <c r="C73" i="2" s="1"/>
  <c r="C68" i="2"/>
  <c r="E68" i="2"/>
  <c r="E70" i="2" s="1"/>
  <c r="E73" i="2" s="1"/>
  <c r="F68" i="2"/>
  <c r="C69" i="2"/>
  <c r="D69" i="2"/>
  <c r="E69" i="2"/>
  <c r="F69" i="2"/>
  <c r="G69" i="2"/>
  <c r="G70" i="2" s="1"/>
  <c r="D70" i="2"/>
  <c r="D73" i="2" s="1"/>
  <c r="C71" i="2"/>
  <c r="D71" i="2"/>
  <c r="E71" i="2"/>
  <c r="C72" i="2"/>
  <c r="E72" i="2"/>
  <c r="C77" i="2"/>
  <c r="C83" i="2" s="1"/>
  <c r="D77" i="2"/>
  <c r="D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C86" i="2"/>
  <c r="F86" i="2"/>
  <c r="D88" i="2"/>
  <c r="D95" i="2" s="1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F95" i="2" s="1"/>
  <c r="C93" i="2"/>
  <c r="D93" i="2"/>
  <c r="E93" i="2"/>
  <c r="F93" i="2"/>
  <c r="C94" i="2"/>
  <c r="D94" i="2"/>
  <c r="E94" i="2"/>
  <c r="F94" i="2"/>
  <c r="C101" i="2"/>
  <c r="E102" i="2"/>
  <c r="E103" i="2"/>
  <c r="E104" i="2"/>
  <c r="E105" i="2"/>
  <c r="D107" i="2"/>
  <c r="F107" i="2"/>
  <c r="G107" i="2"/>
  <c r="C110" i="2"/>
  <c r="C111" i="2"/>
  <c r="C116" i="2"/>
  <c r="C117" i="2"/>
  <c r="D119" i="2"/>
  <c r="D120" i="2" s="1"/>
  <c r="F120" i="2"/>
  <c r="G120" i="2"/>
  <c r="C122" i="2"/>
  <c r="F122" i="2"/>
  <c r="F136" i="2" s="1"/>
  <c r="F137" i="2" s="1"/>
  <c r="D126" i="2"/>
  <c r="D136" i="2" s="1"/>
  <c r="E126" i="2"/>
  <c r="F126" i="2"/>
  <c r="K411" i="1"/>
  <c r="K426" i="1" s="1"/>
  <c r="G126" i="2" s="1"/>
  <c r="G136" i="2" s="1"/>
  <c r="G137" i="2" s="1"/>
  <c r="K419" i="1"/>
  <c r="K425" i="1"/>
  <c r="L255" i="1"/>
  <c r="C127" i="2" s="1"/>
  <c r="E127" i="2"/>
  <c r="L256" i="1"/>
  <c r="C128" i="2" s="1"/>
  <c r="L257" i="1"/>
  <c r="C129" i="2" s="1"/>
  <c r="E129" i="2"/>
  <c r="C134" i="2"/>
  <c r="E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/>
  <c r="H490" i="1"/>
  <c r="D153" i="2" s="1"/>
  <c r="I490" i="1"/>
  <c r="E153" i="2" s="1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F155" i="2"/>
  <c r="G155" i="2"/>
  <c r="F493" i="1"/>
  <c r="B156" i="2"/>
  <c r="G493" i="1"/>
  <c r="C156" i="2"/>
  <c r="H493" i="1"/>
  <c r="D156" i="2" s="1"/>
  <c r="I493" i="1"/>
  <c r="E156" i="2" s="1"/>
  <c r="J493" i="1"/>
  <c r="F156" i="2" s="1"/>
  <c r="F19" i="1"/>
  <c r="G607" i="1" s="1"/>
  <c r="G19" i="1"/>
  <c r="H19" i="1"/>
  <c r="G609" i="1" s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G44" i="1"/>
  <c r="I44" i="1"/>
  <c r="H610" i="1" s="1"/>
  <c r="F169" i="1"/>
  <c r="I169" i="1"/>
  <c r="I184" i="1" s="1"/>
  <c r="F175" i="1"/>
  <c r="G175" i="1"/>
  <c r="H175" i="1"/>
  <c r="H184" i="1" s="1"/>
  <c r="I175" i="1"/>
  <c r="J175" i="1"/>
  <c r="G635" i="1" s="1"/>
  <c r="F180" i="1"/>
  <c r="G180" i="1"/>
  <c r="G184" i="1" s="1"/>
  <c r="H180" i="1"/>
  <c r="I180" i="1"/>
  <c r="F184" i="1"/>
  <c r="F203" i="1"/>
  <c r="F249" i="1" s="1"/>
  <c r="F263" i="1" s="1"/>
  <c r="G203" i="1"/>
  <c r="G249" i="1" s="1"/>
  <c r="G263" i="1" s="1"/>
  <c r="H203" i="1"/>
  <c r="H249" i="1" s="1"/>
  <c r="H263" i="1" s="1"/>
  <c r="I203" i="1"/>
  <c r="I249" i="1" s="1"/>
  <c r="I263" i="1" s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82" i="1"/>
  <c r="G282" i="1"/>
  <c r="H282" i="1"/>
  <c r="I282" i="1"/>
  <c r="I330" i="1" s="1"/>
  <c r="I344" i="1" s="1"/>
  <c r="F301" i="1"/>
  <c r="G301" i="1"/>
  <c r="G330" i="1" s="1"/>
  <c r="G344" i="1" s="1"/>
  <c r="H301" i="1"/>
  <c r="I301" i="1"/>
  <c r="F320" i="1"/>
  <c r="F330" i="1" s="1"/>
  <c r="F344" i="1" s="1"/>
  <c r="G320" i="1"/>
  <c r="H320" i="1"/>
  <c r="I320" i="1"/>
  <c r="F329" i="1"/>
  <c r="L329" i="1" s="1"/>
  <c r="G329" i="1"/>
  <c r="H329" i="1"/>
  <c r="I329" i="1"/>
  <c r="J329" i="1"/>
  <c r="K329" i="1"/>
  <c r="H330" i="1"/>
  <c r="H344" i="1" s="1"/>
  <c r="F354" i="1"/>
  <c r="G354" i="1"/>
  <c r="H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L374" i="1"/>
  <c r="G626" i="1" s="1"/>
  <c r="J626" i="1" s="1"/>
  <c r="F385" i="1"/>
  <c r="G385" i="1"/>
  <c r="H385" i="1"/>
  <c r="I385" i="1"/>
  <c r="F393" i="1"/>
  <c r="F400" i="1" s="1"/>
  <c r="H633" i="1" s="1"/>
  <c r="G393" i="1"/>
  <c r="H393" i="1"/>
  <c r="H400" i="1" s="1"/>
  <c r="H634" i="1" s="1"/>
  <c r="I393" i="1"/>
  <c r="F399" i="1"/>
  <c r="G399" i="1"/>
  <c r="H399" i="1"/>
  <c r="I399" i="1"/>
  <c r="I400" i="1" s="1"/>
  <c r="G400" i="1"/>
  <c r="H635" i="1" s="1"/>
  <c r="L405" i="1"/>
  <c r="L406" i="1"/>
  <c r="L407" i="1"/>
  <c r="L408" i="1"/>
  <c r="L409" i="1"/>
  <c r="L410" i="1"/>
  <c r="F411" i="1"/>
  <c r="F426" i="1" s="1"/>
  <c r="G411" i="1"/>
  <c r="H411" i="1"/>
  <c r="H426" i="1" s="1"/>
  <c r="I411" i="1"/>
  <c r="J411" i="1"/>
  <c r="J426" i="1" s="1"/>
  <c r="L411" i="1"/>
  <c r="L426" i="1" s="1"/>
  <c r="G628" i="1" s="1"/>
  <c r="J628" i="1" s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5" i="1" s="1"/>
  <c r="L422" i="1"/>
  <c r="L423" i="1"/>
  <c r="L424" i="1"/>
  <c r="F425" i="1"/>
  <c r="G425" i="1"/>
  <c r="H425" i="1"/>
  <c r="I425" i="1"/>
  <c r="J425" i="1"/>
  <c r="G426" i="1"/>
  <c r="I426" i="1"/>
  <c r="F438" i="1"/>
  <c r="G438" i="1"/>
  <c r="H438" i="1"/>
  <c r="G631" i="1" s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H631" i="1" s="1"/>
  <c r="F460" i="1"/>
  <c r="F466" i="1" s="1"/>
  <c r="H612" i="1" s="1"/>
  <c r="G460" i="1"/>
  <c r="H460" i="1"/>
  <c r="I460" i="1"/>
  <c r="I466" i="1" s="1"/>
  <c r="H615" i="1" s="1"/>
  <c r="J615" i="1" s="1"/>
  <c r="J460" i="1"/>
  <c r="F464" i="1"/>
  <c r="G464" i="1"/>
  <c r="G466" i="1" s="1"/>
  <c r="H613" i="1" s="1"/>
  <c r="I464" i="1"/>
  <c r="J464" i="1"/>
  <c r="J466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I514" i="1"/>
  <c r="J514" i="1"/>
  <c r="K514" i="1"/>
  <c r="G519" i="1"/>
  <c r="H519" i="1"/>
  <c r="I519" i="1"/>
  <c r="I535" i="1" s="1"/>
  <c r="J519" i="1"/>
  <c r="J535" i="1" s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I550" i="1"/>
  <c r="I561" i="1" s="1"/>
  <c r="J550" i="1"/>
  <c r="K550" i="1"/>
  <c r="L552" i="1"/>
  <c r="L553" i="1"/>
  <c r="L554" i="1"/>
  <c r="L555" i="1" s="1"/>
  <c r="F555" i="1"/>
  <c r="F561" i="1" s="1"/>
  <c r="G555" i="1"/>
  <c r="G561" i="1" s="1"/>
  <c r="H555" i="1"/>
  <c r="I555" i="1"/>
  <c r="J555" i="1"/>
  <c r="J561" i="1" s="1"/>
  <c r="K555" i="1"/>
  <c r="K561" i="1" s="1"/>
  <c r="L557" i="1"/>
  <c r="L560" i="1" s="1"/>
  <c r="L558" i="1"/>
  <c r="F560" i="1"/>
  <c r="G560" i="1"/>
  <c r="H560" i="1"/>
  <c r="H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4" i="1"/>
  <c r="K585" i="1"/>
  <c r="K586" i="1"/>
  <c r="K587" i="1"/>
  <c r="H588" i="1"/>
  <c r="H639" i="1" s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8" i="1"/>
  <c r="J608" i="1" s="1"/>
  <c r="H608" i="1"/>
  <c r="G610" i="1"/>
  <c r="J610" i="1" s="1"/>
  <c r="G612" i="1"/>
  <c r="J612" i="1" s="1"/>
  <c r="G613" i="1"/>
  <c r="G615" i="1"/>
  <c r="H616" i="1"/>
  <c r="H617" i="1"/>
  <c r="H618" i="1"/>
  <c r="H619" i="1"/>
  <c r="H620" i="1"/>
  <c r="H621" i="1"/>
  <c r="H622" i="1"/>
  <c r="G624" i="1"/>
  <c r="H625" i="1"/>
  <c r="H626" i="1"/>
  <c r="H627" i="1"/>
  <c r="H628" i="1"/>
  <c r="G629" i="1"/>
  <c r="J629" i="1" s="1"/>
  <c r="G630" i="1"/>
  <c r="J630" i="1" s="1"/>
  <c r="G633" i="1"/>
  <c r="J633" i="1" s="1"/>
  <c r="G634" i="1"/>
  <c r="J634" i="1" s="1"/>
  <c r="G640" i="1"/>
  <c r="J640" i="1" s="1"/>
  <c r="H641" i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I560" i="1"/>
  <c r="L559" i="1"/>
  <c r="K540" i="1" l="1"/>
  <c r="L519" i="1"/>
  <c r="G539" i="1"/>
  <c r="G542" i="1" s="1"/>
  <c r="J624" i="1"/>
  <c r="L561" i="1"/>
  <c r="J609" i="1"/>
  <c r="I185" i="1"/>
  <c r="G620" i="1" s="1"/>
  <c r="J620" i="1" s="1"/>
  <c r="C38" i="10"/>
  <c r="L534" i="1"/>
  <c r="J539" i="1"/>
  <c r="J542" i="1" s="1"/>
  <c r="K541" i="1"/>
  <c r="F542" i="1"/>
  <c r="K539" i="1"/>
  <c r="K542" i="1" s="1"/>
  <c r="G96" i="2"/>
  <c r="C36" i="10"/>
  <c r="C5" i="13"/>
  <c r="E96" i="2"/>
  <c r="J607" i="1"/>
  <c r="G153" i="2"/>
  <c r="C39" i="10"/>
  <c r="I653" i="1"/>
  <c r="C130" i="2"/>
  <c r="C133" i="2" s="1"/>
  <c r="C136" i="2" s="1"/>
  <c r="L400" i="1"/>
  <c r="E33" i="13"/>
  <c r="D35" i="13" s="1"/>
  <c r="C8" i="13"/>
  <c r="J635" i="1"/>
  <c r="F55" i="2"/>
  <c r="F96" i="2" s="1"/>
  <c r="G185" i="1"/>
  <c r="G618" i="1" s="1"/>
  <c r="J618" i="1" s="1"/>
  <c r="G654" i="1"/>
  <c r="D137" i="2"/>
  <c r="J19" i="1"/>
  <c r="G611" i="1" s="1"/>
  <c r="G9" i="2"/>
  <c r="G19" i="2" s="1"/>
  <c r="J638" i="1"/>
  <c r="J263" i="1"/>
  <c r="H638" i="1"/>
  <c r="G156" i="2"/>
  <c r="G73" i="2"/>
  <c r="D96" i="2"/>
  <c r="E43" i="2"/>
  <c r="G36" i="2"/>
  <c r="G42" i="2" s="1"/>
  <c r="G43" i="2" s="1"/>
  <c r="J43" i="1"/>
  <c r="H185" i="1"/>
  <c r="G619" i="1" s="1"/>
  <c r="J619" i="1" s="1"/>
  <c r="J613" i="1"/>
  <c r="J631" i="1"/>
  <c r="C43" i="2"/>
  <c r="F43" i="2"/>
  <c r="G22" i="2"/>
  <c r="G32" i="2" s="1"/>
  <c r="J33" i="1"/>
  <c r="F519" i="1"/>
  <c r="F535" i="1" s="1"/>
  <c r="K493" i="1"/>
  <c r="I438" i="1"/>
  <c r="G632" i="1" s="1"/>
  <c r="E110" i="2"/>
  <c r="E120" i="2" s="1"/>
  <c r="E137" i="2" s="1"/>
  <c r="C104" i="2"/>
  <c r="C10" i="10"/>
  <c r="F22" i="13"/>
  <c r="H623" i="1"/>
  <c r="J184" i="1"/>
  <c r="J185" i="1" s="1"/>
  <c r="E122" i="2"/>
  <c r="E136" i="2" s="1"/>
  <c r="C103" i="2"/>
  <c r="C21" i="10"/>
  <c r="L354" i="1"/>
  <c r="L514" i="1"/>
  <c r="L535" i="1" s="1"/>
  <c r="G639" i="1"/>
  <c r="J639" i="1" s="1"/>
  <c r="K490" i="1"/>
  <c r="C115" i="2"/>
  <c r="C48" i="2"/>
  <c r="C55" i="2" s="1"/>
  <c r="C96" i="2" s="1"/>
  <c r="C20" i="10"/>
  <c r="E13" i="13"/>
  <c r="C13" i="13" s="1"/>
  <c r="L604" i="1"/>
  <c r="I450" i="1"/>
  <c r="K330" i="1"/>
  <c r="K344" i="1" s="1"/>
  <c r="C102" i="2"/>
  <c r="C107" i="2" s="1"/>
  <c r="C19" i="10"/>
  <c r="H25" i="13"/>
  <c r="H652" i="1"/>
  <c r="H654" i="1" s="1"/>
  <c r="C18" i="10"/>
  <c r="F104" i="1"/>
  <c r="F185" i="1" s="1"/>
  <c r="G617" i="1" s="1"/>
  <c r="J617" i="1" s="1"/>
  <c r="G614" i="1"/>
  <c r="J614" i="1" s="1"/>
  <c r="G514" i="1"/>
  <c r="G535" i="1" s="1"/>
  <c r="L203" i="1"/>
  <c r="C17" i="10"/>
  <c r="L282" i="1"/>
  <c r="C113" i="2"/>
  <c r="F652" i="1"/>
  <c r="I652" i="1" s="1"/>
  <c r="C16" i="10"/>
  <c r="H637" i="1"/>
  <c r="J637" i="1" s="1"/>
  <c r="I444" i="1"/>
  <c r="C106" i="2"/>
  <c r="C15" i="10"/>
  <c r="C112" i="2"/>
  <c r="C120" i="2" s="1"/>
  <c r="C24" i="10"/>
  <c r="H662" i="1" l="1"/>
  <c r="C6" i="10" s="1"/>
  <c r="H657" i="1"/>
  <c r="G621" i="1"/>
  <c r="J621" i="1" s="1"/>
  <c r="G636" i="1"/>
  <c r="J636" i="1" s="1"/>
  <c r="D39" i="10"/>
  <c r="D38" i="10"/>
  <c r="I451" i="1"/>
  <c r="H632" i="1" s="1"/>
  <c r="J632" i="1"/>
  <c r="G627" i="1"/>
  <c r="J627" i="1" s="1"/>
  <c r="H636" i="1"/>
  <c r="G662" i="1"/>
  <c r="C5" i="10" s="1"/>
  <c r="G657" i="1"/>
  <c r="C41" i="10"/>
  <c r="D36" i="10" s="1"/>
  <c r="C25" i="13"/>
  <c r="H33" i="13"/>
  <c r="J611" i="1"/>
  <c r="G625" i="1"/>
  <c r="J625" i="1" s="1"/>
  <c r="C27" i="10"/>
  <c r="J44" i="1"/>
  <c r="H611" i="1" s="1"/>
  <c r="G616" i="1"/>
  <c r="J616" i="1" s="1"/>
  <c r="C137" i="2"/>
  <c r="L330" i="1"/>
  <c r="L344" i="1" s="1"/>
  <c r="G623" i="1" s="1"/>
  <c r="J623" i="1" s="1"/>
  <c r="D31" i="13"/>
  <c r="F650" i="1"/>
  <c r="L249" i="1"/>
  <c r="L263" i="1" s="1"/>
  <c r="G622" i="1" s="1"/>
  <c r="J622" i="1" s="1"/>
  <c r="C22" i="13"/>
  <c r="F33" i="13"/>
  <c r="C31" i="13" l="1"/>
  <c r="D33" i="13"/>
  <c r="D36" i="13" s="1"/>
  <c r="H646" i="1"/>
  <c r="D40" i="10"/>
  <c r="D35" i="10"/>
  <c r="D41" i="10" s="1"/>
  <c r="D37" i="10"/>
  <c r="C28" i="10"/>
  <c r="F654" i="1"/>
  <c r="I650" i="1"/>
  <c r="I654" i="1" s="1"/>
  <c r="D22" i="10" l="1"/>
  <c r="C30" i="10"/>
  <c r="D25" i="10"/>
  <c r="D11" i="10"/>
  <c r="D12" i="10"/>
  <c r="D23" i="10"/>
  <c r="D13" i="10"/>
  <c r="D26" i="10"/>
  <c r="D10" i="10"/>
  <c r="D17" i="10"/>
  <c r="D18" i="10"/>
  <c r="D16" i="10"/>
  <c r="D20" i="10"/>
  <c r="D15" i="10"/>
  <c r="D24" i="10"/>
  <c r="D19" i="10"/>
  <c r="D21" i="10"/>
  <c r="I657" i="1"/>
  <c r="I662" i="1"/>
  <c r="C7" i="10" s="1"/>
  <c r="F662" i="1"/>
  <c r="C4" i="10" s="1"/>
  <c r="F657" i="1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A509E2B-5BEB-43B9-8625-C113B8A6719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B8EF725-E489-4944-907A-12ACDB00E55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820D8E1-27F8-4AD3-B482-58BADC71CF8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EA0F88C-60E9-4CAA-B4D6-E23DCE999C0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EABC1CD-E1BC-43F1-9FCA-FA0B2A1C8A8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3A30C06-463E-4DF3-90F4-C1BC01D184F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56A57CE-B76C-4582-BE86-F0675D8101B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62B6748-9D94-433C-899C-A2CFCFFFA6C6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0F412E5-99D7-4619-ABCA-61FF6ADF800D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FFCB57E-AE9F-46B5-98DC-3122AA187E6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97D7547-E2C8-40E3-9C2F-1B5E03C32C6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518C337-CDF1-4449-B6C9-E77DE1EFEF0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<sst xmlns="http://schemas.openxmlformats.org/spreadsheetml/2006/main" count="3868" uniqueCount="903">
  <si>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</si>
  <si>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</si>
  <si>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</si>
  <si>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</si>
  <si>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</si>
  <si>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</si>
  <si>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</si>
  <si>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</si>
  <si>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</si>
  <si>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</si>
  <si>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</si>
  <si>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</si>
  <si>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</si>
  <si>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</si>
  <si>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</si>
  <si>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</si>
  <si>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</si>
  <si>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</si>
  <si>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</si>
  <si>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</si>
  <si>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</si>
  <si>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</si>
  <si>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</si>
  <si>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</si>
  <si>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</si>
  <si>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</si>
  <si>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</si>
  <si>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</si>
  <si>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</si>
  <si>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</si>
  <si>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</si>
  <si>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</si>
  <si>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</si>
  <si>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</si>
  <si>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</si>
  <si>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</si>
  <si>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</si>
  <si>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</si>
  <si>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</si>
  <si>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</si>
  <si>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</si>
  <si>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</si>
  <si>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</si>
  <si>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</si>
  <si>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</si>
  <si>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</si>
  <si>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</si>
  <si>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</si>
  <si>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</si>
  <si>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</si>
  <si>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</si>
  <si>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</si>
  <si>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</si>
  <si>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</si>
  <si>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</si>
  <si>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</si>
  <si>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</si>
  <si>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</si>
  <si>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</si>
  <si>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</si>
  <si>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</si>
  <si>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</si>
  <si>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</si>
  <si>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</si>
  <si>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</si>
  <si>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</si>
  <si>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</si>
  <si>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</si>
  <si>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</si>
  <si>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</si>
  <si>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</si>
  <si>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</si>
  <si>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</si>
  <si>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</si>
  <si>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</si>
  <si>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</si>
  <si>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</si>
  <si>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</si>
  <si>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</si>
  <si>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</si>
  <si>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</si>
  <si>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</si>
  <si>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</si>
  <si>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</si>
  <si>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</si>
  <si>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</si>
  <si>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</si>
  <si>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</si>
  <si>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</si>
  <si>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</si>
  <si>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</si>
  <si>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</si>
  <si>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</si>
  <si>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</si>
  <si>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</si>
  <si>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</si>
  <si>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</si>
  <si>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</si>
  <si>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</si>
  <si>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</si>
  <si>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</si>
  <si>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</si>
  <si>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</si>
  <si>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</si>
  <si>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</si>
  <si>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</si>
  <si>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</si>
  <si>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</si>
  <si>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</si>
  <si>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</si>
  <si>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</si>
  <si>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</si>
  <si>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</si>
  <si>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</si>
  <si>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</si>
  <si>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</si>
  <si>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</si>
  <si>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</si>
  <si>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</si>
  <si>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</si>
  <si>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</si>
  <si>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</si>
  <si>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</si>
  <si>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</si>
  <si>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</si>
  <si>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</si>
  <si>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</si>
  <si>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</si>
  <si>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</si>
  <si>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</si>
  <si>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</si>
  <si>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</si>
  <si>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</si>
  <si>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</si>
  <si>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</si>
  <si>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</si>
  <si>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</si>
  <si>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</si>
  <si>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</si>
  <si>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</si>
  <si>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</si>
  <si>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</si>
  <si>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</si>
  <si>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</si>
  <si>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</si>
  <si>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</si>
  <si>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</si>
  <si>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</si>
  <si>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</si>
  <si>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</si>
  <si>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</si>
  <si>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</si>
  <si>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</si>
  <si>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</si>
  <si>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</si>
  <si>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</si>
  <si>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</si>
  <si>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</si>
  <si>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</si>
  <si>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</si>
  <si>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</si>
  <si>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</si>
  <si>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</si>
  <si>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</si>
  <si>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</si>
  <si>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</si>
  <si>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</si>
  <si>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</si>
  <si>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</si>
  <si>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</si>
  <si>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</si>
  <si>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</si>
  <si>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</si>
  <si>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</si>
  <si>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</si>
  <si>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</si>
  <si>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</si>
  <si>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</si>
  <si>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</si>
  <si>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</si>
  <si>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</si>
  <si>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</si>
  <si>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</si>
  <si>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</si>
  <si>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</si>
  <si>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</si>
  <si>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</si>
  <si>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</si>
  <si>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</si>
  <si>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</si>
  <si>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</si>
  <si>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</si>
  <si>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</si>
  <si>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</si>
  <si>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</si>
  <si>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</si>
  <si>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</si>
  <si>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</si>
  <si>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</si>
  <si>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</si>
  <si>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</si>
  <si>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</si>
  <si>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</si>
  <si>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</si>
  <si>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</si>
  <si>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</si>
  <si>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</si>
  <si>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</si>
  <si>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</si>
  <si>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</si>
  <si>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</si>
  <si>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</si>
  <si>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</si>
  <si>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</si>
  <si>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</si>
  <si>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</si>
  <si>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</si>
  <si>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</si>
  <si>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</si>
  <si>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</si>
  <si>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</si>
  <si>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</si>
  <si>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</si>
  <si>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</si>
  <si>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</si>
  <si>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</si>
  <si>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</si>
  <si>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</si>
  <si>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</si>
  <si>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</si>
  <si>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</si>
  <si>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</si>
  <si>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</si>
  <si>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</si>
  <si>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</si>
  <si>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</si>
  <si>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</si>
  <si>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</si>
  <si>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</si>
  <si>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</si>
  <si>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</si>
  <si>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</si>
  <si>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</si>
  <si>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</si>
  <si>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</si>
  <si>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</si>
  <si>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</si>
  <si>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</si>
  <si>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</si>
  <si>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</si>
  <si>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</si>
  <si>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</si>
  <si>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</si>
  <si>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</si>
  <si>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</si>
  <si>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</si>
  <si>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</si>
  <si>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</si>
  <si>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</si>
  <si>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</si>
  <si>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</si>
  <si>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</si>
  <si>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</si>
  <si>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</si>
  <si>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</si>
  <si>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</si>
  <si>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</si>
  <si>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</si>
  <si>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</si>
  <si>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</si>
  <si>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</si>
  <si>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</si>
  <si>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</si>
  <si>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</si>
  <si>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</si>
  <si>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</si>
  <si>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</si>
  <si>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</si>
  <si>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</si>
  <si>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</si>
  <si>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</si>
  <si>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</si>
  <si>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</si>
  <si>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</si>
  <si>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</si>
  <si>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</si>
  <si>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</si>
  <si>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</si>
  <si>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</si>
  <si>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</si>
  <si>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</si>
  <si>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</si>
  <si>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</si>
  <si>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</si>
  <si>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</si>
  <si>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</si>
  <si>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</si>
  <si>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</si>
  <si>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</si>
  <si>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</si>
  <si>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</si>
  <si>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</si>
  <si>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</si>
  <si>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</si>
  <si>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</si>
  <si>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</si>
  <si>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</si>
  <si>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</si>
  <si>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</si>
  <si>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</si>
  <si>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</si>
  <si>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</si>
  <si>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</si>
  <si>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</si>
  <si>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</si>
  <si>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</si>
  <si>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</si>
  <si>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</si>
  <si>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</si>
  <si>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</si>
  <si>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</si>
  <si>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</si>
  <si>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</si>
  <si>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</si>
  <si>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</si>
  <si>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</si>
  <si>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</si>
  <si>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</si>
  <si>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</si>
  <si>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</si>
  <si>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</si>
  <si>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</si>
  <si>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</si>
  <si>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</si>
  <si>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</si>
  <si>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</si>
  <si>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</si>
  <si>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</si>
  <si>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</si>
  <si>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</si>
  <si>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</si>
  <si>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</si>
  <si>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</si>
  <si>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</si>
  <si>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</si>
  <si>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</si>
  <si>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</si>
  <si>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</si>
  <si>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</si>
  <si>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</si>
  <si>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</si>
  <si>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</si>
  <si>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</si>
  <si>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</si>
  <si>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</si>
  <si>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</si>
  <si>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</si>
  <si>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</si>
  <si>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</si>
  <si>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</si>
  <si>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</si>
  <si>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</si>
  <si>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</si>
  <si>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</si>
  <si>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</si>
  <si>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</si>
  <si>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</si>
  <si>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</si>
  <si>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</si>
  <si>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</si>
  <si>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</si>
  <si>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</si>
  <si>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</si>
  <si>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</si>
  <si>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</si>
  <si>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</si>
  <si>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</si>
  <si>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</si>
  <si>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</si>
  <si>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</si>
  <si>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</si>
  <si>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</si>
  <si>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</si>
  <si>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</si>
  <si>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</si>
  <si>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</si>
  <si>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</si>
  <si>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</si>
  <si>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</si>
  <si>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</si>
  <si>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</si>
  <si>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</si>
  <si>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</si>
  <si>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</si>
  <si>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</si>
  <si>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</si>
  <si>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</si>
  <si>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</si>
  <si>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</si>
  <si>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</si>
  <si>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</si>
  <si>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</si>
  <si>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</si>
  <si>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</si>
  <si>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</si>
  <si>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</si>
  <si>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</si>
  <si>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</si>
  <si>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</si>
  <si>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</si>
  <si>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</si>
  <si>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</si>
  <si>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</si>
  <si>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</si>
  <si>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</si>
  <si>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</si>
  <si>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</si>
  <si>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</si>
  <si>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</si>
  <si>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</si>
  <si>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</si>
  <si>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</si>
  <si>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</si>
  <si>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</si>
  <si>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</si>
  <si>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</si>
  <si>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</si>
  <si>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</si>
  <si>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</si>
  <si>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</si>
  <si>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</si>
  <si>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</si>
  <si>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</si>
  <si>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</si>
  <si>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</si>
  <si>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</si>
  <si>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</si>
  <si>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</si>
  <si>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</si>
  <si>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</si>
  <si>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</si>
  <si>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</si>
  <si>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</si>
  <si>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</si>
  <si>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</si>
  <si>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</si>
  <si>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</si>
  <si>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</si>
  <si>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</si>
  <si>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</si>
  <si>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</si>
  <si>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</si>
  <si>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</si>
  <si>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</si>
  <si>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</si>
  <si>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</si>
  <si>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</si>
  <si>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</si>
  <si>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</si>
  <si>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</si>
  <si>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</si>
  <si>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</si>
  <si>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</si>
  <si>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</si>
  <si>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</si>
  <si>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</si>
  <si>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</si>
  <si>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</si>
  <si>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</si>
  <si>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</si>
  <si>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</si>
  <si>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</si>
  <si>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</si>
  <si>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</si>
  <si>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</si>
  <si>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</si>
  <si>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</si>
  <si>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</si>
  <si>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</si>
  <si>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</si>
  <si>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</si>
  <si>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</si>
  <si>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</si>
  <si>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</si>
  <si>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</si>
  <si>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</si>
  <si>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</si>
  <si>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</si>
  <si>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</si>
  <si>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</si>
  <si>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</si>
  <si>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</si>
  <si>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</si>
  <si>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</si>
  <si>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</si>
  <si>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</si>
  <si>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</si>
  <si>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</si>
  <si>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</si>
  <si>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</si>
  <si>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</si>
  <si>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</si>
  <si>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</si>
  <si>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</si>
  <si>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</si>
  <si>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</si>
  <si>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</si>
  <si>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</si>
  <si>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</si>
  <si>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</si>
  <si>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</si>
  <si>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</si>
  <si>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</si>
  <si>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</si>
  <si>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</si>
  <si>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</si>
  <si>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</si>
  <si>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</si>
  <si>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</si>
  <si>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</si>
  <si>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</si>
  <si>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</si>
  <si>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</si>
  <si>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</si>
  <si>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</si>
  <si>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</si>
  <si>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</si>
  <si>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</si>
  <si>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</si>
  <si>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</si>
  <si>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</si>
  <si>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</si>
  <si>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</si>
  <si>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</si>
  <si>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</si>
  <si>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</si>
  <si>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</si>
  <si>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</si>
  <si>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</si>
  <si>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</si>
  <si>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</si>
  <si>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</si>
  <si>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</si>
  <si>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</si>
  <si>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</si>
  <si>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</si>
  <si>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</si>
  <si>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</si>
  <si>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</si>
  <si>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</si>
  <si>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</si>
  <si>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</si>
  <si>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</si>
  <si>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</si>
  <si>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</si>
  <si>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</si>
  <si>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</si>
  <si>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</si>
  <si>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</si>
  <si>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</si>
  <si>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</si>
  <si>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</si>
  <si>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</si>
  <si>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</si>
  <si>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</si>
  <si>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</si>
  <si>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</si>
  <si>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</si>
  <si>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</si>
  <si>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</si>
  <si>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</si>
  <si>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</si>
  <si>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</si>
  <si>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</si>
  <si>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</si>
  <si>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</si>
  <si>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</si>
  <si>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</si>
  <si>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</si>
  <si>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</si>
  <si>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</si>
  <si>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</si>
  <si>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</si>
  <si>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</si>
  <si>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</si>
  <si>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</si>
  <si>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</si>
  <si>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</si>
  <si>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</si>
  <si>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</si>
  <si>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</si>
  <si>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</si>
  <si>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</si>
  <si>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</si>
  <si>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</si>
  <si>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</si>
  <si>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</si>
  <si>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</si>
  <si>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</si>
  <si>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</si>
  <si>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</si>
  <si>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</si>
  <si>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</si>
  <si>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</si>
  <si>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</si>
  <si>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</si>
  <si>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</si>
  <si>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</si>
  <si>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</si>
  <si>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</si>
  <si>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</si>
  <si>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</si>
  <si>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</si>
  <si>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</si>
  <si>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</si>
  <si>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</si>
  <si>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</si>
  <si>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</si>
  <si>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</si>
  <si>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</si>
  <si>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</si>
  <si>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</si>
  <si>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</si>
  <si>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</si>
  <si>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</si>
  <si>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</si>
  <si>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</si>
  <si>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</si>
  <si>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</si>
  <si>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</si>
  <si>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</si>
  <si>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</si>
  <si>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</si>
  <si>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</si>
  <si>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</si>
  <si>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</si>
  <si>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</si>
  <si>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</si>
  <si>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</si>
  <si>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</si>
  <si>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</si>
  <si>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</si>
  <si>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</si>
  <si>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</si>
  <si>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</si>
  <si>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</si>
  <si>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</si>
  <si>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</si>
  <si>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</si>
  <si>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</si>
  <si>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</si>
  <si>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</si>
  <si>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</si>
  <si>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</si>
  <si>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</si>
  <si>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</si>
  <si>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</si>
  <si>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</si>
  <si>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</si>
  <si>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</si>
  <si>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</si>
  <si>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</si>
  <si>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</si>
  <si>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</si>
  <si>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</si>
  <si>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</si>
  <si>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</si>
  <si>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</si>
  <si>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</si>
  <si>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</si>
  <si>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</si>
  <si>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</si>
  <si>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</si>
  <si>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</si>
  <si>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</si>
  <si>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</si>
  <si>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</si>
  <si>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</si>
  <si>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</si>
  <si>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</si>
  <si>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</si>
  <si>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</si>
  <si>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</si>
  <si>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</si>
  <si>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</si>
  <si>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</si>
  <si>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</si>
  <si>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</si>
  <si>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</si>
  <si>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</si>
  <si>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</si>
  <si>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</si>
  <si>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</si>
  <si>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</si>
  <si>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</si>
  <si>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</si>
  <si>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</si>
  <si>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</si>
  <si>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</si>
  <si>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</si>
  <si>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</si>
  <si>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</si>
  <si>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</si>
  <si>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</si>
  <si>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</si>
  <si>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</si>
  <si>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</si>
  <si>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</si>
  <si>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</si>
  <si>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</si>
  <si>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</si>
  <si>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</si>
  <si>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</si>
  <si>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</si>
  <si>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</si>
  <si>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</si>
  <si>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</si>
  <si>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</si>
  <si>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</si>
  <si>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</si>
  <si>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</si>
  <si>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</si>
  <si>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</si>
  <si>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</si>
  <si>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</si>
  <si>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</si>
  <si>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</si>
  <si>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</si>
  <si>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</si>
  <si>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</si>
  <si>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</si>
  <si>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</si>
  <si>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</si>
  <si>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</si>
  <si>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</si>
  <si>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</si>
  <si>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</si>
  <si>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</si>
  <si>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</si>
  <si>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</si>
  <si>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</si>
  <si>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</si>
  <si>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</si>
  <si>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</si>
  <si>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</si>
  <si>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</si>
  <si>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</si>
  <si>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</si>
  <si>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</si>
  <si>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</si>
  <si>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</si>
  <si>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</si>
  <si>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</si>
  <si>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</si>
  <si>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</si>
  <si>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</si>
  <si>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</si>
  <si>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</si>
  <si>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</si>
  <si>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</si>
  <si>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</si>
  <si>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</si>
  <si>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</si>
  <si>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</si>
  <si>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</si>
  <si>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</si>
  <si>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</si>
  <si>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</si>
  <si>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</si>
  <si>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</si>
  <si>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</si>
  <si>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</si>
  <si>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</si>
  <si>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</si>
  <si>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</si>
  <si>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</si>
  <si>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</si>
  <si>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</si>
  <si>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</si>
  <si>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</si>
  <si>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</si>
  <si>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</si>
  <si>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</si>
  <si>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</si>
  <si>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</si>
  <si>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</si>
  <si>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</si>
  <si>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</si>
  <si>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</si>
  <si>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</si>
  <si>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</si>
  <si>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</si>
  <si>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</si>
  <si>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</si>
  <si>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</si>
  <si>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</si>
  <si>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</si>
  <si>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</si>
  <si>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</si>
  <si>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</si>
  <si>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</si>
  <si>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</si>
  <si>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</si>
  <si>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</si>
  <si>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</si>
  <si>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</si>
  <si>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</si>
  <si>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</si>
  <si>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</si>
  <si>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</si>
  <si>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</si>
  <si>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</si>
  <si>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</si>
  <si>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</si>
  <si>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</si>
  <si>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</si>
  <si>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</si>
  <si>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</si>
  <si>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</si>
  <si>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</si>
  <si>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</si>
  <si>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</si>
  <si>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</si>
  <si>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</si>
  <si>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</si>
  <si>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</si>
  <si>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</si>
  <si>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</si>
  <si>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</si>
  <si>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</si>
  <si>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</si>
  <si>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</si>
  <si>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</si>
  <si>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</si>
  <si>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</si>
  <si>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</si>
  <si>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</si>
  <si>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</si>
  <si>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</si>
  <si>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</si>
  <si>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</si>
  <si>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</si>
  <si>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</si>
  <si>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</si>
  <si>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</si>
  <si>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</si>
  <si>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</si>
  <si>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</si>
  <si>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</si>
  <si>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</si>
  <si>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</si>
  <si>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</si>
  <si>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</si>
  <si>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</si>
  <si>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</si>
  <si>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</si>
  <si>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</si>
  <si>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</si>
  <si>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</si>
  <si>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</si>
  <si>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</si>
  <si>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</si>
  <si>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</si>
  <si>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</si>
  <si>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</si>
  <si>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</si>
  <si>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</si>
  <si>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</si>
  <si>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</si>
  <si>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</si>
  <si>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</si>
  <si>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</si>
  <si>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</si>
  <si>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</si>
  <si>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</si>
  <si>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</si>
  <si>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</si>
  <si>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</si>
  <si>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</si>
  <si>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</si>
  <si>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</si>
  <si>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</si>
  <si>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</si>
  <si>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</si>
  <si>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</si>
  <si>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</si>
  <si>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</si>
  <si>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</si>
  <si>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</si>
  <si>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</si>
  <si>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</si>
  <si>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</si>
  <si>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</si>
  <si>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</si>
  <si>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11/02</t>
  </si>
  <si>
    <t>11/12</t>
  </si>
  <si>
    <t>7/05</t>
  </si>
  <si>
    <t>8/15</t>
  </si>
  <si>
    <t>7/06</t>
  </si>
  <si>
    <t>8/21</t>
  </si>
  <si>
    <t>Private Purpose Trusts (Scholarships)</t>
  </si>
  <si>
    <t>Permanent Funds</t>
  </si>
  <si>
    <t>Jaffrey-Rindge Coop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</si>
</sst>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18FF-419B-44F1-9AD3-64E22F71D53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274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532761.1+4000</f>
        <v>536761.1</v>
      </c>
      <c r="G9" s="18">
        <v>1925.35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2878813.2800000003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352178.49</v>
      </c>
      <c r="G12" s="18">
        <v>82.41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29499.26</v>
      </c>
      <c r="G13" s="18">
        <v>53138.49</v>
      </c>
      <c r="H13" s="18">
        <v>352260.9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6043.58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18926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3000</v>
      </c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946408.42999999993</v>
      </c>
      <c r="G19" s="41">
        <f>SUM(G9:G18)</f>
        <v>55146.25</v>
      </c>
      <c r="H19" s="41">
        <f>SUM(H9:H18)</f>
        <v>352260.9</v>
      </c>
      <c r="I19" s="41">
        <f>SUM(I9:I18)</f>
        <v>0</v>
      </c>
      <c r="J19" s="41">
        <f>SUM(J9:J18)</f>
        <v>2878813.2800000003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352260.9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25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108170.39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>
        <v>45227.42</v>
      </c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33510.699999999997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2563.57+3325.88</f>
        <v>5889.4500000000007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9553.89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147595.54</v>
      </c>
      <c r="G33" s="41">
        <f>SUM(G23:G32)</f>
        <v>54781.31</v>
      </c>
      <c r="H33" s="41">
        <f>SUM(H23:H32)</f>
        <v>352260.9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19515.04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167689.37</v>
      </c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364.94</v>
      </c>
      <c r="H41" s="18"/>
      <c r="I41" s="18"/>
      <c r="J41" s="13">
        <f>SUM(I449)</f>
        <v>2878813.2800000003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611608.48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798812.89</v>
      </c>
      <c r="G43" s="41">
        <f>SUM(G35:G42)</f>
        <v>364.94</v>
      </c>
      <c r="H43" s="41">
        <f>SUM(H35:H42)</f>
        <v>0</v>
      </c>
      <c r="I43" s="41">
        <f>SUM(I35:I42)</f>
        <v>0</v>
      </c>
      <c r="J43" s="41">
        <f>SUM(J35:J42)</f>
        <v>2878813.2800000003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946408.43</v>
      </c>
      <c r="G44" s="41">
        <f>G43+G33</f>
        <v>55146.25</v>
      </c>
      <c r="H44" s="41">
        <f>H43+H33</f>
        <v>352260.9</v>
      </c>
      <c r="I44" s="41">
        <f>I43+I33</f>
        <v>0</v>
      </c>
      <c r="J44" s="41">
        <f>J43+J33</f>
        <v>2878813.2800000003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13211465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13211465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14762.5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150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9785.92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24698.42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917.96</v>
      </c>
      <c r="G88" s="18"/>
      <c r="H88" s="18"/>
      <c r="I88" s="18"/>
      <c r="J88" s="18">
        <v>44877.79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295571.07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3420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>
        <v>460000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77886.429999999993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82224.39</v>
      </c>
      <c r="G103" s="41">
        <f>SUM(G88:G102)</f>
        <v>295571.07</v>
      </c>
      <c r="H103" s="41">
        <f>SUM(H88:H102)</f>
        <v>0</v>
      </c>
      <c r="I103" s="41">
        <f>SUM(I88:I102)</f>
        <v>0</v>
      </c>
      <c r="J103" s="41">
        <f>SUM(J88:J102)</f>
        <v>504877.79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13318387.810000001</v>
      </c>
      <c r="G104" s="41">
        <f>G52+G103</f>
        <v>295571.07</v>
      </c>
      <c r="H104" s="41">
        <f>H52+H71+H86+H103</f>
        <v>0</v>
      </c>
      <c r="I104" s="41">
        <f>I52+I103</f>
        <v>0</v>
      </c>
      <c r="J104" s="41">
        <f>J52+J103</f>
        <v>504877.79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4994296.29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2400579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181141.71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7576017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434456.18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185252.26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10122.39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>
        <v>5364.43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7665.63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20400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650230.82999999996</v>
      </c>
      <c r="G128" s="41">
        <f>SUM(G115:G127)</f>
        <v>7665.63</v>
      </c>
      <c r="H128" s="41">
        <f>SUM(H115:H127)</f>
        <v>5364.43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8226247.8300000001</v>
      </c>
      <c r="G132" s="41">
        <f>G113+SUM(G128:G129)</f>
        <v>7665.63</v>
      </c>
      <c r="H132" s="41">
        <f>H113+SUM(H128:H131)</f>
        <v>5364.43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518008.77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144196.34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257830.86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554864.46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110041.38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110041.38</v>
      </c>
      <c r="G154" s="41">
        <f>SUM(G142:G153)</f>
        <v>257830.86</v>
      </c>
      <c r="H154" s="41">
        <f>SUM(H142:H153)</f>
        <v>1217069.5699999998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110041.38</v>
      </c>
      <c r="G161" s="41">
        <f>G139+G154+SUM(G155:G160)</f>
        <v>257830.86</v>
      </c>
      <c r="H161" s="41">
        <f>H139+H154+SUM(H155:H160)</f>
        <v>1217069.5699999998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70500</v>
      </c>
      <c r="H171" s="18"/>
      <c r="I171" s="18"/>
      <c r="J171" s="18">
        <v>159000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23936.92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23936.92</v>
      </c>
      <c r="G175" s="41">
        <f>SUM(G171:G174)</f>
        <v>70500</v>
      </c>
      <c r="H175" s="41">
        <f>SUM(H171:H174)</f>
        <v>0</v>
      </c>
      <c r="I175" s="41">
        <f>SUM(I171:I174)</f>
        <v>0</v>
      </c>
      <c r="J175" s="41">
        <f>SUM(J171:J174)</f>
        <v>159000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23936.92</v>
      </c>
      <c r="G184" s="41">
        <f>G175+SUM(G180:G183)</f>
        <v>70500</v>
      </c>
      <c r="H184" s="41">
        <f>+H175+SUM(H180:H183)</f>
        <v>0</v>
      </c>
      <c r="I184" s="41">
        <f>I169+I175+SUM(I180:I183)</f>
        <v>0</v>
      </c>
      <c r="J184" s="41">
        <f>J175</f>
        <v>159000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21678613.940000001</v>
      </c>
      <c r="G185" s="47">
        <f>G104+G132+G161+G184</f>
        <v>631567.56000000006</v>
      </c>
      <c r="H185" s="47">
        <f>H104+H132+H161+H184</f>
        <v>1222433.9999999998</v>
      </c>
      <c r="I185" s="47">
        <f>I104+I132+I161+I184</f>
        <v>0</v>
      </c>
      <c r="J185" s="47">
        <f>J104+J132+J184</f>
        <v>663877.79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2526115.62</v>
      </c>
      <c r="G189" s="18">
        <v>802148.74</v>
      </c>
      <c r="H189" s="18">
        <v>24894.13</v>
      </c>
      <c r="I189" s="18">
        <v>110479.52</v>
      </c>
      <c r="J189" s="18">
        <v>5037.53</v>
      </c>
      <c r="K189" s="18"/>
      <c r="L189" s="19">
        <f>SUM(F189:K189)</f>
        <v>3468675.54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1182331.23</v>
      </c>
      <c r="G190" s="18">
        <v>522995.85</v>
      </c>
      <c r="H190" s="18">
        <v>208948.77</v>
      </c>
      <c r="I190" s="18">
        <v>24392.38</v>
      </c>
      <c r="J190" s="18">
        <v>1744.15</v>
      </c>
      <c r="K190" s="18">
        <v>5837.3</v>
      </c>
      <c r="L190" s="19">
        <f>SUM(F190:K190)</f>
        <v>1946249.68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80651.92</v>
      </c>
      <c r="G192" s="18">
        <v>12172.75</v>
      </c>
      <c r="H192" s="18"/>
      <c r="I192" s="18">
        <v>926.53</v>
      </c>
      <c r="J192" s="18"/>
      <c r="K192" s="18">
        <v>645</v>
      </c>
      <c r="L192" s="19">
        <f>SUM(F192:K192)</f>
        <v>94396.2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368050.04</v>
      </c>
      <c r="G194" s="18">
        <v>162646.53</v>
      </c>
      <c r="H194" s="18">
        <v>7077.38</v>
      </c>
      <c r="I194" s="18">
        <v>6459.56</v>
      </c>
      <c r="J194" s="18"/>
      <c r="K194" s="18"/>
      <c r="L194" s="19">
        <f t="shared" ref="L194:L200" si="0">SUM(F194:K194)</f>
        <v>544233.51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168802.22</v>
      </c>
      <c r="G195" s="18">
        <v>41383.14</v>
      </c>
      <c r="H195" s="18">
        <v>24049.22</v>
      </c>
      <c r="I195" s="18">
        <v>31662.37</v>
      </c>
      <c r="J195" s="18"/>
      <c r="K195" s="18">
        <v>3204</v>
      </c>
      <c r="L195" s="19">
        <f t="shared" si="0"/>
        <v>269100.95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79251.75</v>
      </c>
      <c r="G196" s="18">
        <v>16960.98</v>
      </c>
      <c r="H196" s="18">
        <v>27077.82</v>
      </c>
      <c r="I196" s="18">
        <v>640.64</v>
      </c>
      <c r="J196" s="18"/>
      <c r="K196" s="18">
        <v>3714.8</v>
      </c>
      <c r="L196" s="19">
        <f t="shared" si="0"/>
        <v>127645.98999999999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307913.31</v>
      </c>
      <c r="G197" s="18">
        <v>135066.82999999999</v>
      </c>
      <c r="H197" s="18">
        <v>8765.16</v>
      </c>
      <c r="I197" s="18">
        <v>2037.08</v>
      </c>
      <c r="J197" s="18">
        <v>4538.87</v>
      </c>
      <c r="K197" s="18">
        <v>7003.25</v>
      </c>
      <c r="L197" s="19">
        <f t="shared" si="0"/>
        <v>465324.5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91354.61</v>
      </c>
      <c r="G198" s="18">
        <v>45619.95</v>
      </c>
      <c r="H198" s="18">
        <v>44675.44</v>
      </c>
      <c r="I198" s="18">
        <v>6187.86</v>
      </c>
      <c r="J198" s="18">
        <v>5907.48</v>
      </c>
      <c r="K198" s="18">
        <v>2025.9</v>
      </c>
      <c r="L198" s="19">
        <f t="shared" si="0"/>
        <v>195771.24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253910.69</v>
      </c>
      <c r="G199" s="18">
        <v>136570.64000000001</v>
      </c>
      <c r="H199" s="18">
        <v>175945.41</v>
      </c>
      <c r="I199" s="18">
        <v>217145.29</v>
      </c>
      <c r="J199" s="18">
        <v>25612.68</v>
      </c>
      <c r="K199" s="18">
        <v>90</v>
      </c>
      <c r="L199" s="19">
        <f t="shared" si="0"/>
        <v>809274.71000000008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366353.07</v>
      </c>
      <c r="I200" s="18">
        <v>62444.03</v>
      </c>
      <c r="J200" s="18"/>
      <c r="K200" s="18"/>
      <c r="L200" s="19">
        <f t="shared" si="0"/>
        <v>428797.1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62120.53</v>
      </c>
      <c r="G201" s="18">
        <v>16523.509999999998</v>
      </c>
      <c r="H201" s="18">
        <v>47519.69</v>
      </c>
      <c r="I201" s="18">
        <v>61570.43</v>
      </c>
      <c r="J201" s="18">
        <v>36138.839999999997</v>
      </c>
      <c r="K201" s="18"/>
      <c r="L201" s="19">
        <f>SUM(F201:K201)</f>
        <v>223873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5120501.9200000009</v>
      </c>
      <c r="G203" s="41">
        <f t="shared" si="1"/>
        <v>1892088.9199999997</v>
      </c>
      <c r="H203" s="41">
        <f t="shared" si="1"/>
        <v>935306.08999999985</v>
      </c>
      <c r="I203" s="41">
        <f t="shared" si="1"/>
        <v>523945.69</v>
      </c>
      <c r="J203" s="41">
        <f t="shared" si="1"/>
        <v>78979.549999999988</v>
      </c>
      <c r="K203" s="41">
        <f t="shared" si="1"/>
        <v>22520.25</v>
      </c>
      <c r="L203" s="41">
        <f t="shared" si="1"/>
        <v>8573342.4199999999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1095917</v>
      </c>
      <c r="G207" s="18">
        <v>439355.64</v>
      </c>
      <c r="H207" s="18">
        <v>10501.57</v>
      </c>
      <c r="I207" s="18">
        <v>50618.61</v>
      </c>
      <c r="J207" s="18">
        <v>240</v>
      </c>
      <c r="K207" s="18"/>
      <c r="L207" s="19">
        <f>SUM(F207:K207)</f>
        <v>1596632.8200000003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536384.13</v>
      </c>
      <c r="G208" s="18">
        <v>231306.73</v>
      </c>
      <c r="H208" s="18">
        <v>302198.57</v>
      </c>
      <c r="I208" s="18">
        <v>9095.7900000000009</v>
      </c>
      <c r="J208" s="18">
        <v>1941.39</v>
      </c>
      <c r="K208" s="18">
        <v>5749.2</v>
      </c>
      <c r="L208" s="19">
        <f>SUM(F208:K208)</f>
        <v>1086675.8099999998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132065.5</v>
      </c>
      <c r="G209" s="18">
        <v>38638.19</v>
      </c>
      <c r="H209" s="18">
        <v>545.25</v>
      </c>
      <c r="I209" s="18">
        <v>6266.45</v>
      </c>
      <c r="J209" s="18"/>
      <c r="K209" s="18"/>
      <c r="L209" s="19">
        <f>SUM(F209:K209)</f>
        <v>177515.39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29313.97</v>
      </c>
      <c r="G210" s="18">
        <v>3843.8</v>
      </c>
      <c r="H210" s="18">
        <v>2485</v>
      </c>
      <c r="I210" s="18">
        <v>2172.3000000000002</v>
      </c>
      <c r="J210" s="18"/>
      <c r="K210" s="18">
        <v>750</v>
      </c>
      <c r="L210" s="19">
        <f>SUM(F210:K210)</f>
        <v>38565.070000000007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260149.44</v>
      </c>
      <c r="G212" s="18">
        <v>83076.759999999995</v>
      </c>
      <c r="H212" s="18">
        <v>6576.63</v>
      </c>
      <c r="I212" s="18">
        <v>4186.7299999999996</v>
      </c>
      <c r="J212" s="18"/>
      <c r="K212" s="18">
        <v>40</v>
      </c>
      <c r="L212" s="19">
        <f t="shared" ref="L212:L218" si="2">SUM(F212:K212)</f>
        <v>354029.56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84144.83</v>
      </c>
      <c r="G213" s="18">
        <v>28910.560000000001</v>
      </c>
      <c r="H213" s="18">
        <v>11757.38</v>
      </c>
      <c r="I213" s="18">
        <v>16027.5</v>
      </c>
      <c r="J213" s="18">
        <v>179.99</v>
      </c>
      <c r="K213" s="18">
        <v>1566.4</v>
      </c>
      <c r="L213" s="19">
        <f t="shared" si="2"/>
        <v>142586.66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38745.300000000003</v>
      </c>
      <c r="G214" s="18">
        <v>8292</v>
      </c>
      <c r="H214" s="18">
        <v>13238.04</v>
      </c>
      <c r="I214" s="18">
        <v>313.2</v>
      </c>
      <c r="J214" s="18"/>
      <c r="K214" s="18">
        <v>1816.13</v>
      </c>
      <c r="L214" s="19">
        <f t="shared" si="2"/>
        <v>62404.67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210142.39</v>
      </c>
      <c r="G215" s="18">
        <v>87735.92</v>
      </c>
      <c r="H215" s="18">
        <v>7629.18</v>
      </c>
      <c r="I215" s="18">
        <v>1146.48</v>
      </c>
      <c r="J215" s="18">
        <v>10326.42</v>
      </c>
      <c r="K215" s="18">
        <v>1436.75</v>
      </c>
      <c r="L215" s="19">
        <f t="shared" si="2"/>
        <v>318417.13999999996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44662.25</v>
      </c>
      <c r="G216" s="18">
        <v>22303.1</v>
      </c>
      <c r="H216" s="18">
        <v>21841.32</v>
      </c>
      <c r="I216" s="18">
        <v>3025.18</v>
      </c>
      <c r="J216" s="18">
        <v>2888.1</v>
      </c>
      <c r="K216" s="18">
        <v>990.44</v>
      </c>
      <c r="L216" s="19">
        <f t="shared" si="2"/>
        <v>95710.390000000014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150516.54999999999</v>
      </c>
      <c r="G217" s="18">
        <v>53612.98</v>
      </c>
      <c r="H217" s="18">
        <v>99648.84</v>
      </c>
      <c r="I217" s="18">
        <v>168166.92</v>
      </c>
      <c r="J217" s="18">
        <v>12521.75</v>
      </c>
      <c r="K217" s="18">
        <v>44</v>
      </c>
      <c r="L217" s="19">
        <f t="shared" si="2"/>
        <v>484511.04000000004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256617.89</v>
      </c>
      <c r="I218" s="18">
        <v>30528.19</v>
      </c>
      <c r="J218" s="18"/>
      <c r="K218" s="18"/>
      <c r="L218" s="19">
        <f t="shared" si="2"/>
        <v>287146.08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30370.04</v>
      </c>
      <c r="G219" s="18">
        <v>8078.17</v>
      </c>
      <c r="H219" s="18">
        <v>23231.85</v>
      </c>
      <c r="I219" s="18">
        <v>32343.78</v>
      </c>
      <c r="J219" s="18">
        <v>29255.49</v>
      </c>
      <c r="K219" s="18"/>
      <c r="L219" s="19">
        <f>SUM(F219:K219)</f>
        <v>123279.33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2612411.3999999994</v>
      </c>
      <c r="G221" s="41">
        <f>SUM(G207:G220)</f>
        <v>1005153.8500000002</v>
      </c>
      <c r="H221" s="41">
        <f>SUM(H207:H220)</f>
        <v>756271.52</v>
      </c>
      <c r="I221" s="41">
        <f>SUM(I207:I220)</f>
        <v>323891.13</v>
      </c>
      <c r="J221" s="41">
        <f>SUM(J207:J220)</f>
        <v>57353.14</v>
      </c>
      <c r="K221" s="41">
        <f t="shared" si="3"/>
        <v>12392.92</v>
      </c>
      <c r="L221" s="41">
        <f t="shared" si="3"/>
        <v>4767473.9600000009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1442277.86</v>
      </c>
      <c r="G225" s="18">
        <v>561053.35</v>
      </c>
      <c r="H225" s="18">
        <v>12580.75</v>
      </c>
      <c r="I225" s="18">
        <v>78738.95</v>
      </c>
      <c r="J225" s="18">
        <v>3997.33</v>
      </c>
      <c r="K225" s="18">
        <v>7296.53</v>
      </c>
      <c r="L225" s="19">
        <f>SUM(F225:K225)</f>
        <v>2105944.7699999996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821116.75</v>
      </c>
      <c r="G226" s="18">
        <v>309469.42</v>
      </c>
      <c r="H226" s="18">
        <v>521794.02</v>
      </c>
      <c r="I226" s="18">
        <v>12403.67</v>
      </c>
      <c r="J226" s="18">
        <v>2195.08</v>
      </c>
      <c r="K226" s="18">
        <v>5791.37</v>
      </c>
      <c r="L226" s="19">
        <f>SUM(F226:K226)</f>
        <v>1672770.31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196223.18</v>
      </c>
      <c r="G227" s="18">
        <v>72243.210000000006</v>
      </c>
      <c r="H227" s="18">
        <v>38239.93</v>
      </c>
      <c r="I227" s="18">
        <v>46143.25</v>
      </c>
      <c r="J227" s="18">
        <v>4834</v>
      </c>
      <c r="K227" s="18"/>
      <c r="L227" s="19">
        <f>SUM(F227:K227)</f>
        <v>357683.57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89225.7</v>
      </c>
      <c r="G228" s="18">
        <v>10645.62</v>
      </c>
      <c r="H228" s="18">
        <v>43158.1</v>
      </c>
      <c r="I228" s="18">
        <v>16116.18</v>
      </c>
      <c r="J228" s="18">
        <v>686.55</v>
      </c>
      <c r="K228" s="18">
        <v>7075</v>
      </c>
      <c r="L228" s="19">
        <f>SUM(F228:K228)</f>
        <v>166907.14999999997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389344.04</v>
      </c>
      <c r="G230" s="18">
        <v>105572.78</v>
      </c>
      <c r="H230" s="18">
        <v>7615.53</v>
      </c>
      <c r="I230" s="18">
        <v>6850.72</v>
      </c>
      <c r="J230" s="18">
        <v>1687.93</v>
      </c>
      <c r="K230" s="18"/>
      <c r="L230" s="19">
        <f t="shared" ref="L230:L236" si="4">SUM(F230:K230)</f>
        <v>511070.99999999994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112073.59</v>
      </c>
      <c r="G231" s="18">
        <v>34241.089999999997</v>
      </c>
      <c r="H231" s="18">
        <v>17686.89</v>
      </c>
      <c r="I231" s="18">
        <v>22739.32</v>
      </c>
      <c r="J231" s="18"/>
      <c r="K231" s="18">
        <v>2349.6</v>
      </c>
      <c r="L231" s="19">
        <f t="shared" si="4"/>
        <v>189090.49000000002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58117.95</v>
      </c>
      <c r="G232" s="18">
        <v>12438.06</v>
      </c>
      <c r="H232" s="18">
        <v>19857.07</v>
      </c>
      <c r="I232" s="18">
        <v>469.8</v>
      </c>
      <c r="J232" s="18"/>
      <c r="K232" s="18">
        <v>2724.19</v>
      </c>
      <c r="L232" s="19">
        <f t="shared" si="4"/>
        <v>93607.069999999992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249021.43</v>
      </c>
      <c r="G233" s="18">
        <v>77658.78</v>
      </c>
      <c r="H233" s="18">
        <v>10911.9</v>
      </c>
      <c r="I233" s="18">
        <v>941.71</v>
      </c>
      <c r="J233" s="18">
        <v>1371.25</v>
      </c>
      <c r="K233" s="18">
        <v>2974.55</v>
      </c>
      <c r="L233" s="19">
        <f t="shared" si="4"/>
        <v>342879.62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66993.38</v>
      </c>
      <c r="G234" s="18">
        <v>33454.629999999997</v>
      </c>
      <c r="H234" s="18">
        <v>34420.44</v>
      </c>
      <c r="I234" s="18">
        <v>4537.76</v>
      </c>
      <c r="J234" s="18">
        <v>4332.1499999999996</v>
      </c>
      <c r="K234" s="18">
        <v>1485.66</v>
      </c>
      <c r="L234" s="19">
        <f t="shared" si="4"/>
        <v>145224.02000000002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180682.09</v>
      </c>
      <c r="G235" s="18">
        <v>78994.42</v>
      </c>
      <c r="H235" s="18">
        <v>189194.07</v>
      </c>
      <c r="I235" s="18">
        <v>152226.9</v>
      </c>
      <c r="J235" s="18">
        <v>18782.63</v>
      </c>
      <c r="K235" s="18">
        <v>66</v>
      </c>
      <c r="L235" s="19">
        <f t="shared" si="4"/>
        <v>619946.11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538200.22</v>
      </c>
      <c r="I236" s="18">
        <v>45792.29</v>
      </c>
      <c r="J236" s="18"/>
      <c r="K236" s="18"/>
      <c r="L236" s="19">
        <f t="shared" si="4"/>
        <v>583992.51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45555.05</v>
      </c>
      <c r="G237" s="18">
        <v>12117.24</v>
      </c>
      <c r="H237" s="18">
        <v>34847.769999999997</v>
      </c>
      <c r="I237" s="18">
        <v>59123.38</v>
      </c>
      <c r="J237" s="18">
        <v>21587.55</v>
      </c>
      <c r="K237" s="18"/>
      <c r="L237" s="19">
        <f>SUM(F237:K237)</f>
        <v>173230.99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3650631.0200000005</v>
      </c>
      <c r="G239" s="41">
        <f t="shared" si="5"/>
        <v>1307888.5999999999</v>
      </c>
      <c r="H239" s="41">
        <f t="shared" si="5"/>
        <v>1468506.6900000002</v>
      </c>
      <c r="I239" s="41">
        <f t="shared" si="5"/>
        <v>446083.93</v>
      </c>
      <c r="J239" s="41">
        <f t="shared" si="5"/>
        <v>59474.47</v>
      </c>
      <c r="K239" s="41">
        <f t="shared" si="5"/>
        <v>29762.899999999998</v>
      </c>
      <c r="L239" s="41">
        <f t="shared" si="5"/>
        <v>6962347.6100000003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7800</v>
      </c>
      <c r="I247" s="18"/>
      <c r="J247" s="18"/>
      <c r="K247" s="18"/>
      <c r="L247" s="19">
        <f t="shared" si="6"/>
        <v>7800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7800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7800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11383544.34</v>
      </c>
      <c r="G249" s="41">
        <f t="shared" si="8"/>
        <v>4205131.37</v>
      </c>
      <c r="H249" s="41">
        <f t="shared" si="8"/>
        <v>3167884.3</v>
      </c>
      <c r="I249" s="41">
        <f t="shared" si="8"/>
        <v>1293920.75</v>
      </c>
      <c r="J249" s="41">
        <f t="shared" si="8"/>
        <v>195807.16</v>
      </c>
      <c r="K249" s="41">
        <f t="shared" si="8"/>
        <v>64676.069999999992</v>
      </c>
      <c r="L249" s="41">
        <f t="shared" si="8"/>
        <v>20310963.990000002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815000</v>
      </c>
      <c r="L252" s="19">
        <f>SUM(F252:K252)</f>
        <v>815000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364565</v>
      </c>
      <c r="L253" s="19">
        <f>SUM(F253:K253)</f>
        <v>364565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70500</v>
      </c>
      <c r="L255" s="19">
        <f>SUM(F255:K255)</f>
        <v>70500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159000</v>
      </c>
      <c r="L258" s="19">
        <f t="shared" si="9"/>
        <v>159000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1409065</v>
      </c>
      <c r="L262" s="41">
        <f t="shared" si="9"/>
        <v>1409065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11383544.34</v>
      </c>
      <c r="G263" s="42">
        <f t="shared" si="11"/>
        <v>4205131.37</v>
      </c>
      <c r="H263" s="42">
        <f t="shared" si="11"/>
        <v>3167884.3</v>
      </c>
      <c r="I263" s="42">
        <f t="shared" si="11"/>
        <v>1293920.75</v>
      </c>
      <c r="J263" s="42">
        <f t="shared" si="11"/>
        <v>195807.16</v>
      </c>
      <c r="K263" s="42">
        <f t="shared" si="11"/>
        <v>1473741.07</v>
      </c>
      <c r="L263" s="42">
        <f t="shared" si="11"/>
        <v>21720028.990000002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248045.31</v>
      </c>
      <c r="G268" s="18">
        <v>75088.91</v>
      </c>
      <c r="H268" s="18">
        <v>11444.34</v>
      </c>
      <c r="I268" s="18">
        <v>24874.83</v>
      </c>
      <c r="J268" s="18">
        <v>106215.64</v>
      </c>
      <c r="K268" s="18"/>
      <c r="L268" s="19">
        <f>SUM(F268:K268)</f>
        <v>465669.03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78507.009999999995</v>
      </c>
      <c r="G269" s="18">
        <v>17555.55</v>
      </c>
      <c r="H269" s="18"/>
      <c r="I269" s="18"/>
      <c r="J269" s="18"/>
      <c r="K269" s="18"/>
      <c r="L269" s="19">
        <f>SUM(F269:K269)</f>
        <v>96062.56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19039.080000000002</v>
      </c>
      <c r="G271" s="18">
        <v>2612.67</v>
      </c>
      <c r="H271" s="18">
        <v>1782.73</v>
      </c>
      <c r="I271" s="18"/>
      <c r="J271" s="18"/>
      <c r="K271" s="18"/>
      <c r="L271" s="19">
        <f>SUM(F271:K271)</f>
        <v>23434.48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37238.730000000003</v>
      </c>
      <c r="G273" s="18">
        <v>11307.96</v>
      </c>
      <c r="H273" s="18">
        <v>15869.13</v>
      </c>
      <c r="I273" s="18">
        <v>2681.17</v>
      </c>
      <c r="J273" s="18"/>
      <c r="K273" s="18">
        <v>258.75</v>
      </c>
      <c r="L273" s="19">
        <f t="shared" ref="L273:L279" si="12">SUM(F273:K273)</f>
        <v>67355.740000000005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105313.31</v>
      </c>
      <c r="G274" s="18">
        <v>15455.87</v>
      </c>
      <c r="H274" s="18">
        <v>30864.1</v>
      </c>
      <c r="I274" s="18">
        <v>2240.5700000000002</v>
      </c>
      <c r="J274" s="18"/>
      <c r="K274" s="18">
        <v>100</v>
      </c>
      <c r="L274" s="19">
        <f t="shared" si="12"/>
        <v>153973.85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488143.44</v>
      </c>
      <c r="G282" s="42">
        <f t="shared" si="13"/>
        <v>122020.95999999999</v>
      </c>
      <c r="H282" s="42">
        <f t="shared" si="13"/>
        <v>59960.299999999996</v>
      </c>
      <c r="I282" s="42">
        <f t="shared" si="13"/>
        <v>29796.57</v>
      </c>
      <c r="J282" s="42">
        <f t="shared" si="13"/>
        <v>106215.64</v>
      </c>
      <c r="K282" s="42">
        <f t="shared" si="13"/>
        <v>358.75</v>
      </c>
      <c r="L282" s="41">
        <f t="shared" si="13"/>
        <v>806495.66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1958</v>
      </c>
      <c r="G287" s="18">
        <v>226.42</v>
      </c>
      <c r="H287" s="18">
        <v>0</v>
      </c>
      <c r="I287" s="18">
        <v>542.98</v>
      </c>
      <c r="J287" s="18">
        <v>2748.9</v>
      </c>
      <c r="K287" s="18"/>
      <c r="L287" s="19">
        <f>SUM(F287:K287)</f>
        <v>5476.3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0</v>
      </c>
      <c r="G288" s="18">
        <v>0</v>
      </c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12992</v>
      </c>
      <c r="G289" s="18">
        <v>4961.7299999999996</v>
      </c>
      <c r="H289" s="18"/>
      <c r="I289" s="18"/>
      <c r="J289" s="18"/>
      <c r="K289" s="18"/>
      <c r="L289" s="19">
        <f>SUM(F289:K289)</f>
        <v>17953.73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0</v>
      </c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11096.41</v>
      </c>
      <c r="G292" s="18">
        <v>3517.11</v>
      </c>
      <c r="H292" s="18">
        <v>7214.35</v>
      </c>
      <c r="I292" s="18"/>
      <c r="J292" s="18"/>
      <c r="K292" s="18">
        <v>126.5</v>
      </c>
      <c r="L292" s="19">
        <f t="shared" ref="L292:L298" si="14">SUM(F292:K292)</f>
        <v>21954.370000000003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26585.74</v>
      </c>
      <c r="G293" s="18">
        <v>4242.01</v>
      </c>
      <c r="H293" s="18">
        <v>10506.76</v>
      </c>
      <c r="I293" s="18">
        <v>1036.79</v>
      </c>
      <c r="J293" s="18"/>
      <c r="K293" s="18">
        <v>0</v>
      </c>
      <c r="L293" s="19">
        <f t="shared" si="14"/>
        <v>42371.3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52632.15</v>
      </c>
      <c r="G301" s="42">
        <f t="shared" si="15"/>
        <v>12947.27</v>
      </c>
      <c r="H301" s="42">
        <f t="shared" si="15"/>
        <v>17721.11</v>
      </c>
      <c r="I301" s="42">
        <f t="shared" si="15"/>
        <v>1579.77</v>
      </c>
      <c r="J301" s="42">
        <f t="shared" si="15"/>
        <v>2748.9</v>
      </c>
      <c r="K301" s="42">
        <f t="shared" si="15"/>
        <v>126.5</v>
      </c>
      <c r="L301" s="41">
        <f t="shared" si="15"/>
        <v>87755.700000000012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2937</v>
      </c>
      <c r="G306" s="18">
        <v>339.62</v>
      </c>
      <c r="H306" s="18">
        <v>0</v>
      </c>
      <c r="I306" s="18">
        <v>814.47</v>
      </c>
      <c r="J306" s="18">
        <v>4123.3500000000004</v>
      </c>
      <c r="K306" s="18"/>
      <c r="L306" s="19">
        <f>SUM(F306:K306)</f>
        <v>8214.44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109914</v>
      </c>
      <c r="G307" s="18">
        <v>34650.03</v>
      </c>
      <c r="H307" s="18"/>
      <c r="I307" s="18">
        <v>1615.92</v>
      </c>
      <c r="J307" s="18">
        <v>15016.35</v>
      </c>
      <c r="K307" s="18"/>
      <c r="L307" s="19">
        <f>SUM(F307:K307)</f>
        <v>161196.30000000002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19488</v>
      </c>
      <c r="G308" s="18">
        <v>7442.58</v>
      </c>
      <c r="H308" s="18"/>
      <c r="I308" s="18"/>
      <c r="J308" s="18"/>
      <c r="K308" s="18"/>
      <c r="L308" s="19">
        <f>SUM(F308:K308)</f>
        <v>26930.58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16644.62</v>
      </c>
      <c r="G311" s="18">
        <v>5275.67</v>
      </c>
      <c r="H311" s="18">
        <v>10821.52</v>
      </c>
      <c r="I311" s="18"/>
      <c r="J311" s="18"/>
      <c r="K311" s="18">
        <v>189.75</v>
      </c>
      <c r="L311" s="19">
        <f t="shared" ref="L311:L317" si="16">SUM(F311:K311)</f>
        <v>32931.56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39878.6</v>
      </c>
      <c r="G312" s="18">
        <v>6363.01</v>
      </c>
      <c r="H312" s="18">
        <v>15760.14</v>
      </c>
      <c r="I312" s="18">
        <v>1555.19</v>
      </c>
      <c r="J312" s="18"/>
      <c r="K312" s="18">
        <v>0</v>
      </c>
      <c r="L312" s="19">
        <f t="shared" si="16"/>
        <v>63556.94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188862.22</v>
      </c>
      <c r="G320" s="42">
        <f t="shared" si="17"/>
        <v>54070.91</v>
      </c>
      <c r="H320" s="42">
        <f t="shared" si="17"/>
        <v>26581.66</v>
      </c>
      <c r="I320" s="42">
        <f t="shared" si="17"/>
        <v>3985.5800000000004</v>
      </c>
      <c r="J320" s="42">
        <f t="shared" si="17"/>
        <v>19139.7</v>
      </c>
      <c r="K320" s="42">
        <f t="shared" si="17"/>
        <v>189.75</v>
      </c>
      <c r="L320" s="41">
        <f t="shared" si="17"/>
        <v>292829.82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4176</v>
      </c>
      <c r="G324" s="18">
        <v>319.39999999999998</v>
      </c>
      <c r="H324" s="18">
        <v>2212</v>
      </c>
      <c r="I324" s="18">
        <v>189.2</v>
      </c>
      <c r="J324" s="18"/>
      <c r="K324" s="18"/>
      <c r="L324" s="19">
        <f t="shared" ref="L324:L329" si="18">SUM(F324:K324)</f>
        <v>6896.5999999999995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4917.91</v>
      </c>
      <c r="G325" s="18">
        <v>295.33999999999997</v>
      </c>
      <c r="H325" s="18"/>
      <c r="I325" s="18"/>
      <c r="J325" s="18"/>
      <c r="K325" s="18"/>
      <c r="L325" s="19">
        <f t="shared" si="18"/>
        <v>5213.25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9093.91</v>
      </c>
      <c r="G329" s="41">
        <f t="shared" si="19"/>
        <v>614.74</v>
      </c>
      <c r="H329" s="41">
        <f t="shared" si="19"/>
        <v>2212</v>
      </c>
      <c r="I329" s="41">
        <f t="shared" si="19"/>
        <v>189.2</v>
      </c>
      <c r="J329" s="41">
        <f t="shared" si="19"/>
        <v>0</v>
      </c>
      <c r="K329" s="41">
        <f t="shared" si="19"/>
        <v>0</v>
      </c>
      <c r="L329" s="41">
        <f t="shared" si="18"/>
        <v>12109.85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738731.72</v>
      </c>
      <c r="G330" s="41">
        <f t="shared" si="20"/>
        <v>189653.87999999998</v>
      </c>
      <c r="H330" s="41">
        <f t="shared" si="20"/>
        <v>106475.07</v>
      </c>
      <c r="I330" s="41">
        <f t="shared" si="20"/>
        <v>35551.119999999995</v>
      </c>
      <c r="J330" s="41">
        <f t="shared" si="20"/>
        <v>128104.23999999999</v>
      </c>
      <c r="K330" s="41">
        <f t="shared" si="20"/>
        <v>675</v>
      </c>
      <c r="L330" s="41">
        <f t="shared" si="20"/>
        <v>1199191.0300000003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23936.92</v>
      </c>
      <c r="L336" s="19">
        <f t="shared" ref="L336:L342" si="21">SUM(F336:K336)</f>
        <v>23936.92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23936.92</v>
      </c>
      <c r="L343" s="41">
        <f>SUM(L333:L342)</f>
        <v>23936.92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738731.72</v>
      </c>
      <c r="G344" s="41">
        <f>G330</f>
        <v>189653.87999999998</v>
      </c>
      <c r="H344" s="41">
        <f>H330</f>
        <v>106475.07</v>
      </c>
      <c r="I344" s="41">
        <f>I330</f>
        <v>35551.119999999995</v>
      </c>
      <c r="J344" s="41">
        <f>J330</f>
        <v>128104.23999999999</v>
      </c>
      <c r="K344" s="47">
        <f>K330+K343</f>
        <v>24611.919999999998</v>
      </c>
      <c r="L344" s="41">
        <f>L330+L343</f>
        <v>1223127.9500000002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843.97</v>
      </c>
      <c r="G350" s="18">
        <v>64.56</v>
      </c>
      <c r="H350" s="18">
        <v>272916.07</v>
      </c>
      <c r="I350" s="18">
        <v>1949.2</v>
      </c>
      <c r="J350" s="18">
        <v>8290.1200000000008</v>
      </c>
      <c r="K350" s="18">
        <v>194.86</v>
      </c>
      <c r="L350" s="13">
        <f>SUM(F350:K350)</f>
        <v>284258.78000000003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412.61</v>
      </c>
      <c r="G351" s="18">
        <v>31.56</v>
      </c>
      <c r="H351" s="18">
        <v>133425.62</v>
      </c>
      <c r="I351" s="18">
        <v>952.94</v>
      </c>
      <c r="J351" s="18">
        <v>4052.93</v>
      </c>
      <c r="K351" s="18">
        <v>95.25</v>
      </c>
      <c r="L351" s="19">
        <f>SUM(F351:K351)</f>
        <v>138970.91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618.91</v>
      </c>
      <c r="G352" s="18">
        <v>47.35</v>
      </c>
      <c r="H352" s="18">
        <v>200138.45</v>
      </c>
      <c r="I352" s="18">
        <v>1429.41</v>
      </c>
      <c r="J352" s="18">
        <v>6079.42</v>
      </c>
      <c r="K352" s="18">
        <v>142.9</v>
      </c>
      <c r="L352" s="19">
        <f>SUM(F352:K352)</f>
        <v>208456.44000000003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1875.4899999999998</v>
      </c>
      <c r="G354" s="47">
        <f t="shared" si="22"/>
        <v>143.47</v>
      </c>
      <c r="H354" s="47">
        <f t="shared" si="22"/>
        <v>606480.14</v>
      </c>
      <c r="I354" s="47">
        <f t="shared" si="22"/>
        <v>4331.55</v>
      </c>
      <c r="J354" s="47">
        <f t="shared" si="22"/>
        <v>18422.47</v>
      </c>
      <c r="K354" s="47">
        <f t="shared" si="22"/>
        <v>433.01</v>
      </c>
      <c r="L354" s="47">
        <f t="shared" si="22"/>
        <v>631686.13000000012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1949.2</v>
      </c>
      <c r="G360" s="63">
        <v>952.94</v>
      </c>
      <c r="H360" s="63">
        <v>1429.41</v>
      </c>
      <c r="I360" s="56">
        <f>SUM(F360:H360)</f>
        <v>4331.55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1949.2</v>
      </c>
      <c r="G361" s="47">
        <f>SUM(G359:G360)</f>
        <v>952.94</v>
      </c>
      <c r="H361" s="47">
        <f>SUM(H359:H360)</f>
        <v>1429.41</v>
      </c>
      <c r="I361" s="47">
        <f>SUM(I359:I360)</f>
        <v>4331.55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v>12552.98</v>
      </c>
      <c r="I367" s="18"/>
      <c r="J367" s="18"/>
      <c r="K367" s="18"/>
      <c r="L367" s="13">
        <f t="shared" ref="L367:L373" si="23">SUM(F367:K367)</f>
        <v>12552.98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177685.62</v>
      </c>
      <c r="I371" s="18"/>
      <c r="J371" s="18"/>
      <c r="K371" s="18"/>
      <c r="L371" s="13">
        <f t="shared" si="23"/>
        <v>177685.62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190238.6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190238.6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1250.3399999999999</v>
      </c>
      <c r="I380" s="18"/>
      <c r="J380" s="24" t="s">
        <v>312</v>
      </c>
      <c r="K380" s="24" t="s">
        <v>312</v>
      </c>
      <c r="L380" s="56">
        <f t="shared" si="25"/>
        <v>1250.3399999999999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100000</v>
      </c>
      <c r="H381" s="18">
        <v>3147.32</v>
      </c>
      <c r="I381" s="18"/>
      <c r="J381" s="24" t="s">
        <v>312</v>
      </c>
      <c r="K381" s="24" t="s">
        <v>312</v>
      </c>
      <c r="L381" s="56">
        <f t="shared" si="25"/>
        <v>103147.32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10.45</v>
      </c>
      <c r="I384" s="18"/>
      <c r="J384" s="24" t="s">
        <v>312</v>
      </c>
      <c r="K384" s="24" t="s">
        <v>312</v>
      </c>
      <c r="L384" s="56">
        <f t="shared" si="25"/>
        <v>10.45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100000</v>
      </c>
      <c r="H385" s="139">
        <f>SUM(H379:H384)</f>
        <v>4408.1099999999997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104408.11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32.159999999999997</v>
      </c>
      <c r="I388" s="18"/>
      <c r="J388" s="24" t="s">
        <v>312</v>
      </c>
      <c r="K388" s="24" t="s">
        <v>312</v>
      </c>
      <c r="L388" s="56">
        <f t="shared" si="26"/>
        <v>32.159999999999997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539.16999999999996</v>
      </c>
      <c r="I389" s="18"/>
      <c r="J389" s="24" t="s">
        <v>312</v>
      </c>
      <c r="K389" s="24" t="s">
        <v>312</v>
      </c>
      <c r="L389" s="56">
        <f t="shared" si="26"/>
        <v>539.16999999999996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59000</v>
      </c>
      <c r="H392" s="18">
        <v>25232.44</v>
      </c>
      <c r="I392" s="18"/>
      <c r="J392" s="24" t="s">
        <v>312</v>
      </c>
      <c r="K392" s="24" t="s">
        <v>312</v>
      </c>
      <c r="L392" s="56">
        <f t="shared" si="26"/>
        <v>84232.44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59000</v>
      </c>
      <c r="H393" s="47">
        <f>SUM(H387:H392)</f>
        <v>25803.769999999997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84803.77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900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14131.75</v>
      </c>
      <c r="I395" s="18">
        <v>460000</v>
      </c>
      <c r="J395" s="24" t="s">
        <v>312</v>
      </c>
      <c r="K395" s="24" t="s">
        <v>312</v>
      </c>
      <c r="L395" s="56">
        <f>SUM(F395:K395)</f>
        <v>474131.75</v>
      </c>
      <c r="M395" s="8"/>
    </row>
    <row r="396" spans="1:13" s="3" customFormat="1" ht="12" customHeight="1" x14ac:dyDescent="0.15">
      <c r="A396" s="110" t="s">
        <v>901</v>
      </c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>
        <v>534.16</v>
      </c>
      <c r="I396" s="18"/>
      <c r="J396" s="24" t="s">
        <v>312</v>
      </c>
      <c r="K396" s="24" t="s">
        <v>312</v>
      </c>
      <c r="L396" s="56">
        <f>SUM(F396:K396)</f>
        <v>534.16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14665.91</v>
      </c>
      <c r="I399" s="47">
        <f>SUM(I395:I398)</f>
        <v>460000</v>
      </c>
      <c r="J399" s="49" t="s">
        <v>312</v>
      </c>
      <c r="K399" s="49" t="s">
        <v>312</v>
      </c>
      <c r="L399" s="47">
        <f>SUM(L395:L398)</f>
        <v>474665.91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159000</v>
      </c>
      <c r="H400" s="47">
        <f>H385+H393+H399</f>
        <v>44877.789999999994</v>
      </c>
      <c r="I400" s="47">
        <f>I385+I393+I399</f>
        <v>460000</v>
      </c>
      <c r="J400" s="24" t="s">
        <v>312</v>
      </c>
      <c r="K400" s="24" t="s">
        <v>312</v>
      </c>
      <c r="L400" s="47">
        <f>L385+L393+L399</f>
        <v>663877.79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>
        <v>1717.28</v>
      </c>
      <c r="I406" s="18"/>
      <c r="J406" s="18"/>
      <c r="K406" s="18"/>
      <c r="L406" s="56">
        <f t="shared" si="27"/>
        <v>1717.28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v>84373.99</v>
      </c>
      <c r="I407" s="18"/>
      <c r="J407" s="18"/>
      <c r="K407" s="18"/>
      <c r="L407" s="56">
        <f t="shared" si="27"/>
        <v>84373.99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>
        <v>25741.38</v>
      </c>
      <c r="I409" s="18"/>
      <c r="J409" s="18"/>
      <c r="K409" s="18"/>
      <c r="L409" s="56">
        <f t="shared" si="27"/>
        <v>25741.38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1913.49</v>
      </c>
      <c r="I410" s="18"/>
      <c r="J410" s="18"/>
      <c r="K410" s="18"/>
      <c r="L410" s="56">
        <f t="shared" si="27"/>
        <v>1913.49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113746.14000000001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113746.14000000001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14117.34</v>
      </c>
      <c r="I414" s="18"/>
      <c r="J414" s="18">
        <v>19796</v>
      </c>
      <c r="K414" s="18"/>
      <c r="L414" s="56">
        <f t="shared" si="29"/>
        <v>33913.339999999997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>
        <v>740.52</v>
      </c>
      <c r="I415" s="18"/>
      <c r="J415" s="18"/>
      <c r="K415" s="18"/>
      <c r="L415" s="56">
        <f t="shared" si="29"/>
        <v>740.52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49764.17</v>
      </c>
      <c r="G418" s="18">
        <v>7798.05</v>
      </c>
      <c r="H418" s="18">
        <v>21342.65</v>
      </c>
      <c r="I418" s="18"/>
      <c r="J418" s="18"/>
      <c r="K418" s="18"/>
      <c r="L418" s="56">
        <f t="shared" si="29"/>
        <v>78904.87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49764.17</v>
      </c>
      <c r="G419" s="47">
        <f t="shared" si="30"/>
        <v>7798.05</v>
      </c>
      <c r="H419" s="47">
        <f t="shared" si="30"/>
        <v>36200.51</v>
      </c>
      <c r="I419" s="47">
        <f t="shared" si="30"/>
        <v>0</v>
      </c>
      <c r="J419" s="47">
        <f t="shared" si="30"/>
        <v>19796</v>
      </c>
      <c r="K419" s="47">
        <f t="shared" si="30"/>
        <v>0</v>
      </c>
      <c r="L419" s="47">
        <f t="shared" si="30"/>
        <v>113558.72999999998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900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10335.41</v>
      </c>
      <c r="I421" s="18"/>
      <c r="J421" s="18"/>
      <c r="K421" s="18"/>
      <c r="L421" s="56">
        <f>SUM(F421:K421)</f>
        <v>10335.41</v>
      </c>
      <c r="M421" s="8"/>
    </row>
    <row r="422" spans="1:21" s="11" customFormat="1" ht="12" customHeight="1" x14ac:dyDescent="0.15">
      <c r="A422" s="110" t="s">
        <v>901</v>
      </c>
      <c r="B422" s="6">
        <v>17</v>
      </c>
      <c r="C422" s="6">
        <v>16</v>
      </c>
      <c r="D422" s="2" t="s">
        <v>456</v>
      </c>
      <c r="E422" s="6"/>
      <c r="F422" s="18"/>
      <c r="G422" s="18"/>
      <c r="H422" s="18">
        <v>135.97</v>
      </c>
      <c r="I422" s="18"/>
      <c r="J422" s="18"/>
      <c r="K422" s="18"/>
      <c r="L422" s="56">
        <f>SUM(F422:K422)</f>
        <v>135.97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10471.379999999999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10471.379999999999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49764.17</v>
      </c>
      <c r="G426" s="47">
        <f t="shared" si="32"/>
        <v>7798.05</v>
      </c>
      <c r="H426" s="47">
        <f t="shared" si="32"/>
        <v>160418.03000000003</v>
      </c>
      <c r="I426" s="47">
        <f t="shared" si="32"/>
        <v>0</v>
      </c>
      <c r="J426" s="47">
        <f t="shared" si="32"/>
        <v>19796</v>
      </c>
      <c r="K426" s="47">
        <f t="shared" si="32"/>
        <v>0</v>
      </c>
      <c r="L426" s="47">
        <f t="shared" si="32"/>
        <v>237776.25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783157.16</v>
      </c>
      <c r="G432" s="18">
        <v>1335393.98</v>
      </c>
      <c r="H432" s="18">
        <v>760262.14</v>
      </c>
      <c r="I432" s="56">
        <f t="shared" si="33"/>
        <v>2878813.2800000003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783157.16</v>
      </c>
      <c r="G438" s="13">
        <f>SUM(G431:G437)</f>
        <v>1335393.98</v>
      </c>
      <c r="H438" s="13">
        <f>SUM(H431:H437)</f>
        <v>760262.14</v>
      </c>
      <c r="I438" s="13">
        <f>SUM(I431:I437)</f>
        <v>2878813.2800000003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783157.16</v>
      </c>
      <c r="G449" s="18">
        <v>1335393.98</v>
      </c>
      <c r="H449" s="18">
        <v>760262.14</v>
      </c>
      <c r="I449" s="56">
        <f>SUM(F449:H449)</f>
        <v>2878813.2800000003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783157.16</v>
      </c>
      <c r="G450" s="83">
        <f>SUM(G446:G449)</f>
        <v>1335393.98</v>
      </c>
      <c r="H450" s="83">
        <f>SUM(H446:H449)</f>
        <v>760262.14</v>
      </c>
      <c r="I450" s="83">
        <f>SUM(I446:I449)</f>
        <v>2878813.2800000003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783157.16</v>
      </c>
      <c r="G451" s="42">
        <f>G444+G450</f>
        <v>1335393.98</v>
      </c>
      <c r="H451" s="42">
        <f>H444+H450</f>
        <v>760262.14</v>
      </c>
      <c r="I451" s="42">
        <f>I444+I450</f>
        <v>2878813.2800000003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840227.94</v>
      </c>
      <c r="G455" s="18">
        <v>483.51</v>
      </c>
      <c r="H455" s="18">
        <v>693.95</v>
      </c>
      <c r="I455" s="18">
        <v>190238.6</v>
      </c>
      <c r="J455" s="18">
        <v>2452711.7400000002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21678613.940000001</v>
      </c>
      <c r="G458" s="18">
        <v>631567.56000000006</v>
      </c>
      <c r="H458" s="18">
        <f>1222434</f>
        <v>1222434</v>
      </c>
      <c r="I458" s="18">
        <v>0</v>
      </c>
      <c r="J458" s="18">
        <v>663877.79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21678613.940000001</v>
      </c>
      <c r="G460" s="53">
        <f>SUM(G458:G459)</f>
        <v>631567.56000000006</v>
      </c>
      <c r="H460" s="53">
        <f>SUM(H458:H459)</f>
        <v>1222434</v>
      </c>
      <c r="I460" s="53">
        <f>SUM(I458:I459)</f>
        <v>0</v>
      </c>
      <c r="J460" s="53">
        <f>SUM(J458:J459)</f>
        <v>663877.79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21720028.989999998</v>
      </c>
      <c r="G462" s="18">
        <v>631686.13</v>
      </c>
      <c r="H462" s="18">
        <f>1222434+693.95</f>
        <v>1223127.95</v>
      </c>
      <c r="I462" s="18">
        <v>190238.6</v>
      </c>
      <c r="J462" s="18">
        <v>237776.25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21720028.989999998</v>
      </c>
      <c r="G464" s="53">
        <f>SUM(G462:G463)</f>
        <v>631686.13</v>
      </c>
      <c r="H464" s="53">
        <f>SUM(H462:H463)</f>
        <v>1223127.95</v>
      </c>
      <c r="I464" s="53">
        <f>SUM(I462:I463)</f>
        <v>190238.6</v>
      </c>
      <c r="J464" s="53">
        <f>SUM(J462:J463)</f>
        <v>237776.25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798812.89000000432</v>
      </c>
      <c r="G466" s="53">
        <f>(G455+G460)- G464</f>
        <v>364.94000000006054</v>
      </c>
      <c r="H466" s="53">
        <f>(H455+H460)- H464</f>
        <v>0</v>
      </c>
      <c r="I466" s="53">
        <f>(I455+I460)- I464</f>
        <v>0</v>
      </c>
      <c r="J466" s="53">
        <f>(J455+J460)- J464</f>
        <v>2878813.2800000003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10</v>
      </c>
      <c r="H480" s="154">
        <v>15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 t="s">
        <v>898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 t="s">
        <v>899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1300000</v>
      </c>
      <c r="G483" s="18">
        <v>631625</v>
      </c>
      <c r="H483" s="18">
        <v>9247684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3.4</v>
      </c>
      <c r="G484" s="18">
        <v>5</v>
      </c>
      <c r="H484" s="18">
        <v>5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390000</v>
      </c>
      <c r="G485" s="18">
        <v>370000</v>
      </c>
      <c r="H485" s="18">
        <v>7385000</v>
      </c>
      <c r="I485" s="18"/>
      <c r="J485" s="18"/>
      <c r="K485" s="53">
        <f>SUM(F485:J485)</f>
        <v>8145000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130000</v>
      </c>
      <c r="G487" s="18">
        <v>65000</v>
      </c>
      <c r="H487" s="18">
        <v>620000</v>
      </c>
      <c r="I487" s="18"/>
      <c r="J487" s="18"/>
      <c r="K487" s="53">
        <f t="shared" si="34"/>
        <v>815000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260000</v>
      </c>
      <c r="G488" s="205">
        <v>305000</v>
      </c>
      <c r="H488" s="205">
        <v>6765000</v>
      </c>
      <c r="I488" s="205"/>
      <c r="J488" s="205"/>
      <c r="K488" s="206">
        <f t="shared" si="34"/>
        <v>7330000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10075</v>
      </c>
      <c r="G489" s="18">
        <v>37625</v>
      </c>
      <c r="H489" s="18">
        <v>1776581.26</v>
      </c>
      <c r="I489" s="18"/>
      <c r="J489" s="18"/>
      <c r="K489" s="53">
        <f t="shared" si="34"/>
        <v>1824281.26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270075</v>
      </c>
      <c r="G490" s="42">
        <f>SUM(G488:G489)</f>
        <v>342625</v>
      </c>
      <c r="H490" s="42">
        <f>SUM(H488:H489)</f>
        <v>8541581.2599999998</v>
      </c>
      <c r="I490" s="42">
        <f>SUM(I488:I489)</f>
        <v>0</v>
      </c>
      <c r="J490" s="42">
        <f>SUM(J488:J489)</f>
        <v>0</v>
      </c>
      <c r="K490" s="42">
        <f t="shared" si="34"/>
        <v>9154281.2599999998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130000</v>
      </c>
      <c r="G491" s="205">
        <v>65000</v>
      </c>
      <c r="H491" s="205">
        <v>615000</v>
      </c>
      <c r="I491" s="205"/>
      <c r="J491" s="205"/>
      <c r="K491" s="206">
        <f t="shared" si="34"/>
        <v>810000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7540</v>
      </c>
      <c r="G492" s="18">
        <v>13625</v>
      </c>
      <c r="H492" s="18">
        <v>310575</v>
      </c>
      <c r="I492" s="18"/>
      <c r="J492" s="18"/>
      <c r="K492" s="53">
        <f t="shared" si="34"/>
        <v>331740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137540</v>
      </c>
      <c r="G493" s="42">
        <f>SUM(G491:G492)</f>
        <v>78625</v>
      </c>
      <c r="H493" s="42">
        <f>SUM(H491:H492)</f>
        <v>925575</v>
      </c>
      <c r="I493" s="42">
        <f>SUM(I491:I492)</f>
        <v>0</v>
      </c>
      <c r="J493" s="42">
        <f>SUM(J491:J492)</f>
        <v>0</v>
      </c>
      <c r="K493" s="42">
        <f t="shared" si="34"/>
        <v>1141740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1490457.01</v>
      </c>
      <c r="G497" s="144">
        <v>82457.06</v>
      </c>
      <c r="H497" s="144"/>
      <c r="I497" s="144">
        <f>F497+G497</f>
        <v>1572914.07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505000</v>
      </c>
      <c r="G501" s="24" t="s">
        <v>312</v>
      </c>
      <c r="H501" s="18">
        <v>505000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124300</v>
      </c>
      <c r="G502" s="24" t="s">
        <v>312</v>
      </c>
      <c r="H502" s="18">
        <v>124300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24008073.52</v>
      </c>
      <c r="G503" s="24" t="s">
        <v>312</v>
      </c>
      <c r="H503" s="18">
        <v>24198312.120000001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939577.75</v>
      </c>
      <c r="G504" s="24" t="s">
        <v>312</v>
      </c>
      <c r="H504" s="18">
        <f>944314.31+65918</f>
        <v>1010232.31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0</v>
      </c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25576951.27</v>
      </c>
      <c r="G507" s="42">
        <f>SUM(G501:G506)</f>
        <v>0</v>
      </c>
      <c r="H507" s="42">
        <f>SUM(H501:H506)</f>
        <v>25837844.43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1129331.97+1755+78507.01-0.02</f>
        <v>1209593.96</v>
      </c>
      <c r="G511" s="18">
        <f>497668.97+134.26+17555.55</f>
        <v>515358.77999999997</v>
      </c>
      <c r="H511" s="18">
        <f>207189.77+916.65+1112.5</f>
        <v>209218.91999999998</v>
      </c>
      <c r="I511" s="18">
        <v>18990.18</v>
      </c>
      <c r="J511" s="18">
        <v>1744.15</v>
      </c>
      <c r="K511" s="18"/>
      <c r="L511" s="88">
        <f>SUM(F511:K511)</f>
        <v>1954905.9899999998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468031.66+858</f>
        <v>468889.66</v>
      </c>
      <c r="G512" s="18">
        <f>207144.08+65.64</f>
        <v>207209.72</v>
      </c>
      <c r="H512" s="18">
        <f>301338.62+448.14</f>
        <v>301786.76</v>
      </c>
      <c r="I512" s="18">
        <f>6446.25</f>
        <v>6446.25</v>
      </c>
      <c r="J512" s="18">
        <f>1941.39</f>
        <v>1941.39</v>
      </c>
      <c r="K512" s="18"/>
      <c r="L512" s="88">
        <f>SUM(F512:K512)</f>
        <v>986273.78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747746.24+1287+142394</f>
        <v>891427.24</v>
      </c>
      <c r="G513" s="18">
        <f>282826.85+98.46+47054.34</f>
        <v>329979.65000000002</v>
      </c>
      <c r="H513" s="18">
        <f>514504.09+672.21</f>
        <v>515176.30000000005</v>
      </c>
      <c r="I513" s="18">
        <f>8395.31+1615.92</f>
        <v>10011.23</v>
      </c>
      <c r="J513" s="18">
        <f>2195.08+15016.35</f>
        <v>17211.43</v>
      </c>
      <c r="K513" s="18"/>
      <c r="L513" s="88">
        <f>SUM(F513:K513)</f>
        <v>1763805.85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2569910.86</v>
      </c>
      <c r="G514" s="108">
        <f t="shared" ref="G514:L514" si="35">SUM(G511:G513)</f>
        <v>1052548.1499999999</v>
      </c>
      <c r="H514" s="108">
        <f t="shared" si="35"/>
        <v>1026181.98</v>
      </c>
      <c r="I514" s="108">
        <f t="shared" si="35"/>
        <v>35447.660000000003</v>
      </c>
      <c r="J514" s="108">
        <f t="shared" si="35"/>
        <v>20896.97</v>
      </c>
      <c r="K514" s="108">
        <f t="shared" si="35"/>
        <v>0</v>
      </c>
      <c r="L514" s="89">
        <f t="shared" si="35"/>
        <v>4704985.6199999992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150806.25+51484.15</f>
        <v>202290.4</v>
      </c>
      <c r="G516" s="18">
        <f>57877.96+11762.18</f>
        <v>69640.14</v>
      </c>
      <c r="H516" s="18">
        <f>6576.63+34290.23+11723</f>
        <v>52589.86</v>
      </c>
      <c r="I516" s="18">
        <f>8306.45+2120.72</f>
        <v>10427.17</v>
      </c>
      <c r="J516" s="18">
        <v>803</v>
      </c>
      <c r="K516" s="18">
        <f>4920.75</f>
        <v>4920.75</v>
      </c>
      <c r="L516" s="88">
        <f>SUM(F516:K516)</f>
        <v>340671.31999999995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150808.44+25170.03</f>
        <v>175978.47</v>
      </c>
      <c r="G517" s="18">
        <f>57865.4+5750.4</f>
        <v>63615.8</v>
      </c>
      <c r="H517" s="18">
        <f>6576.63+16764.11</f>
        <v>23340.74</v>
      </c>
      <c r="I517" s="18">
        <f>3712.13+1036.79</f>
        <v>4748.92</v>
      </c>
      <c r="J517" s="18">
        <v>1049.74</v>
      </c>
      <c r="K517" s="18">
        <f>2405.7</f>
        <v>2405.6999999999998</v>
      </c>
      <c r="L517" s="88">
        <f>SUM(F517:K517)</f>
        <v>271139.37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158398.05+37755.05+999.99</f>
        <v>197153.08999999997</v>
      </c>
      <c r="G518" s="18">
        <f>59156.65+8625.6+154.84</f>
        <v>67937.09</v>
      </c>
      <c r="H518" s="18">
        <f>6576.62+25146.17</f>
        <v>31722.789999999997</v>
      </c>
      <c r="I518" s="18">
        <f>7542.96+1555.19</f>
        <v>9098.15</v>
      </c>
      <c r="J518" s="18">
        <v>2073.25</v>
      </c>
      <c r="K518" s="18">
        <f>3608.55+100</f>
        <v>3708.55</v>
      </c>
      <c r="L518" s="88">
        <f>SUM(F518:K518)</f>
        <v>311692.91999999993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575421.96</v>
      </c>
      <c r="G519" s="89">
        <f t="shared" ref="G519:L519" si="36">SUM(G516:G518)</f>
        <v>201193.03</v>
      </c>
      <c r="H519" s="89">
        <f t="shared" si="36"/>
        <v>107653.39</v>
      </c>
      <c r="I519" s="89">
        <f t="shared" si="36"/>
        <v>24274.239999999998</v>
      </c>
      <c r="J519" s="89">
        <f t="shared" si="36"/>
        <v>3925.99</v>
      </c>
      <c r="K519" s="89">
        <f t="shared" si="36"/>
        <v>11035</v>
      </c>
      <c r="L519" s="89">
        <f t="shared" si="36"/>
        <v>923503.60999999987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61241.87</v>
      </c>
      <c r="G521" s="18">
        <v>19444.53</v>
      </c>
      <c r="H521" s="18"/>
      <c r="I521" s="18"/>
      <c r="J521" s="18"/>
      <c r="K521" s="18">
        <v>5664.95</v>
      </c>
      <c r="L521" s="88">
        <f>SUM(F521:K521)</f>
        <v>86351.349999999991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61242.1</v>
      </c>
      <c r="G522" s="18">
        <v>19450.3</v>
      </c>
      <c r="H522" s="18"/>
      <c r="I522" s="18"/>
      <c r="J522" s="18"/>
      <c r="K522" s="18">
        <v>5664.94</v>
      </c>
      <c r="L522" s="88">
        <f>SUM(F522:K522)</f>
        <v>86357.34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61240.05</v>
      </c>
      <c r="G523" s="18">
        <v>19444.23</v>
      </c>
      <c r="H523" s="18"/>
      <c r="I523" s="18"/>
      <c r="J523" s="18"/>
      <c r="K523" s="18">
        <v>5664.98</v>
      </c>
      <c r="L523" s="88">
        <f>SUM(F523:K523)</f>
        <v>86349.26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183724.02000000002</v>
      </c>
      <c r="G524" s="89">
        <f t="shared" ref="G524:L524" si="37">SUM(G521:G523)</f>
        <v>58339.06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16994.87</v>
      </c>
      <c r="L524" s="89">
        <f t="shared" si="37"/>
        <v>259057.95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2178.73</v>
      </c>
      <c r="I526" s="18"/>
      <c r="J526" s="18"/>
      <c r="K526" s="18"/>
      <c r="L526" s="88">
        <f>SUM(F526:K526)</f>
        <v>2178.73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1065.1600000000001</v>
      </c>
      <c r="I527" s="18"/>
      <c r="J527" s="18"/>
      <c r="K527" s="18"/>
      <c r="L527" s="88">
        <f>SUM(F527:K527)</f>
        <v>1065.1600000000001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1597.73</v>
      </c>
      <c r="I528" s="18"/>
      <c r="J528" s="18"/>
      <c r="K528" s="18"/>
      <c r="L528" s="88">
        <f>SUM(F528:K528)</f>
        <v>1597.73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4841.6200000000008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4841.6200000000008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90637.63+1048.3</f>
        <v>91685.930000000008</v>
      </c>
      <c r="I531" s="18"/>
      <c r="J531" s="18"/>
      <c r="K531" s="18"/>
      <c r="L531" s="88">
        <f>SUM(F531:K531)</f>
        <v>91685.930000000008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115036.26+1102.33</f>
        <v>116138.59</v>
      </c>
      <c r="I532" s="18"/>
      <c r="J532" s="18"/>
      <c r="K532" s="18"/>
      <c r="L532" s="88">
        <f>SUM(F532:K532)</f>
        <v>116138.59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190534.06+1089.28</f>
        <v>191623.34</v>
      </c>
      <c r="I533" s="18"/>
      <c r="J533" s="18"/>
      <c r="K533" s="18"/>
      <c r="L533" s="88">
        <f>SUM(F533:K533)</f>
        <v>191623.34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399447.86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399447.86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3329056.84</v>
      </c>
      <c r="G535" s="89">
        <f t="shared" ref="G535:L535" si="40">G514+G519+G524+G529+G534</f>
        <v>1312080.24</v>
      </c>
      <c r="H535" s="89">
        <f t="shared" si="40"/>
        <v>1538124.85</v>
      </c>
      <c r="I535" s="89">
        <f t="shared" si="40"/>
        <v>59721.9</v>
      </c>
      <c r="J535" s="89">
        <f t="shared" si="40"/>
        <v>24822.959999999999</v>
      </c>
      <c r="K535" s="89">
        <f t="shared" si="40"/>
        <v>28029.87</v>
      </c>
      <c r="L535" s="89">
        <f t="shared" si="40"/>
        <v>6291836.6599999992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1954905.9899999998</v>
      </c>
      <c r="G539" s="87">
        <f>L516</f>
        <v>340671.31999999995</v>
      </c>
      <c r="H539" s="87">
        <f>L521</f>
        <v>86351.349999999991</v>
      </c>
      <c r="I539" s="87">
        <f>L526</f>
        <v>2178.73</v>
      </c>
      <c r="J539" s="87">
        <f>L531</f>
        <v>91685.930000000008</v>
      </c>
      <c r="K539" s="87">
        <f>SUM(F539:J539)</f>
        <v>2475793.3199999998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986273.78</v>
      </c>
      <c r="G540" s="87">
        <f>L517</f>
        <v>271139.37</v>
      </c>
      <c r="H540" s="87">
        <f>L522</f>
        <v>86357.34</v>
      </c>
      <c r="I540" s="87">
        <f>L527</f>
        <v>1065.1600000000001</v>
      </c>
      <c r="J540" s="87">
        <f>L532</f>
        <v>116138.59</v>
      </c>
      <c r="K540" s="87">
        <f>SUM(F540:J540)</f>
        <v>1460974.24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1763805.85</v>
      </c>
      <c r="G541" s="87">
        <f>L518</f>
        <v>311692.91999999993</v>
      </c>
      <c r="H541" s="87">
        <f>L523</f>
        <v>86349.26</v>
      </c>
      <c r="I541" s="87">
        <f>L528</f>
        <v>1597.73</v>
      </c>
      <c r="J541" s="87">
        <f>L533</f>
        <v>191623.34</v>
      </c>
      <c r="K541" s="87">
        <f>SUM(F541:J541)</f>
        <v>2355069.0999999996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4704985.6199999992</v>
      </c>
      <c r="G542" s="89">
        <f t="shared" si="41"/>
        <v>923503.60999999987</v>
      </c>
      <c r="H542" s="89">
        <f t="shared" si="41"/>
        <v>259057.95</v>
      </c>
      <c r="I542" s="89">
        <f t="shared" si="41"/>
        <v>4841.6200000000008</v>
      </c>
      <c r="J542" s="89">
        <f t="shared" si="41"/>
        <v>399447.86</v>
      </c>
      <c r="K542" s="89">
        <f t="shared" si="41"/>
        <v>6291836.6599999992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22807.22</v>
      </c>
      <c r="G557" s="18">
        <v>10665.11</v>
      </c>
      <c r="H557" s="18">
        <v>1759</v>
      </c>
      <c r="I557" s="18">
        <v>5465.95</v>
      </c>
      <c r="J557" s="18"/>
      <c r="K557" s="18">
        <v>172.35</v>
      </c>
      <c r="L557" s="88">
        <f>SUM(F557:K557)</f>
        <v>40869.629999999997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11150.2</v>
      </c>
      <c r="G558" s="18">
        <v>5214.0600000000004</v>
      </c>
      <c r="H558" s="18">
        <v>859.95</v>
      </c>
      <c r="I558" s="18">
        <v>2672.24</v>
      </c>
      <c r="J558" s="18"/>
      <c r="K558" s="18">
        <v>84.26</v>
      </c>
      <c r="L558" s="88">
        <f>SUM(F558:K558)</f>
        <v>19980.710000000003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16725.3</v>
      </c>
      <c r="G559" s="18">
        <v>7821.09</v>
      </c>
      <c r="H559" s="18">
        <v>7289.93</v>
      </c>
      <c r="I559" s="18">
        <v>4008.36</v>
      </c>
      <c r="J559" s="18"/>
      <c r="K559" s="18">
        <v>126.39</v>
      </c>
      <c r="L559" s="88">
        <f>SUM(F559:K559)</f>
        <v>35971.07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50682.720000000001</v>
      </c>
      <c r="G560" s="194">
        <f t="shared" ref="G560:L560" si="44">SUM(G557:G559)</f>
        <v>23700.260000000002</v>
      </c>
      <c r="H560" s="194">
        <f t="shared" si="44"/>
        <v>9908.880000000001</v>
      </c>
      <c r="I560" s="194">
        <f t="shared" si="44"/>
        <v>12146.55</v>
      </c>
      <c r="J560" s="194">
        <f t="shared" si="44"/>
        <v>0</v>
      </c>
      <c r="K560" s="194">
        <f t="shared" si="44"/>
        <v>383</v>
      </c>
      <c r="L560" s="194">
        <f t="shared" si="44"/>
        <v>96821.41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50682.720000000001</v>
      </c>
      <c r="G561" s="89">
        <f t="shared" ref="G561:L561" si="45">G550+G555+G560</f>
        <v>23700.260000000002</v>
      </c>
      <c r="H561" s="89">
        <f t="shared" si="45"/>
        <v>9908.880000000001</v>
      </c>
      <c r="I561" s="89">
        <f t="shared" si="45"/>
        <v>12146.55</v>
      </c>
      <c r="J561" s="89">
        <f t="shared" si="45"/>
        <v>0</v>
      </c>
      <c r="K561" s="89">
        <f t="shared" si="45"/>
        <v>383</v>
      </c>
      <c r="L561" s="89">
        <f t="shared" si="45"/>
        <v>96821.41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6000</v>
      </c>
      <c r="I568" s="87">
        <f t="shared" si="46"/>
        <v>6000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224</v>
      </c>
      <c r="I569" s="87">
        <f t="shared" si="46"/>
        <v>224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>
        <v>113247.12</v>
      </c>
      <c r="H570" s="18">
        <v>114262.14</v>
      </c>
      <c r="I570" s="87">
        <f t="shared" si="46"/>
        <v>227509.26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123959.72</v>
      </c>
      <c r="G572" s="18"/>
      <c r="H572" s="18">
        <v>314148.47999999998</v>
      </c>
      <c r="I572" s="87">
        <f t="shared" si="46"/>
        <v>438108.19999999995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>
        <v>136151.39000000001</v>
      </c>
      <c r="H573" s="18">
        <v>49281.279999999999</v>
      </c>
      <c r="I573" s="87">
        <f t="shared" si="46"/>
        <v>185432.67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37438.300000000003</v>
      </c>
      <c r="I574" s="87">
        <f t="shared" si="46"/>
        <v>37438.300000000003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327650.99</v>
      </c>
      <c r="I581" s="18">
        <v>160184.93</v>
      </c>
      <c r="J581" s="18">
        <v>240277.39</v>
      </c>
      <c r="K581" s="104">
        <f t="shared" ref="K581:K587" si="47">SUM(H581:J581)</f>
        <v>728113.31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90637.63+1048.3</f>
        <v>91685.930000000008</v>
      </c>
      <c r="I582" s="18">
        <f>115036.26+1102.33</f>
        <v>116138.59</v>
      </c>
      <c r="J582" s="18">
        <f>190534.06+1089.28</f>
        <v>191623.34</v>
      </c>
      <c r="K582" s="104">
        <f t="shared" si="47"/>
        <v>399447.86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112018</v>
      </c>
      <c r="K583" s="104">
        <f t="shared" si="47"/>
        <v>112018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4547.4799999999996</v>
      </c>
      <c r="J584" s="18">
        <v>36726.57</v>
      </c>
      <c r="K584" s="104">
        <f t="shared" si="47"/>
        <v>41274.050000000003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5199.63+4260.55</f>
        <v>9460.18</v>
      </c>
      <c r="I585" s="18">
        <v>6275.08</v>
      </c>
      <c r="J585" s="18">
        <v>3347.21</v>
      </c>
      <c r="K585" s="104">
        <f t="shared" si="47"/>
        <v>19082.47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428797.1</v>
      </c>
      <c r="I588" s="108">
        <f>SUM(I581:I587)</f>
        <v>287146.08</v>
      </c>
      <c r="J588" s="108">
        <f>SUM(J581:J587)</f>
        <v>583992.50999999989</v>
      </c>
      <c r="K588" s="108">
        <f>SUM(K581:K587)</f>
        <v>1299935.69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187643.36</v>
      </c>
      <c r="I594" s="18">
        <v>59122.77</v>
      </c>
      <c r="J594" s="18">
        <v>77145.27</v>
      </c>
      <c r="K594" s="104">
        <f>SUM(H594:J594)</f>
        <v>323911.39999999997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187643.36</v>
      </c>
      <c r="I595" s="108">
        <f>SUM(I592:I594)</f>
        <v>59122.77</v>
      </c>
      <c r="J595" s="108">
        <f>SUM(J592:J594)</f>
        <v>77145.27</v>
      </c>
      <c r="K595" s="108">
        <f>SUM(K592:K594)</f>
        <v>323911.39999999997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70549.58</v>
      </c>
      <c r="G601" s="18">
        <v>10470.56</v>
      </c>
      <c r="H601" s="18">
        <v>1782.73</v>
      </c>
      <c r="I601" s="18">
        <v>875.1</v>
      </c>
      <c r="J601" s="18"/>
      <c r="K601" s="18"/>
      <c r="L601" s="88">
        <f>SUM(F601:K601)</f>
        <v>83677.97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4039.83</v>
      </c>
      <c r="G602" s="18">
        <v>501.7</v>
      </c>
      <c r="H602" s="18"/>
      <c r="I602" s="18">
        <v>380.3</v>
      </c>
      <c r="J602" s="18"/>
      <c r="K602" s="18"/>
      <c r="L602" s="88">
        <f>SUM(F602:K602)</f>
        <v>4921.83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4594.84</v>
      </c>
      <c r="G603" s="18">
        <v>622.75</v>
      </c>
      <c r="H603" s="18"/>
      <c r="I603" s="18"/>
      <c r="J603" s="18"/>
      <c r="K603" s="18"/>
      <c r="L603" s="88">
        <f>SUM(F603:K603)</f>
        <v>5217.59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79184.25</v>
      </c>
      <c r="G604" s="108">
        <f t="shared" si="48"/>
        <v>11595.01</v>
      </c>
      <c r="H604" s="108">
        <f t="shared" si="48"/>
        <v>1782.73</v>
      </c>
      <c r="I604" s="108">
        <f t="shared" si="48"/>
        <v>1255.4000000000001</v>
      </c>
      <c r="J604" s="108">
        <f t="shared" si="48"/>
        <v>0</v>
      </c>
      <c r="K604" s="108">
        <f t="shared" si="48"/>
        <v>0</v>
      </c>
      <c r="L604" s="89">
        <f t="shared" si="48"/>
        <v>93817.39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946408.42999999993</v>
      </c>
      <c r="H607" s="109">
        <f>SUM(F44)</f>
        <v>946408.43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55146.25</v>
      </c>
      <c r="H608" s="109">
        <f>SUM(G44)</f>
        <v>55146.25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352260.9</v>
      </c>
      <c r="H609" s="109">
        <f>SUM(H44)</f>
        <v>352260.9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2878813.2800000003</v>
      </c>
      <c r="H611" s="109">
        <f>SUM(J44)</f>
        <v>2878813.2800000003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798812.89</v>
      </c>
      <c r="H612" s="109">
        <f>F466</f>
        <v>798812.89000000432</v>
      </c>
      <c r="I612" s="121" t="s">
        <v>106</v>
      </c>
      <c r="J612" s="109">
        <f t="shared" ref="J612:J645" si="49">G612-H612</f>
        <v>-4.3073669075965881E-9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364.94</v>
      </c>
      <c r="H613" s="109">
        <f>G466</f>
        <v>364.94000000006054</v>
      </c>
      <c r="I613" s="121" t="s">
        <v>108</v>
      </c>
      <c r="J613" s="109">
        <f t="shared" si="49"/>
        <v>-6.0538241086760536E-11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2878813.2800000003</v>
      </c>
      <c r="H616" s="109">
        <f>J466</f>
        <v>2878813.2800000003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21678613.940000001</v>
      </c>
      <c r="H617" s="104">
        <f>SUM(F458)</f>
        <v>21678613.940000001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631567.56000000006</v>
      </c>
      <c r="H618" s="104">
        <f>SUM(G458)</f>
        <v>631567.56000000006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1222433.9999999998</v>
      </c>
      <c r="H619" s="104">
        <f>SUM(H458)</f>
        <v>1222434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663877.79</v>
      </c>
      <c r="H621" s="104">
        <f>SUM(J458)</f>
        <v>663877.79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21720028.990000002</v>
      </c>
      <c r="H622" s="104">
        <f>SUM(F462)</f>
        <v>21720028.989999998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1223127.9500000002</v>
      </c>
      <c r="H623" s="104">
        <f>SUM(H462)</f>
        <v>1223127.95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4331.55</v>
      </c>
      <c r="H624" s="104">
        <f>I361</f>
        <v>4331.55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631686.13000000012</v>
      </c>
      <c r="H625" s="104">
        <f>SUM(G462)</f>
        <v>631686.13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190238.6</v>
      </c>
      <c r="H626" s="104">
        <f>SUM(I462)</f>
        <v>190238.6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663877.79</v>
      </c>
      <c r="H627" s="164">
        <f>SUM(J458)</f>
        <v>663877.79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237776.25</v>
      </c>
      <c r="H628" s="164">
        <f>SUM(J462)</f>
        <v>237776.25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783157.16</v>
      </c>
      <c r="H629" s="104">
        <f>SUM(F451)</f>
        <v>783157.16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1335393.98</v>
      </c>
      <c r="H630" s="104">
        <f>SUM(G451)</f>
        <v>1335393.98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760262.14</v>
      </c>
      <c r="H631" s="104">
        <f>SUM(H451)</f>
        <v>760262.14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2878813.2800000003</v>
      </c>
      <c r="H632" s="104">
        <f>SUM(I451)</f>
        <v>2878813.2800000003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44877.79</v>
      </c>
      <c r="H634" s="104">
        <f>H400</f>
        <v>44877.789999999994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159000</v>
      </c>
      <c r="H635" s="104">
        <f>G400</f>
        <v>159000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663877.79</v>
      </c>
      <c r="H636" s="104">
        <f>L400</f>
        <v>663877.79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1299935.69</v>
      </c>
      <c r="H637" s="104">
        <f>L200+L218+L236</f>
        <v>1299935.69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323911.39999999997</v>
      </c>
      <c r="H638" s="104">
        <f>(J249+J330)-(J247+J328)</f>
        <v>323911.40000000002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428797.1</v>
      </c>
      <c r="H639" s="104">
        <f>H588</f>
        <v>428797.1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287146.08</v>
      </c>
      <c r="H640" s="104">
        <f>I588</f>
        <v>287146.08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583992.51</v>
      </c>
      <c r="H641" s="104">
        <f>J588</f>
        <v>583992.50999999989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70500</v>
      </c>
      <c r="H642" s="104">
        <f>K255+K337</f>
        <v>70500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159000</v>
      </c>
      <c r="H645" s="104">
        <f>K258+K339</f>
        <v>159000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9664096.8599999994</v>
      </c>
      <c r="G650" s="19">
        <f>(L221+L301+L351)</f>
        <v>4994200.5700000012</v>
      </c>
      <c r="H650" s="19">
        <f>(L239+L320+L352)</f>
        <v>7463633.870000001</v>
      </c>
      <c r="I650" s="19">
        <f>SUM(F650:H650)</f>
        <v>22121931.300000001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133006.99156002459</v>
      </c>
      <c r="G651" s="19">
        <f>(L351/IF(SUM(L350:L352)=0,1,SUM(L350:L352))*(SUM(G89:G102)))</f>
        <v>65025.617338746531</v>
      </c>
      <c r="H651" s="19">
        <f>(L352/IF(SUM(L350:L352)=0,1,SUM(L350:L352))*(SUM(G89:G102)))</f>
        <v>97538.461101228866</v>
      </c>
      <c r="I651" s="19">
        <f>SUM(F651:H651)</f>
        <v>295571.06999999995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428797.1</v>
      </c>
      <c r="G652" s="19">
        <f>(L218+L298)-(J218+J298)</f>
        <v>287146.08</v>
      </c>
      <c r="H652" s="19">
        <f>(L236+L317)-(J236+J317)</f>
        <v>583992.51</v>
      </c>
      <c r="I652" s="19">
        <f>SUM(F652:H652)</f>
        <v>1299935.69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395281.04999999993</v>
      </c>
      <c r="G653" s="200">
        <f>SUM(G565:G577)+SUM(I592:I594)+L602</f>
        <v>313443.11000000004</v>
      </c>
      <c r="H653" s="200">
        <f>SUM(H565:H577)+SUM(J592:J594)+L603</f>
        <v>603717.05999999994</v>
      </c>
      <c r="I653" s="19">
        <f>SUM(F653:H653)</f>
        <v>1312441.2199999997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8707011.7184399758</v>
      </c>
      <c r="G654" s="19">
        <f>G650-SUM(G651:G653)</f>
        <v>4328585.762661255</v>
      </c>
      <c r="H654" s="19">
        <f>H650-SUM(H651:H653)</f>
        <v>6178385.8388987724</v>
      </c>
      <c r="I654" s="19">
        <f>I650-SUM(I651:I653)</f>
        <v>19213983.32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375.01+363.36</f>
        <v>738.37</v>
      </c>
      <c r="G655" s="249">
        <f>348.84</f>
        <v>348.84</v>
      </c>
      <c r="H655" s="249">
        <f>504.58</f>
        <v>504.58</v>
      </c>
      <c r="I655" s="19">
        <f>SUM(F655:H655)</f>
        <v>1591.79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11792.21</v>
      </c>
      <c r="G657" s="19">
        <f>ROUND(G654/G655,2)</f>
        <v>12408.51</v>
      </c>
      <c r="H657" s="19">
        <f>ROUND(H654/H655,2)</f>
        <v>12244.61</v>
      </c>
      <c r="I657" s="19">
        <f>ROUND(I654/I655,2)</f>
        <v>12070.68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-9.27</v>
      </c>
      <c r="I660" s="19">
        <f>SUM(F660:H660)</f>
        <v>-9.27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11792.21</v>
      </c>
      <c r="G662" s="19">
        <f>ROUND((G654+G659)/(G655+G660),2)</f>
        <v>12408.51</v>
      </c>
      <c r="H662" s="19">
        <f>ROUND((H654+H659)/(H655+H660),2)</f>
        <v>12473.78</v>
      </c>
      <c r="I662" s="19">
        <f>ROUND((I654+I659)/(I655+I660),2)</f>
        <v>12141.38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6F1-7ADD-402F-BC35-05F712D30282}">
  <sheetPr>
    <tabColor indexed="20"/>
  </sheetPr>
  <dimension ref="A1:C52"/>
  <sheetViews>
    <sheetView topLeftCell="A22"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Jaffrey-Rindge Coop SD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5317250.79</v>
      </c>
      <c r="C9" s="230">
        <f>'DOE25'!G189+'DOE25'!G207+'DOE25'!G225+'DOE25'!G268+'DOE25'!G287+'DOE25'!G306</f>
        <v>1878212.68</v>
      </c>
    </row>
    <row r="10" spans="1:3" x14ac:dyDescent="0.2">
      <c r="A10" t="s">
        <v>810</v>
      </c>
      <c r="B10" s="241">
        <v>5139937.38</v>
      </c>
      <c r="C10" s="241">
        <v>1864648.2</v>
      </c>
    </row>
    <row r="11" spans="1:3" x14ac:dyDescent="0.2">
      <c r="A11" t="s">
        <v>811</v>
      </c>
      <c r="B11" s="241">
        <v>20594.580000000002</v>
      </c>
      <c r="C11" s="241">
        <v>1575.49</v>
      </c>
    </row>
    <row r="12" spans="1:3" x14ac:dyDescent="0.2">
      <c r="A12" t="s">
        <v>812</v>
      </c>
      <c r="B12" s="241">
        <v>156718.82999999999</v>
      </c>
      <c r="C12" s="241">
        <v>11988.99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5317250.79</v>
      </c>
      <c r="C13" s="232">
        <f>SUM(C10:C12)</f>
        <v>1878212.68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2728253.1199999996</v>
      </c>
      <c r="C18" s="230">
        <f>'DOE25'!G190+'DOE25'!G208+'DOE25'!G226+'DOE25'!G269+'DOE25'!G288+'DOE25'!G307</f>
        <v>1115977.58</v>
      </c>
    </row>
    <row r="19" spans="1:3" x14ac:dyDescent="0.2">
      <c r="A19" t="s">
        <v>810</v>
      </c>
      <c r="B19" s="241">
        <v>1721488.75</v>
      </c>
      <c r="C19" s="241">
        <v>661983.21</v>
      </c>
    </row>
    <row r="20" spans="1:3" x14ac:dyDescent="0.2">
      <c r="A20" t="s">
        <v>811</v>
      </c>
      <c r="B20" s="241">
        <v>706107.12</v>
      </c>
      <c r="C20" s="241">
        <v>386628.46</v>
      </c>
    </row>
    <row r="21" spans="1:3" x14ac:dyDescent="0.2">
      <c r="A21" t="s">
        <v>812</v>
      </c>
      <c r="B21" s="241">
        <v>300657.25</v>
      </c>
      <c r="C21" s="241">
        <v>67365.91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2728253.12</v>
      </c>
      <c r="C22" s="232">
        <f>SUM(C19:C21)</f>
        <v>1115977.5799999998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360768.68</v>
      </c>
      <c r="C27" s="235">
        <f>'DOE25'!G191+'DOE25'!G209+'DOE25'!G227+'DOE25'!G270+'DOE25'!G289+'DOE25'!G308</f>
        <v>123285.71</v>
      </c>
    </row>
    <row r="28" spans="1:3" x14ac:dyDescent="0.2">
      <c r="A28" t="s">
        <v>810</v>
      </c>
      <c r="B28" s="241">
        <v>360768.68</v>
      </c>
      <c r="C28" s="241">
        <v>123285.71</v>
      </c>
    </row>
    <row r="29" spans="1:3" x14ac:dyDescent="0.2">
      <c r="A29" t="s">
        <v>811</v>
      </c>
      <c r="B29" s="241">
        <v>0</v>
      </c>
      <c r="C29" s="241">
        <v>0</v>
      </c>
    </row>
    <row r="30" spans="1:3" x14ac:dyDescent="0.2">
      <c r="A30" t="s">
        <v>812</v>
      </c>
      <c r="B30" s="241">
        <v>0</v>
      </c>
      <c r="C30" s="241">
        <v>0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360768.68</v>
      </c>
      <c r="C31" s="232">
        <f>SUM(C28:C30)</f>
        <v>123285.71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218230.66999999998</v>
      </c>
      <c r="C36" s="236">
        <f>'DOE25'!G192+'DOE25'!G210+'DOE25'!G228+'DOE25'!G271+'DOE25'!G290+'DOE25'!G309</f>
        <v>29274.839999999997</v>
      </c>
    </row>
    <row r="37" spans="1:3" x14ac:dyDescent="0.2">
      <c r="A37" t="s">
        <v>810</v>
      </c>
      <c r="B37" s="241">
        <v>150441.17000000001</v>
      </c>
      <c r="C37" s="241">
        <v>21445.86</v>
      </c>
    </row>
    <row r="38" spans="1:3" x14ac:dyDescent="0.2">
      <c r="A38" t="s">
        <v>811</v>
      </c>
      <c r="B38" s="241">
        <v>28729.13</v>
      </c>
      <c r="C38" s="241">
        <v>4840.8599999999997</v>
      </c>
    </row>
    <row r="39" spans="1:3" x14ac:dyDescent="0.2">
      <c r="A39" t="s">
        <v>812</v>
      </c>
      <c r="B39" s="241">
        <v>39060.370000000003</v>
      </c>
      <c r="C39" s="241">
        <v>2988.12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218230.67</v>
      </c>
      <c r="C40" s="232">
        <f>SUM(C37:C39)</f>
        <v>29274.84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4E93-D309-4225-B54D-4EE8F08C915B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Jaffrey-Rindge Coop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12712016.309999999</v>
      </c>
      <c r="D5" s="20">
        <f>SUM('DOE25'!L189:L192)+SUM('DOE25'!L207:L210)+SUM('DOE25'!L225:L228)-F5-G5</f>
        <v>12658195.879999999</v>
      </c>
      <c r="E5" s="244"/>
      <c r="F5" s="256">
        <f>SUM('DOE25'!J189:J192)+SUM('DOE25'!J207:J210)+SUM('DOE25'!J225:J228)</f>
        <v>20676.03</v>
      </c>
      <c r="G5" s="53">
        <f>SUM('DOE25'!K189:K192)+SUM('DOE25'!K207:K210)+SUM('DOE25'!K225:K228)</f>
        <v>33144.400000000001</v>
      </c>
      <c r="H5" s="260"/>
    </row>
    <row r="6" spans="1:9" x14ac:dyDescent="0.2">
      <c r="A6" s="32">
        <v>2100</v>
      </c>
      <c r="B6" t="s">
        <v>832</v>
      </c>
      <c r="C6" s="246">
        <f t="shared" si="0"/>
        <v>1409334.07</v>
      </c>
      <c r="D6" s="20">
        <f>'DOE25'!L194+'DOE25'!L212+'DOE25'!L230-F6-G6</f>
        <v>1407606.1400000001</v>
      </c>
      <c r="E6" s="244"/>
      <c r="F6" s="256">
        <f>'DOE25'!J194+'DOE25'!J212+'DOE25'!J230</f>
        <v>1687.93</v>
      </c>
      <c r="G6" s="53">
        <f>'DOE25'!K194+'DOE25'!K212+'DOE25'!K230</f>
        <v>40</v>
      </c>
      <c r="H6" s="260"/>
    </row>
    <row r="7" spans="1:9" x14ac:dyDescent="0.2">
      <c r="A7" s="32">
        <v>2200</v>
      </c>
      <c r="B7" t="s">
        <v>865</v>
      </c>
      <c r="C7" s="246">
        <f t="shared" si="0"/>
        <v>600778.1</v>
      </c>
      <c r="D7" s="20">
        <f>'DOE25'!L195+'DOE25'!L213+'DOE25'!L231-F7-G7</f>
        <v>593478.11</v>
      </c>
      <c r="E7" s="244"/>
      <c r="F7" s="256">
        <f>'DOE25'!J195+'DOE25'!J213+'DOE25'!J231</f>
        <v>179.99</v>
      </c>
      <c r="G7" s="53">
        <f>'DOE25'!K195+'DOE25'!K213+'DOE25'!K231</f>
        <v>7120</v>
      </c>
      <c r="H7" s="260"/>
    </row>
    <row r="8" spans="1:9" x14ac:dyDescent="0.2">
      <c r="A8" s="32">
        <v>2300</v>
      </c>
      <c r="B8" t="s">
        <v>833</v>
      </c>
      <c r="C8" s="246">
        <f t="shared" si="0"/>
        <v>0</v>
      </c>
      <c r="D8" s="244"/>
      <c r="E8" s="20">
        <f>'DOE25'!L196+'DOE25'!L214+'DOE25'!L232-F8-G8-D9-D11</f>
        <v>-8255.1199999999953</v>
      </c>
      <c r="F8" s="256">
        <f>'DOE25'!J196+'DOE25'!J214+'DOE25'!J232</f>
        <v>0</v>
      </c>
      <c r="G8" s="53">
        <f>'DOE25'!K196+'DOE25'!K214+'DOE25'!K232</f>
        <v>8255.1200000000008</v>
      </c>
      <c r="H8" s="260"/>
    </row>
    <row r="9" spans="1:9" x14ac:dyDescent="0.2">
      <c r="A9" s="32">
        <v>2310</v>
      </c>
      <c r="B9" t="s">
        <v>849</v>
      </c>
      <c r="C9" s="246">
        <f t="shared" si="0"/>
        <v>70678.62</v>
      </c>
      <c r="D9" s="245">
        <v>70678.62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24503</v>
      </c>
      <c r="D10" s="244"/>
      <c r="E10" s="245">
        <v>24503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212979.11</v>
      </c>
      <c r="D11" s="245">
        <v>212979.11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1126621.2599999998</v>
      </c>
      <c r="D12" s="20">
        <f>'DOE25'!L197+'DOE25'!L215+'DOE25'!L233-F12-G12</f>
        <v>1098970.1699999997</v>
      </c>
      <c r="E12" s="244"/>
      <c r="F12" s="256">
        <f>'DOE25'!J197+'DOE25'!J215+'DOE25'!J233</f>
        <v>16236.54</v>
      </c>
      <c r="G12" s="53">
        <f>'DOE25'!K197+'DOE25'!K215+'DOE25'!K233</f>
        <v>11414.55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436705.65</v>
      </c>
      <c r="D13" s="244"/>
      <c r="E13" s="20">
        <f>'DOE25'!L198+'DOE25'!L216+'DOE25'!L234-F13-G13</f>
        <v>419075.92000000004</v>
      </c>
      <c r="F13" s="256">
        <f>'DOE25'!J198+'DOE25'!J216+'DOE25'!J234</f>
        <v>13127.73</v>
      </c>
      <c r="G13" s="53">
        <f>'DOE25'!K198+'DOE25'!K216+'DOE25'!K234</f>
        <v>4502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1913731.8599999999</v>
      </c>
      <c r="D14" s="20">
        <f>'DOE25'!L199+'DOE25'!L217+'DOE25'!L235-F14-G14</f>
        <v>1856614.7999999998</v>
      </c>
      <c r="E14" s="244"/>
      <c r="F14" s="256">
        <f>'DOE25'!J199+'DOE25'!J217+'DOE25'!J235</f>
        <v>56917.06</v>
      </c>
      <c r="G14" s="53">
        <f>'DOE25'!K199+'DOE25'!K217+'DOE25'!K235</f>
        <v>200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1299935.69</v>
      </c>
      <c r="D15" s="20">
        <f>'DOE25'!L200+'DOE25'!L218+'DOE25'!L236-F15-G15</f>
        <v>1299935.69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520383.32</v>
      </c>
      <c r="D16" s="244"/>
      <c r="E16" s="20">
        <f>'DOE25'!L201+'DOE25'!L219+'DOE25'!L237-F16-G16</f>
        <v>433401.44</v>
      </c>
      <c r="F16" s="256">
        <f>'DOE25'!J201+'DOE25'!J219+'DOE25'!J237</f>
        <v>86981.88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7800</v>
      </c>
      <c r="D22" s="244"/>
      <c r="E22" s="244"/>
      <c r="F22" s="256">
        <f>'DOE25'!L247+'DOE25'!L328</f>
        <v>7800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1179565</v>
      </c>
      <c r="D25" s="244"/>
      <c r="E25" s="244"/>
      <c r="F25" s="259"/>
      <c r="G25" s="257"/>
      <c r="H25" s="258">
        <f>'DOE25'!L252+'DOE25'!L253+'DOE25'!L333+'DOE25'!L334</f>
        <v>1179565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631686.13000000012</v>
      </c>
      <c r="D29" s="20">
        <f>'DOE25'!L350+'DOE25'!L351+'DOE25'!L352-'DOE25'!I359-F29-G29</f>
        <v>612830.65000000014</v>
      </c>
      <c r="E29" s="244"/>
      <c r="F29" s="256">
        <f>'DOE25'!J350+'DOE25'!J351+'DOE25'!J352</f>
        <v>18422.47</v>
      </c>
      <c r="G29" s="53">
        <f>'DOE25'!K350+'DOE25'!K351+'DOE25'!K352</f>
        <v>433.01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1192294.4300000002</v>
      </c>
      <c r="D31" s="20">
        <f>'DOE25'!L282+'DOE25'!L301+'DOE25'!L320+'DOE25'!L325+'DOE25'!L326+'DOE25'!L327-F31-G31</f>
        <v>1063515.1900000002</v>
      </c>
      <c r="E31" s="244"/>
      <c r="F31" s="256">
        <f>'DOE25'!J282+'DOE25'!J301+'DOE25'!J320+'DOE25'!J325+'DOE25'!J326+'DOE25'!J327</f>
        <v>128104.23999999999</v>
      </c>
      <c r="G31" s="53">
        <f>'DOE25'!K282+'DOE25'!K301+'DOE25'!K320+'DOE25'!K325+'DOE25'!K326+'DOE25'!K327</f>
        <v>675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20874804.359999999</v>
      </c>
      <c r="E33" s="247">
        <f>SUM(E5:E31)</f>
        <v>868725.24</v>
      </c>
      <c r="F33" s="247">
        <f>SUM(F5:F31)</f>
        <v>350133.87</v>
      </c>
      <c r="G33" s="247">
        <f>SUM(G5:G31)</f>
        <v>65784.080000000016</v>
      </c>
      <c r="H33" s="247">
        <f>SUM(H5:H31)</f>
        <v>1179565</v>
      </c>
    </row>
    <row r="35" spans="2:8" ht="12" thickBot="1" x14ac:dyDescent="0.25">
      <c r="B35" s="254" t="s">
        <v>878</v>
      </c>
      <c r="D35" s="255">
        <f>E33</f>
        <v>868725.24</v>
      </c>
      <c r="E35" s="250"/>
    </row>
    <row r="36" spans="2:8" ht="12" thickTop="1" x14ac:dyDescent="0.2">
      <c r="B36" t="s">
        <v>846</v>
      </c>
      <c r="D36" s="20">
        <f>D33</f>
        <v>20874804.359999999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FD9C-CBBD-45F6-9155-9CCE381383DE}">
  <sheetPr transitionEvaluation="1" codeName="Sheet2">
    <tabColor indexed="10"/>
  </sheetPr>
  <dimension ref="A1:I156"/>
  <sheetViews>
    <sheetView workbookViewId="0">
      <pane ySplit="2" topLeftCell="A5" activePane="bottomLeft" state="frozen"/>
      <selection pane="bottomLeft" activeCell="I135" sqref="I135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Jaffrey-Rindge Coop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536761.1</v>
      </c>
      <c r="D9" s="95">
        <f>'DOE25'!G9</f>
        <v>1925.35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2878813.2800000003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352178.49</v>
      </c>
      <c r="D12" s="95">
        <f>'DOE25'!G12</f>
        <v>82.41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29499.26</v>
      </c>
      <c r="D13" s="95">
        <f>'DOE25'!G13</f>
        <v>53138.49</v>
      </c>
      <c r="E13" s="95">
        <f>'DOE25'!H13</f>
        <v>352260.9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6043.58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18926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3000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946408.42999999993</v>
      </c>
      <c r="D19" s="41">
        <f>SUM(D9:D18)</f>
        <v>55146.25</v>
      </c>
      <c r="E19" s="41">
        <f>SUM(E9:E18)</f>
        <v>352260.9</v>
      </c>
      <c r="F19" s="41">
        <f>SUM(F9:F18)</f>
        <v>0</v>
      </c>
      <c r="G19" s="41">
        <f>SUM(G9:G18)</f>
        <v>2878813.2800000003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352260.9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108170.39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45227.42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33510.699999999997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5889.4500000000007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9553.89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147595.54</v>
      </c>
      <c r="D32" s="41">
        <f>SUM(D22:D31)</f>
        <v>54781.31</v>
      </c>
      <c r="E32" s="41">
        <f>SUM(E22:E31)</f>
        <v>352260.9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19515.04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167689.37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364.94</v>
      </c>
      <c r="E40" s="95">
        <f>'DOE25'!H41</f>
        <v>0</v>
      </c>
      <c r="F40" s="95">
        <f>'DOE25'!I41</f>
        <v>0</v>
      </c>
      <c r="G40" s="95">
        <f>'DOE25'!J41</f>
        <v>2878813.2800000003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611608.48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798812.89</v>
      </c>
      <c r="D42" s="41">
        <f>SUM(D34:D41)</f>
        <v>364.94</v>
      </c>
      <c r="E42" s="41">
        <f>SUM(E34:E41)</f>
        <v>0</v>
      </c>
      <c r="F42" s="41">
        <f>SUM(F34:F41)</f>
        <v>0</v>
      </c>
      <c r="G42" s="41">
        <f>SUM(G34:G41)</f>
        <v>2878813.2800000003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946408.43</v>
      </c>
      <c r="D43" s="41">
        <f>D42+D32</f>
        <v>55146.25</v>
      </c>
      <c r="E43" s="41">
        <f>E42+E32</f>
        <v>352260.9</v>
      </c>
      <c r="F43" s="41">
        <f>F42+F32</f>
        <v>0</v>
      </c>
      <c r="G43" s="41">
        <f>G42+G32</f>
        <v>2878813.2800000003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13211465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24698.42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917.96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44877.79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295571.07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81306.429999999993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460000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106922.81</v>
      </c>
      <c r="D54" s="130">
        <f>SUM(D49:D53)</f>
        <v>295571.07</v>
      </c>
      <c r="E54" s="130">
        <f>SUM(E49:E53)</f>
        <v>0</v>
      </c>
      <c r="F54" s="130">
        <f>SUM(F49:F53)</f>
        <v>0</v>
      </c>
      <c r="G54" s="130">
        <f>SUM(G49:G53)</f>
        <v>504877.79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13318387.810000001</v>
      </c>
      <c r="D55" s="22">
        <f>D48+D54</f>
        <v>295571.07</v>
      </c>
      <c r="E55" s="22">
        <f>E48+E54</f>
        <v>0</v>
      </c>
      <c r="F55" s="22">
        <f>F48+F54</f>
        <v>0</v>
      </c>
      <c r="G55" s="22">
        <f>G48+G54</f>
        <v>504877.79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4994296.29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2400579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181141.71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7576017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434456.18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185252.26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10122.39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20400</v>
      </c>
      <c r="D69" s="95">
        <f>SUM('DOE25'!G123:G127)</f>
        <v>7665.63</v>
      </c>
      <c r="E69" s="95">
        <f>SUM('DOE25'!H123:H127)</f>
        <v>5364.43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650230.82999999996</v>
      </c>
      <c r="D70" s="130">
        <f>SUM(D64:D69)</f>
        <v>7665.63</v>
      </c>
      <c r="E70" s="130">
        <f>SUM(E64:E69)</f>
        <v>5364.43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8226247.8300000001</v>
      </c>
      <c r="D73" s="130">
        <f>SUM(D71:D72)+D70+D62</f>
        <v>7665.63</v>
      </c>
      <c r="E73" s="130">
        <f>SUM(E71:E72)+E70+E62</f>
        <v>5364.43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110041.38</v>
      </c>
      <c r="D80" s="95">
        <f>SUM('DOE25'!G145:G153)</f>
        <v>257830.86</v>
      </c>
      <c r="E80" s="95">
        <f>SUM('DOE25'!H145:H153)</f>
        <v>1217069.5699999998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110041.38</v>
      </c>
      <c r="D83" s="131">
        <f>SUM(D77:D82)</f>
        <v>257830.86</v>
      </c>
      <c r="E83" s="131">
        <f>SUM(E77:E82)</f>
        <v>1217069.5699999998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70500</v>
      </c>
      <c r="E88" s="95">
        <f>'DOE25'!H171</f>
        <v>0</v>
      </c>
      <c r="F88" s="95">
        <f>'DOE25'!I171</f>
        <v>0</v>
      </c>
      <c r="G88" s="95">
        <f>'DOE25'!J171</f>
        <v>159000</v>
      </c>
    </row>
    <row r="89" spans="1:7" x14ac:dyDescent="0.2">
      <c r="A89" t="s">
        <v>789</v>
      </c>
      <c r="B89" s="32" t="s">
        <v>211</v>
      </c>
      <c r="C89" s="95">
        <f>SUM('DOE25'!F172:F173)</f>
        <v>23936.92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23936.92</v>
      </c>
      <c r="D95" s="86">
        <f>SUM(D85:D94)</f>
        <v>70500</v>
      </c>
      <c r="E95" s="86">
        <f>SUM(E85:E94)</f>
        <v>0</v>
      </c>
      <c r="F95" s="86">
        <f>SUM(F85:F94)</f>
        <v>0</v>
      </c>
      <c r="G95" s="86">
        <f>SUM(G85:G94)</f>
        <v>159000</v>
      </c>
    </row>
    <row r="96" spans="1:7" ht="12.75" thickTop="1" thickBot="1" x14ac:dyDescent="0.25">
      <c r="A96" s="33" t="s">
        <v>796</v>
      </c>
      <c r="C96" s="86">
        <f>C55+C73+C83+C95</f>
        <v>21678613.940000001</v>
      </c>
      <c r="D96" s="86">
        <f>D55+D73+D83+D95</f>
        <v>631567.56000000006</v>
      </c>
      <c r="E96" s="86">
        <f>E55+E73+E83+E95</f>
        <v>1222433.9999999998</v>
      </c>
      <c r="F96" s="86">
        <f>F55+F73+F83+F95</f>
        <v>0</v>
      </c>
      <c r="G96" s="86">
        <f>G55+G73+G95</f>
        <v>663877.79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7171253.1299999999</v>
      </c>
      <c r="D101" s="24" t="s">
        <v>312</v>
      </c>
      <c r="E101" s="95">
        <f>('DOE25'!L268)+('DOE25'!L287)+('DOE25'!L306)</f>
        <v>479359.77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4705695.8</v>
      </c>
      <c r="D102" s="24" t="s">
        <v>312</v>
      </c>
      <c r="E102" s="95">
        <f>('DOE25'!L269)+('DOE25'!L288)+('DOE25'!L307)</f>
        <v>257258.86000000002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535198.96</v>
      </c>
      <c r="D103" s="24" t="s">
        <v>312</v>
      </c>
      <c r="E103" s="95">
        <f>('DOE25'!L270)+('DOE25'!L289)+('DOE25'!L308)</f>
        <v>44884.31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299868.42</v>
      </c>
      <c r="D104" s="24" t="s">
        <v>312</v>
      </c>
      <c r="E104" s="95">
        <f>+('DOE25'!L271)+('DOE25'!L290)+('DOE25'!L309)</f>
        <v>23434.48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6896.5999999999995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5213.25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12712016.310000001</v>
      </c>
      <c r="D107" s="86">
        <f>SUM(D101:D106)</f>
        <v>0</v>
      </c>
      <c r="E107" s="86">
        <f>SUM(E101:E106)</f>
        <v>817047.2699999999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1409334.07</v>
      </c>
      <c r="D110" s="24" t="s">
        <v>312</v>
      </c>
      <c r="E110" s="95">
        <f>+('DOE25'!L273)+('DOE25'!L292)+('DOE25'!L311)</f>
        <v>122241.67000000001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600778.1</v>
      </c>
      <c r="D111" s="24" t="s">
        <v>312</v>
      </c>
      <c r="E111" s="95">
        <f>+('DOE25'!L274)+('DOE25'!L293)+('DOE25'!L312)</f>
        <v>259902.09000000003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283657.73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1126621.2599999998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436705.65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1913731.8599999999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1299935.69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520383.32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631686.13000000012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7591147.6799999997</v>
      </c>
      <c r="D120" s="86">
        <f>SUM(D110:D119)</f>
        <v>631686.13000000012</v>
      </c>
      <c r="E120" s="86">
        <f>SUM(E110:E119)</f>
        <v>382143.76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7800</v>
      </c>
      <c r="D122" s="24" t="s">
        <v>312</v>
      </c>
      <c r="E122" s="129">
        <f>'DOE25'!L328</f>
        <v>0</v>
      </c>
      <c r="F122" s="129">
        <f>SUM('DOE25'!L366:'DOE25'!L372)</f>
        <v>190238.6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815000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364565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23936.92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70500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104408.11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84803.77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474665.91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-504877.79000000004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1416865</v>
      </c>
      <c r="D136" s="141">
        <f>SUM(D122:D135)</f>
        <v>0</v>
      </c>
      <c r="E136" s="141">
        <f>SUM(E122:E135)</f>
        <v>23936.92</v>
      </c>
      <c r="F136" s="141">
        <f>SUM(F122:F135)</f>
        <v>190238.6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21720028.990000002</v>
      </c>
      <c r="D137" s="86">
        <f>(D107+D120+D136)</f>
        <v>631686.13000000012</v>
      </c>
      <c r="E137" s="86">
        <f>(E107+E120+E136)</f>
        <v>1223127.9499999997</v>
      </c>
      <c r="F137" s="86">
        <f>(F107+F120+F136)</f>
        <v>190238.6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10</v>
      </c>
      <c r="D143" s="153">
        <f>'DOE25'!H480</f>
        <v>15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11/02</v>
      </c>
      <c r="C144" s="152" t="str">
        <f>'DOE25'!G481</f>
        <v>7/05</v>
      </c>
      <c r="D144" s="152" t="str">
        <f>'DOE25'!H481</f>
        <v>7/06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11/12</v>
      </c>
      <c r="C145" s="152" t="str">
        <f>'DOE25'!G482</f>
        <v>8/15</v>
      </c>
      <c r="D145" s="152" t="str">
        <f>'DOE25'!H482</f>
        <v>8/21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1300000</v>
      </c>
      <c r="C146" s="137">
        <f>'DOE25'!G483</f>
        <v>631625</v>
      </c>
      <c r="D146" s="137">
        <f>'DOE25'!H483</f>
        <v>9247684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3.4</v>
      </c>
      <c r="C147" s="137">
        <f>'DOE25'!G484</f>
        <v>5</v>
      </c>
      <c r="D147" s="137">
        <f>'DOE25'!H484</f>
        <v>5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390000</v>
      </c>
      <c r="C148" s="137">
        <f>'DOE25'!G485</f>
        <v>370000</v>
      </c>
      <c r="D148" s="137">
        <f>'DOE25'!H485</f>
        <v>7385000</v>
      </c>
      <c r="E148" s="137">
        <f>'DOE25'!I485</f>
        <v>0</v>
      </c>
      <c r="F148" s="137">
        <f>'DOE25'!J485</f>
        <v>0</v>
      </c>
      <c r="G148" s="138">
        <f>SUM(B148:F148)</f>
        <v>8145000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130000</v>
      </c>
      <c r="C150" s="137">
        <f>'DOE25'!G487</f>
        <v>65000</v>
      </c>
      <c r="D150" s="137">
        <f>'DOE25'!H487</f>
        <v>620000</v>
      </c>
      <c r="E150" s="137">
        <f>'DOE25'!I487</f>
        <v>0</v>
      </c>
      <c r="F150" s="137">
        <f>'DOE25'!J487</f>
        <v>0</v>
      </c>
      <c r="G150" s="138">
        <f t="shared" si="0"/>
        <v>815000</v>
      </c>
    </row>
    <row r="151" spans="1:7" x14ac:dyDescent="0.2">
      <c r="A151" s="22" t="s">
        <v>35</v>
      </c>
      <c r="B151" s="137">
        <f>'DOE25'!F488</f>
        <v>260000</v>
      </c>
      <c r="C151" s="137">
        <f>'DOE25'!G488</f>
        <v>305000</v>
      </c>
      <c r="D151" s="137">
        <f>'DOE25'!H488</f>
        <v>6765000</v>
      </c>
      <c r="E151" s="137">
        <f>'DOE25'!I488</f>
        <v>0</v>
      </c>
      <c r="F151" s="137">
        <f>'DOE25'!J488</f>
        <v>0</v>
      </c>
      <c r="G151" s="138">
        <f t="shared" si="0"/>
        <v>7330000</v>
      </c>
    </row>
    <row r="152" spans="1:7" x14ac:dyDescent="0.2">
      <c r="A152" s="22" t="s">
        <v>36</v>
      </c>
      <c r="B152" s="137">
        <f>'DOE25'!F489</f>
        <v>10075</v>
      </c>
      <c r="C152" s="137">
        <f>'DOE25'!G489</f>
        <v>37625</v>
      </c>
      <c r="D152" s="137">
        <f>'DOE25'!H489</f>
        <v>1776581.26</v>
      </c>
      <c r="E152" s="137">
        <f>'DOE25'!I489</f>
        <v>0</v>
      </c>
      <c r="F152" s="137">
        <f>'DOE25'!J489</f>
        <v>0</v>
      </c>
      <c r="G152" s="138">
        <f t="shared" si="0"/>
        <v>1824281.26</v>
      </c>
    </row>
    <row r="153" spans="1:7" x14ac:dyDescent="0.2">
      <c r="A153" s="22" t="s">
        <v>37</v>
      </c>
      <c r="B153" s="137">
        <f>'DOE25'!F490</f>
        <v>270075</v>
      </c>
      <c r="C153" s="137">
        <f>'DOE25'!G490</f>
        <v>342625</v>
      </c>
      <c r="D153" s="137">
        <f>'DOE25'!H490</f>
        <v>8541581.2599999998</v>
      </c>
      <c r="E153" s="137">
        <f>'DOE25'!I490</f>
        <v>0</v>
      </c>
      <c r="F153" s="137">
        <f>'DOE25'!J490</f>
        <v>0</v>
      </c>
      <c r="G153" s="138">
        <f t="shared" si="0"/>
        <v>9154281.2599999998</v>
      </c>
    </row>
    <row r="154" spans="1:7" x14ac:dyDescent="0.2">
      <c r="A154" s="22" t="s">
        <v>38</v>
      </c>
      <c r="B154" s="137">
        <f>'DOE25'!F491</f>
        <v>130000</v>
      </c>
      <c r="C154" s="137">
        <f>'DOE25'!G491</f>
        <v>65000</v>
      </c>
      <c r="D154" s="137">
        <f>'DOE25'!H491</f>
        <v>615000</v>
      </c>
      <c r="E154" s="137">
        <f>'DOE25'!I491</f>
        <v>0</v>
      </c>
      <c r="F154" s="137">
        <f>'DOE25'!J491</f>
        <v>0</v>
      </c>
      <c r="G154" s="138">
        <f t="shared" si="0"/>
        <v>810000</v>
      </c>
    </row>
    <row r="155" spans="1:7" x14ac:dyDescent="0.2">
      <c r="A155" s="22" t="s">
        <v>39</v>
      </c>
      <c r="B155" s="137">
        <f>'DOE25'!F492</f>
        <v>7540</v>
      </c>
      <c r="C155" s="137">
        <f>'DOE25'!G492</f>
        <v>13625</v>
      </c>
      <c r="D155" s="137">
        <f>'DOE25'!H492</f>
        <v>310575</v>
      </c>
      <c r="E155" s="137">
        <f>'DOE25'!I492</f>
        <v>0</v>
      </c>
      <c r="F155" s="137">
        <f>'DOE25'!J492</f>
        <v>0</v>
      </c>
      <c r="G155" s="138">
        <f t="shared" si="0"/>
        <v>331740</v>
      </c>
    </row>
    <row r="156" spans="1:7" x14ac:dyDescent="0.2">
      <c r="A156" s="22" t="s">
        <v>269</v>
      </c>
      <c r="B156" s="137">
        <f>'DOE25'!F493</f>
        <v>137540</v>
      </c>
      <c r="C156" s="137">
        <f>'DOE25'!G493</f>
        <v>78625</v>
      </c>
      <c r="D156" s="137">
        <f>'DOE25'!H493</f>
        <v>925575</v>
      </c>
      <c r="E156" s="137">
        <f>'DOE25'!I493</f>
        <v>0</v>
      </c>
      <c r="F156" s="137">
        <f>'DOE25'!J493</f>
        <v>0</v>
      </c>
      <c r="G156" s="138">
        <f t="shared" si="0"/>
        <v>1141740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BFA5-5A16-4BF3-B697-BCF5D4440BD2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Jaffrey-Rindge Coop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11792</v>
      </c>
    </row>
    <row r="5" spans="1:4" x14ac:dyDescent="0.2">
      <c r="B5" t="s">
        <v>735</v>
      </c>
      <c r="C5" s="179">
        <f>IF('DOE25'!G655+'DOE25'!G660=0,0,ROUND('DOE25'!G662,0))</f>
        <v>12409</v>
      </c>
    </row>
    <row r="6" spans="1:4" x14ac:dyDescent="0.2">
      <c r="B6" t="s">
        <v>62</v>
      </c>
      <c r="C6" s="179">
        <f>IF('DOE25'!H655+'DOE25'!H660=0,0,ROUND('DOE25'!H662,0))</f>
        <v>12474</v>
      </c>
    </row>
    <row r="7" spans="1:4" x14ac:dyDescent="0.2">
      <c r="B7" t="s">
        <v>736</v>
      </c>
      <c r="C7" s="179">
        <f>IF('DOE25'!I655+'DOE25'!I660=0,0,ROUND('DOE25'!I662,0))</f>
        <v>12141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7650613</v>
      </c>
      <c r="D10" s="182">
        <f>ROUND((C10/$C$28)*100,1)</f>
        <v>34.5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4962955</v>
      </c>
      <c r="D11" s="182">
        <f>ROUND((C11/$C$28)*100,1)</f>
        <v>22.4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580083</v>
      </c>
      <c r="D12" s="182">
        <f>ROUND((C12/$C$28)*100,1)</f>
        <v>2.6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323303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1531576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860680</v>
      </c>
      <c r="D16" s="182">
        <f t="shared" si="0"/>
        <v>3.9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804041</v>
      </c>
      <c r="D17" s="182">
        <f t="shared" si="0"/>
        <v>3.6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1126621</v>
      </c>
      <c r="D18" s="182">
        <f t="shared" si="0"/>
        <v>5.0999999999999996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436706</v>
      </c>
      <c r="D19" s="182">
        <f t="shared" si="0"/>
        <v>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1913732</v>
      </c>
      <c r="D20" s="182">
        <f t="shared" si="0"/>
        <v>8.6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1299936</v>
      </c>
      <c r="D21" s="182">
        <f t="shared" si="0"/>
        <v>5.9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6897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5213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364565</v>
      </c>
      <c r="D25" s="182">
        <f t="shared" si="0"/>
        <v>1.6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336114.93</v>
      </c>
      <c r="D27" s="182">
        <f t="shared" si="0"/>
        <v>1.5</v>
      </c>
    </row>
    <row r="28" spans="1:4" x14ac:dyDescent="0.2">
      <c r="B28" s="187" t="s">
        <v>754</v>
      </c>
      <c r="C28" s="180">
        <f>SUM(C10:C27)</f>
        <v>22203035.93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198039</v>
      </c>
    </row>
    <row r="30" spans="1:4" x14ac:dyDescent="0.2">
      <c r="B30" s="187" t="s">
        <v>760</v>
      </c>
      <c r="C30" s="180">
        <f>SUM(C28:C29)</f>
        <v>22401074.93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815000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13211465</v>
      </c>
      <c r="D35" s="182">
        <f t="shared" ref="D35:D40" si="1">ROUND((C35/$C$41)*100,1)</f>
        <v>55.9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611800.59999999963</v>
      </c>
      <c r="D36" s="182">
        <f t="shared" si="1"/>
        <v>2.6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7576017</v>
      </c>
      <c r="D37" s="182">
        <f t="shared" si="1"/>
        <v>32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663261</v>
      </c>
      <c r="D38" s="182">
        <f t="shared" si="1"/>
        <v>2.8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1584942</v>
      </c>
      <c r="D39" s="182">
        <f t="shared" si="1"/>
        <v>6.7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23647485.600000001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38B5-65B2-4804-80F6-B6E46E22F3B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Jaffrey-Rindge Coop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2011-09-07T17:18:44Z</cp:lastPrinted>
  <dcterms:created xsi:type="dcterms:W3CDTF">1997-12-04T19:04:30Z</dcterms:created>
  <dcterms:modified xsi:type="dcterms:W3CDTF">2025-01-10T20:08:21Z</dcterms:modified>
</cp:coreProperties>
</file>