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F05393D-FA74-4ACD-AF17-09FCA9BFD33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96639FD-10EB-48BC-9E1E-DC34CCDA648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5" i="1"/>
  <c r="H455" i="1"/>
  <c r="F455" i="1"/>
  <c r="G189" i="1"/>
  <c r="L189" i="1" s="1"/>
  <c r="G268" i="1"/>
  <c r="H147" i="1"/>
  <c r="E80" i="2" s="1"/>
  <c r="H23" i="1"/>
  <c r="H33" i="1" s="1"/>
  <c r="H13" i="1"/>
  <c r="F12" i="1"/>
  <c r="F42" i="1"/>
  <c r="F43" i="1" s="1"/>
  <c r="J455" i="1"/>
  <c r="J88" i="1"/>
  <c r="B19" i="12"/>
  <c r="B22" i="12" s="1"/>
  <c r="C10" i="12"/>
  <c r="G226" i="1"/>
  <c r="G513" i="1" s="1"/>
  <c r="G225" i="1"/>
  <c r="G208" i="1"/>
  <c r="G207" i="1"/>
  <c r="G221" i="1" s="1"/>
  <c r="G190" i="1"/>
  <c r="L190" i="1" s="1"/>
  <c r="B10" i="12"/>
  <c r="I226" i="1"/>
  <c r="I513" i="1"/>
  <c r="I208" i="1"/>
  <c r="I512" i="1"/>
  <c r="I190" i="1"/>
  <c r="I511" i="1" s="1"/>
  <c r="I514" i="1" s="1"/>
  <c r="I535" i="1" s="1"/>
  <c r="H226" i="1"/>
  <c r="H513" i="1"/>
  <c r="H208" i="1"/>
  <c r="H512" i="1"/>
  <c r="H190" i="1"/>
  <c r="H511" i="1" s="1"/>
  <c r="H514" i="1" s="1"/>
  <c r="G512" i="1"/>
  <c r="L512" i="1" s="1"/>
  <c r="F540" i="1" s="1"/>
  <c r="F208" i="1"/>
  <c r="F512" i="1"/>
  <c r="F190" i="1"/>
  <c r="B18" i="12" s="1"/>
  <c r="F511" i="1"/>
  <c r="F514" i="1" s="1"/>
  <c r="F535" i="1" s="1"/>
  <c r="I225" i="1"/>
  <c r="I239" i="1" s="1"/>
  <c r="H225" i="1"/>
  <c r="H239" i="1" s="1"/>
  <c r="I207" i="1"/>
  <c r="H207" i="1"/>
  <c r="H221" i="1" s="1"/>
  <c r="F207" i="1"/>
  <c r="I189" i="1"/>
  <c r="H189" i="1"/>
  <c r="H203" i="1" s="1"/>
  <c r="F189" i="1"/>
  <c r="G307" i="1"/>
  <c r="F307" i="1"/>
  <c r="L307" i="1" s="1"/>
  <c r="G288" i="1"/>
  <c r="F288" i="1"/>
  <c r="F301" i="1" s="1"/>
  <c r="G269" i="1"/>
  <c r="F269" i="1"/>
  <c r="L269" i="1" s="1"/>
  <c r="F226" i="1"/>
  <c r="F513" i="1" s="1"/>
  <c r="L513" i="1" s="1"/>
  <c r="F541" i="1" s="1"/>
  <c r="K513" i="1"/>
  <c r="K514" i="1" s="1"/>
  <c r="K535" i="1" s="1"/>
  <c r="K512" i="1"/>
  <c r="K511" i="1"/>
  <c r="J513" i="1"/>
  <c r="J514" i="1" s="1"/>
  <c r="J535" i="1" s="1"/>
  <c r="J512" i="1"/>
  <c r="J511" i="1"/>
  <c r="H533" i="1"/>
  <c r="L533" i="1" s="1"/>
  <c r="J541" i="1" s="1"/>
  <c r="H532" i="1"/>
  <c r="L532" i="1" s="1"/>
  <c r="J540" i="1" s="1"/>
  <c r="H531" i="1"/>
  <c r="H534" i="1" s="1"/>
  <c r="H359" i="1"/>
  <c r="G359" i="1"/>
  <c r="G361" i="1" s="1"/>
  <c r="I392" i="1"/>
  <c r="I393" i="1" s="1"/>
  <c r="I400" i="1" s="1"/>
  <c r="F359" i="1"/>
  <c r="H370" i="1"/>
  <c r="I88" i="1"/>
  <c r="F51" i="2" s="1"/>
  <c r="F54" i="2" s="1"/>
  <c r="F55" i="2" s="1"/>
  <c r="L370" i="1"/>
  <c r="L366" i="1"/>
  <c r="L367" i="1"/>
  <c r="L368" i="1"/>
  <c r="L369" i="1"/>
  <c r="C29" i="10" s="1"/>
  <c r="L371" i="1"/>
  <c r="L374" i="1" s="1"/>
  <c r="L372" i="1"/>
  <c r="L373" i="1"/>
  <c r="L268" i="1"/>
  <c r="E101" i="2" s="1"/>
  <c r="L270" i="1"/>
  <c r="L271" i="1"/>
  <c r="L273" i="1"/>
  <c r="L274" i="1"/>
  <c r="L275" i="1"/>
  <c r="E112" i="2" s="1"/>
  <c r="L276" i="1"/>
  <c r="L277" i="1"/>
  <c r="L278" i="1"/>
  <c r="L279" i="1"/>
  <c r="F652" i="1" s="1"/>
  <c r="I652" i="1" s="1"/>
  <c r="L280" i="1"/>
  <c r="L288" i="1"/>
  <c r="L287" i="1"/>
  <c r="L289" i="1"/>
  <c r="L290" i="1"/>
  <c r="L292" i="1"/>
  <c r="L293" i="1"/>
  <c r="L294" i="1"/>
  <c r="L295" i="1"/>
  <c r="L296" i="1"/>
  <c r="E114" i="2" s="1"/>
  <c r="L297" i="1"/>
  <c r="L298" i="1"/>
  <c r="L299" i="1"/>
  <c r="L301" i="1"/>
  <c r="L306" i="1"/>
  <c r="L308" i="1"/>
  <c r="L309" i="1"/>
  <c r="L311" i="1"/>
  <c r="E110" i="2" s="1"/>
  <c r="L312" i="1"/>
  <c r="L313" i="1"/>
  <c r="L314" i="1"/>
  <c r="L315" i="1"/>
  <c r="L316" i="1"/>
  <c r="L317" i="1"/>
  <c r="L318" i="1"/>
  <c r="C17" i="10" s="1"/>
  <c r="F329" i="1"/>
  <c r="G329" i="1"/>
  <c r="H329" i="1"/>
  <c r="I329" i="1"/>
  <c r="J329" i="1"/>
  <c r="K329" i="1"/>
  <c r="L329" i="1"/>
  <c r="L333" i="1"/>
  <c r="L334" i="1"/>
  <c r="L336" i="1"/>
  <c r="L343" i="1" s="1"/>
  <c r="L337" i="1"/>
  <c r="L338" i="1"/>
  <c r="L339" i="1"/>
  <c r="L341" i="1"/>
  <c r="E134" i="2" s="1"/>
  <c r="L342" i="1"/>
  <c r="E135" i="2" s="1"/>
  <c r="L350" i="1"/>
  <c r="F651" i="1" s="1"/>
  <c r="L351" i="1"/>
  <c r="L352" i="1"/>
  <c r="L353" i="1"/>
  <c r="L191" i="1"/>
  <c r="C12" i="10" s="1"/>
  <c r="L192" i="1"/>
  <c r="C104" i="2" s="1"/>
  <c r="L194" i="1"/>
  <c r="L195" i="1"/>
  <c r="C16" i="10" s="1"/>
  <c r="L196" i="1"/>
  <c r="E8" i="13" s="1"/>
  <c r="L197" i="1"/>
  <c r="L198" i="1"/>
  <c r="L199" i="1"/>
  <c r="D14" i="13" s="1"/>
  <c r="C14" i="13" s="1"/>
  <c r="L200" i="1"/>
  <c r="L201" i="1"/>
  <c r="L208" i="1"/>
  <c r="L207" i="1"/>
  <c r="L221" i="1" s="1"/>
  <c r="G650" i="1" s="1"/>
  <c r="L209" i="1"/>
  <c r="L210" i="1"/>
  <c r="L212" i="1"/>
  <c r="L213" i="1"/>
  <c r="L214" i="1"/>
  <c r="L215" i="1"/>
  <c r="L216" i="1"/>
  <c r="C114" i="2" s="1"/>
  <c r="L217" i="1"/>
  <c r="L218" i="1"/>
  <c r="L219" i="1"/>
  <c r="E16" i="13" s="1"/>
  <c r="C16" i="13" s="1"/>
  <c r="L226" i="1"/>
  <c r="L225" i="1"/>
  <c r="L239" i="1" s="1"/>
  <c r="L227" i="1"/>
  <c r="L228" i="1"/>
  <c r="L230" i="1"/>
  <c r="L231" i="1"/>
  <c r="L232" i="1"/>
  <c r="L233" i="1"/>
  <c r="D12" i="13" s="1"/>
  <c r="C12" i="13" s="1"/>
  <c r="L234" i="1"/>
  <c r="L235" i="1"/>
  <c r="L236" i="1"/>
  <c r="C116" i="2" s="1"/>
  <c r="L237" i="1"/>
  <c r="F248" i="1"/>
  <c r="G248" i="1"/>
  <c r="H248" i="1"/>
  <c r="I248" i="1"/>
  <c r="J248" i="1"/>
  <c r="K248" i="1"/>
  <c r="L248" i="1"/>
  <c r="F262" i="1"/>
  <c r="G262" i="1"/>
  <c r="H262" i="1"/>
  <c r="I262" i="1"/>
  <c r="J262" i="1"/>
  <c r="L262" i="1" s="1"/>
  <c r="K262" i="1"/>
  <c r="J175" i="1"/>
  <c r="J184" i="1"/>
  <c r="J52" i="1"/>
  <c r="J103" i="1"/>
  <c r="J104" i="1"/>
  <c r="J113" i="1"/>
  <c r="J128" i="1"/>
  <c r="J132" i="1"/>
  <c r="J185" i="1" s="1"/>
  <c r="I169" i="1"/>
  <c r="I175" i="1"/>
  <c r="I180" i="1"/>
  <c r="I184" i="1"/>
  <c r="I52" i="1"/>
  <c r="I139" i="1"/>
  <c r="F77" i="2" s="1"/>
  <c r="F83" i="2" s="1"/>
  <c r="I154" i="1"/>
  <c r="I161" i="1" s="1"/>
  <c r="I113" i="1"/>
  <c r="I128" i="1"/>
  <c r="I132" i="1" s="1"/>
  <c r="H52" i="1"/>
  <c r="E48" i="2" s="1"/>
  <c r="H71" i="1"/>
  <c r="H86" i="1"/>
  <c r="H103" i="1"/>
  <c r="H113" i="1"/>
  <c r="H132" i="1" s="1"/>
  <c r="H128" i="1"/>
  <c r="H139" i="1"/>
  <c r="H161" i="1" s="1"/>
  <c r="H154" i="1"/>
  <c r="H175" i="1"/>
  <c r="H180" i="1"/>
  <c r="H184" i="1" s="1"/>
  <c r="G52" i="1"/>
  <c r="D48" i="2" s="1"/>
  <c r="D55" i="2" s="1"/>
  <c r="G103" i="1"/>
  <c r="G104" i="1" s="1"/>
  <c r="G185" i="1" s="1"/>
  <c r="G113" i="1"/>
  <c r="G128" i="1"/>
  <c r="G132" i="1" s="1"/>
  <c r="G139" i="1"/>
  <c r="G154" i="1"/>
  <c r="G161" i="1"/>
  <c r="G175" i="1"/>
  <c r="G180" i="1"/>
  <c r="G184" i="1"/>
  <c r="F52" i="1"/>
  <c r="F104" i="1" s="1"/>
  <c r="F185" i="1" s="1"/>
  <c r="F71" i="1"/>
  <c r="F86" i="1"/>
  <c r="F103" i="1"/>
  <c r="F113" i="1"/>
  <c r="F132" i="1" s="1"/>
  <c r="F128" i="1"/>
  <c r="F139" i="1"/>
  <c r="F154" i="1"/>
  <c r="F161" i="1" s="1"/>
  <c r="F169" i="1"/>
  <c r="F175" i="1"/>
  <c r="F180" i="1"/>
  <c r="F184" i="1"/>
  <c r="I41" i="1"/>
  <c r="I25" i="1"/>
  <c r="I33" i="1" s="1"/>
  <c r="I44" i="1" s="1"/>
  <c r="H610" i="1" s="1"/>
  <c r="J610" i="1" s="1"/>
  <c r="I23" i="1"/>
  <c r="I9" i="1"/>
  <c r="F9" i="2" s="1"/>
  <c r="F19" i="2" s="1"/>
  <c r="H29" i="1"/>
  <c r="H31" i="1"/>
  <c r="H12" i="1"/>
  <c r="E12" i="2" s="1"/>
  <c r="G23" i="1"/>
  <c r="D22" i="2" s="1"/>
  <c r="D32" i="2" s="1"/>
  <c r="F30" i="1"/>
  <c r="C29" i="2" s="1"/>
  <c r="F29" i="1"/>
  <c r="C28" i="2" s="1"/>
  <c r="F13" i="1"/>
  <c r="C13" i="2" s="1"/>
  <c r="J239" i="1"/>
  <c r="J320" i="1"/>
  <c r="J594" i="1"/>
  <c r="J595" i="1" s="1"/>
  <c r="J221" i="1"/>
  <c r="J301" i="1"/>
  <c r="I594" i="1"/>
  <c r="G653" i="1" s="1"/>
  <c r="J203" i="1"/>
  <c r="J282" i="1"/>
  <c r="H594" i="1" s="1"/>
  <c r="H574" i="1"/>
  <c r="J485" i="1"/>
  <c r="F148" i="2" s="1"/>
  <c r="I488" i="1"/>
  <c r="H488" i="1"/>
  <c r="D151" i="2" s="1"/>
  <c r="G488" i="1"/>
  <c r="F488" i="1"/>
  <c r="C37" i="10"/>
  <c r="C60" i="2"/>
  <c r="B2" i="13"/>
  <c r="F8" i="13"/>
  <c r="G8" i="13"/>
  <c r="D39" i="13"/>
  <c r="F13" i="13"/>
  <c r="G13" i="13"/>
  <c r="F16" i="13"/>
  <c r="G16" i="13"/>
  <c r="F5" i="13"/>
  <c r="G5" i="13"/>
  <c r="F6" i="13"/>
  <c r="G6" i="13"/>
  <c r="F7" i="13"/>
  <c r="G7" i="13"/>
  <c r="F12" i="13"/>
  <c r="G12" i="13"/>
  <c r="F14" i="13"/>
  <c r="G14" i="13"/>
  <c r="F15" i="13"/>
  <c r="G15" i="13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G33" i="13" s="1"/>
  <c r="L245" i="1"/>
  <c r="D19" i="13" s="1"/>
  <c r="C19" i="13" s="1"/>
  <c r="F29" i="13"/>
  <c r="G29" i="13"/>
  <c r="K282" i="1"/>
  <c r="K301" i="1"/>
  <c r="K320" i="1"/>
  <c r="G31" i="13"/>
  <c r="L325" i="1"/>
  <c r="E106" i="2" s="1"/>
  <c r="L326" i="1"/>
  <c r="L327" i="1"/>
  <c r="L252" i="1"/>
  <c r="L253" i="1"/>
  <c r="H25" i="13"/>
  <c r="C25" i="13" s="1"/>
  <c r="L247" i="1"/>
  <c r="L328" i="1"/>
  <c r="F22" i="13"/>
  <c r="C11" i="13"/>
  <c r="C10" i="13"/>
  <c r="C9" i="13"/>
  <c r="B4" i="12"/>
  <c r="B36" i="12"/>
  <c r="C36" i="12"/>
  <c r="A40" i="12" s="1"/>
  <c r="B40" i="12"/>
  <c r="C40" i="12"/>
  <c r="B27" i="12"/>
  <c r="C27" i="12"/>
  <c r="A31" i="12" s="1"/>
  <c r="B31" i="12"/>
  <c r="C31" i="12"/>
  <c r="B9" i="12"/>
  <c r="B13" i="12"/>
  <c r="C13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6" i="1"/>
  <c r="L399" i="1" s="1"/>
  <c r="C132" i="2" s="1"/>
  <c r="L397" i="1"/>
  <c r="L398" i="1"/>
  <c r="L258" i="1"/>
  <c r="G48" i="2"/>
  <c r="G51" i="2"/>
  <c r="G53" i="2"/>
  <c r="G54" i="2" s="1"/>
  <c r="F2" i="11"/>
  <c r="L603" i="1"/>
  <c r="H653" i="1"/>
  <c r="L602" i="1"/>
  <c r="L601" i="1"/>
  <c r="C40" i="10"/>
  <c r="C13" i="10"/>
  <c r="C15" i="10"/>
  <c r="C21" i="10"/>
  <c r="L242" i="1"/>
  <c r="L324" i="1"/>
  <c r="C23" i="10"/>
  <c r="L246" i="1"/>
  <c r="C24" i="10"/>
  <c r="C25" i="10"/>
  <c r="L260" i="1"/>
  <c r="C134" i="2" s="1"/>
  <c r="L261" i="1"/>
  <c r="C135" i="2" s="1"/>
  <c r="I655" i="1"/>
  <c r="H651" i="1"/>
  <c r="G652" i="1"/>
  <c r="H652" i="1"/>
  <c r="I659" i="1"/>
  <c r="I660" i="1"/>
  <c r="C42" i="10"/>
  <c r="C32" i="10"/>
  <c r="B2" i="10"/>
  <c r="K343" i="1"/>
  <c r="K344" i="1" s="1"/>
  <c r="L516" i="1"/>
  <c r="G539" i="1"/>
  <c r="L517" i="1"/>
  <c r="G540" i="1"/>
  <c r="L518" i="1"/>
  <c r="G541" i="1" s="1"/>
  <c r="L521" i="1"/>
  <c r="H539" i="1" s="1"/>
  <c r="H542" i="1" s="1"/>
  <c r="L522" i="1"/>
  <c r="H540" i="1" s="1"/>
  <c r="L523" i="1"/>
  <c r="H541" i="1" s="1"/>
  <c r="L526" i="1"/>
  <c r="I539" i="1"/>
  <c r="L527" i="1"/>
  <c r="L529" i="1" s="1"/>
  <c r="L528" i="1"/>
  <c r="I541" i="1"/>
  <c r="L531" i="1"/>
  <c r="E124" i="2"/>
  <c r="E123" i="2"/>
  <c r="C124" i="2"/>
  <c r="C123" i="2"/>
  <c r="A1" i="2"/>
  <c r="A2" i="2"/>
  <c r="C9" i="2"/>
  <c r="D9" i="2"/>
  <c r="E9" i="2"/>
  <c r="E19" i="2" s="1"/>
  <c r="I431" i="1"/>
  <c r="J9" i="1"/>
  <c r="G9" i="2" s="1"/>
  <c r="C10" i="2"/>
  <c r="D10" i="2"/>
  <c r="D19" i="2" s="1"/>
  <c r="E10" i="2"/>
  <c r="F10" i="2"/>
  <c r="I432" i="1"/>
  <c r="I438" i="1" s="1"/>
  <c r="G632" i="1" s="1"/>
  <c r="J632" i="1" s="1"/>
  <c r="C11" i="2"/>
  <c r="C12" i="2"/>
  <c r="C19" i="2" s="1"/>
  <c r="D12" i="2"/>
  <c r="F12" i="2"/>
  <c r="I433" i="1"/>
  <c r="J12" i="1"/>
  <c r="G12" i="2" s="1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E22" i="2"/>
  <c r="E32" i="2" s="1"/>
  <c r="F22" i="2"/>
  <c r="I440" i="1"/>
  <c r="J23" i="1"/>
  <c r="C23" i="2"/>
  <c r="D23" i="2"/>
  <c r="E23" i="2"/>
  <c r="F23" i="2"/>
  <c r="I441" i="1"/>
  <c r="J24" i="1"/>
  <c r="G23" i="2" s="1"/>
  <c r="G32" i="2" s="1"/>
  <c r="C24" i="2"/>
  <c r="D24" i="2"/>
  <c r="E24" i="2"/>
  <c r="I442" i="1"/>
  <c r="J25" i="1"/>
  <c r="G24" i="2" s="1"/>
  <c r="C25" i="2"/>
  <c r="D25" i="2"/>
  <c r="E25" i="2"/>
  <c r="F25" i="2"/>
  <c r="C26" i="2"/>
  <c r="F26" i="2"/>
  <c r="C27" i="2"/>
  <c r="F27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D43" i="2" s="1"/>
  <c r="E34" i="2"/>
  <c r="F34" i="2"/>
  <c r="C35" i="2"/>
  <c r="D35" i="2"/>
  <c r="E35" i="2"/>
  <c r="F35" i="2"/>
  <c r="F42" i="2" s="1"/>
  <c r="C36" i="2"/>
  <c r="D36" i="2"/>
  <c r="E36" i="2"/>
  <c r="F36" i="2"/>
  <c r="I446" i="1"/>
  <c r="I450" i="1" s="1"/>
  <c r="J37" i="1"/>
  <c r="G36" i="2" s="1"/>
  <c r="C37" i="2"/>
  <c r="D37" i="2"/>
  <c r="E37" i="2"/>
  <c r="E42" i="2" s="1"/>
  <c r="E43" i="2" s="1"/>
  <c r="F37" i="2"/>
  <c r="I447" i="1"/>
  <c r="J38" i="1"/>
  <c r="C38" i="2"/>
  <c r="D38" i="2"/>
  <c r="E38" i="2"/>
  <c r="F38" i="2"/>
  <c r="I448" i="1"/>
  <c r="J40" i="1" s="1"/>
  <c r="C40" i="2"/>
  <c r="D40" i="2"/>
  <c r="E40" i="2"/>
  <c r="F40" i="2"/>
  <c r="I449" i="1"/>
  <c r="J41" i="1"/>
  <c r="G40" i="2"/>
  <c r="D41" i="2"/>
  <c r="E41" i="2"/>
  <c r="F41" i="2"/>
  <c r="C48" i="2"/>
  <c r="F48" i="2"/>
  <c r="C49" i="2"/>
  <c r="C54" i="2" s="1"/>
  <c r="E49" i="2"/>
  <c r="E54" i="2" s="1"/>
  <c r="C50" i="2"/>
  <c r="E50" i="2"/>
  <c r="C51" i="2"/>
  <c r="D51" i="2"/>
  <c r="D54" i="2" s="1"/>
  <c r="E51" i="2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/>
  <c r="F61" i="2"/>
  <c r="G61" i="2"/>
  <c r="G62" i="2"/>
  <c r="G73" i="2" s="1"/>
  <c r="F62" i="2"/>
  <c r="C64" i="2"/>
  <c r="C70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F69" i="2"/>
  <c r="G69" i="2"/>
  <c r="E70" i="2"/>
  <c r="E73" i="2" s="1"/>
  <c r="G70" i="2"/>
  <c r="C71" i="2"/>
  <c r="D71" i="2"/>
  <c r="E71" i="2"/>
  <c r="C72" i="2"/>
  <c r="E72" i="2"/>
  <c r="C77" i="2"/>
  <c r="D77" i="2"/>
  <c r="D83" i="2" s="1"/>
  <c r="E77" i="2"/>
  <c r="E83" i="2" s="1"/>
  <c r="C79" i="2"/>
  <c r="E79" i="2"/>
  <c r="F79" i="2"/>
  <c r="C80" i="2"/>
  <c r="D80" i="2"/>
  <c r="F80" i="2"/>
  <c r="C81" i="2"/>
  <c r="D81" i="2"/>
  <c r="E81" i="2"/>
  <c r="F81" i="2"/>
  <c r="C82" i="2"/>
  <c r="C85" i="2"/>
  <c r="F85" i="2"/>
  <c r="C86" i="2"/>
  <c r="C95" i="2" s="1"/>
  <c r="F86" i="2"/>
  <c r="F95" i="2" s="1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E91" i="2"/>
  <c r="E92" i="2"/>
  <c r="E93" i="2"/>
  <c r="E94" i="2"/>
  <c r="E95" i="2" s="1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G95" i="2"/>
  <c r="E104" i="2"/>
  <c r="E103" i="2"/>
  <c r="E105" i="2"/>
  <c r="C105" i="2"/>
  <c r="D107" i="2"/>
  <c r="F107" i="2"/>
  <c r="G107" i="2"/>
  <c r="G137" i="2" s="1"/>
  <c r="C110" i="2"/>
  <c r="C111" i="2"/>
  <c r="E111" i="2"/>
  <c r="C113" i="2"/>
  <c r="C117" i="2"/>
  <c r="E113" i="2"/>
  <c r="E115" i="2"/>
  <c r="E116" i="2"/>
  <c r="F120" i="2"/>
  <c r="G120" i="2"/>
  <c r="C122" i="2"/>
  <c r="E122" i="2"/>
  <c r="F122" i="2"/>
  <c r="F136" i="2" s="1"/>
  <c r="F137" i="2" s="1"/>
  <c r="D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B149" i="2"/>
  <c r="C149" i="2"/>
  <c r="D149" i="2"/>
  <c r="E149" i="2"/>
  <c r="B150" i="2"/>
  <c r="C150" i="2"/>
  <c r="D150" i="2"/>
  <c r="E150" i="2"/>
  <c r="F150" i="2"/>
  <c r="G150" i="2" s="1"/>
  <c r="B151" i="2"/>
  <c r="C151" i="2"/>
  <c r="E151" i="2"/>
  <c r="B152" i="2"/>
  <c r="C152" i="2"/>
  <c r="D152" i="2"/>
  <c r="E152" i="2"/>
  <c r="F152" i="2"/>
  <c r="F490" i="1"/>
  <c r="B153" i="2"/>
  <c r="G490" i="1"/>
  <c r="C153" i="2"/>
  <c r="I490" i="1"/>
  <c r="E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493" i="1"/>
  <c r="C156" i="2"/>
  <c r="H493" i="1"/>
  <c r="D156" i="2"/>
  <c r="I493" i="1"/>
  <c r="E156" i="2"/>
  <c r="J493" i="1"/>
  <c r="F156" i="2" s="1"/>
  <c r="G19" i="1"/>
  <c r="G608" i="1" s="1"/>
  <c r="J608" i="1" s="1"/>
  <c r="H19" i="1"/>
  <c r="I19" i="1"/>
  <c r="G33" i="1"/>
  <c r="G43" i="1"/>
  <c r="G44" i="1" s="1"/>
  <c r="H608" i="1" s="1"/>
  <c r="H43" i="1"/>
  <c r="H44" i="1" s="1"/>
  <c r="H609" i="1" s="1"/>
  <c r="G609" i="1"/>
  <c r="J609" i="1" s="1"/>
  <c r="I43" i="1"/>
  <c r="F203" i="1"/>
  <c r="G203" i="1"/>
  <c r="G249" i="1" s="1"/>
  <c r="G263" i="1" s="1"/>
  <c r="I203" i="1"/>
  <c r="I249" i="1" s="1"/>
  <c r="I263" i="1" s="1"/>
  <c r="I221" i="1"/>
  <c r="K203" i="1"/>
  <c r="K239" i="1"/>
  <c r="K221" i="1"/>
  <c r="K249" i="1"/>
  <c r="K263" i="1"/>
  <c r="F221" i="1"/>
  <c r="G239" i="1"/>
  <c r="F239" i="1"/>
  <c r="F249" i="1" s="1"/>
  <c r="F263" i="1" s="1"/>
  <c r="J249" i="1"/>
  <c r="J263" i="1" s="1"/>
  <c r="G282" i="1"/>
  <c r="G330" i="1" s="1"/>
  <c r="G344" i="1" s="1"/>
  <c r="G320" i="1"/>
  <c r="G301" i="1"/>
  <c r="H282" i="1"/>
  <c r="H330" i="1" s="1"/>
  <c r="H344" i="1" s="1"/>
  <c r="I282" i="1"/>
  <c r="I330" i="1" s="1"/>
  <c r="I344" i="1" s="1"/>
  <c r="I301" i="1"/>
  <c r="I320" i="1"/>
  <c r="H301" i="1"/>
  <c r="H320" i="1"/>
  <c r="K330" i="1"/>
  <c r="J330" i="1"/>
  <c r="J344" i="1" s="1"/>
  <c r="F354" i="1"/>
  <c r="G354" i="1"/>
  <c r="H354" i="1"/>
  <c r="I354" i="1"/>
  <c r="J354" i="1"/>
  <c r="K354" i="1"/>
  <c r="I360" i="1"/>
  <c r="F361" i="1"/>
  <c r="H361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F399" i="1"/>
  <c r="G399" i="1"/>
  <c r="H399" i="1"/>
  <c r="I399" i="1"/>
  <c r="G400" i="1"/>
  <c r="H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F438" i="1"/>
  <c r="G629" i="1" s="1"/>
  <c r="G438" i="1"/>
  <c r="H438" i="1"/>
  <c r="G631" i="1" s="1"/>
  <c r="F444" i="1"/>
  <c r="G444" i="1"/>
  <c r="G451" i="1" s="1"/>
  <c r="H630" i="1" s="1"/>
  <c r="H444" i="1"/>
  <c r="H451" i="1" s="1"/>
  <c r="H631" i="1" s="1"/>
  <c r="I444" i="1"/>
  <c r="I451" i="1" s="1"/>
  <c r="H632" i="1" s="1"/>
  <c r="F450" i="1"/>
  <c r="G450" i="1"/>
  <c r="H450" i="1"/>
  <c r="F451" i="1"/>
  <c r="H629" i="1" s="1"/>
  <c r="G615" i="1"/>
  <c r="J464" i="1"/>
  <c r="K487" i="1"/>
  <c r="K489" i="1"/>
  <c r="K491" i="1"/>
  <c r="K492" i="1"/>
  <c r="K493" i="1"/>
  <c r="F507" i="1"/>
  <c r="G507" i="1"/>
  <c r="H507" i="1"/>
  <c r="I507" i="1"/>
  <c r="F519" i="1"/>
  <c r="F524" i="1"/>
  <c r="F529" i="1"/>
  <c r="F534" i="1"/>
  <c r="H519" i="1"/>
  <c r="H529" i="1"/>
  <c r="H524" i="1"/>
  <c r="J519" i="1"/>
  <c r="J529" i="1"/>
  <c r="J524" i="1"/>
  <c r="J534" i="1"/>
  <c r="L519" i="1"/>
  <c r="G519" i="1"/>
  <c r="I519" i="1"/>
  <c r="K519" i="1"/>
  <c r="G524" i="1"/>
  <c r="I524" i="1"/>
  <c r="K524" i="1"/>
  <c r="G529" i="1"/>
  <c r="I529" i="1"/>
  <c r="K529" i="1"/>
  <c r="G534" i="1"/>
  <c r="I534" i="1"/>
  <c r="K534" i="1"/>
  <c r="L547" i="1"/>
  <c r="L550" i="1" s="1"/>
  <c r="L548" i="1"/>
  <c r="L549" i="1"/>
  <c r="F550" i="1"/>
  <c r="F561" i="1" s="1"/>
  <c r="G550" i="1"/>
  <c r="G555" i="1"/>
  <c r="G560" i="1"/>
  <c r="G561" i="1"/>
  <c r="H550" i="1"/>
  <c r="H561" i="1" s="1"/>
  <c r="I550" i="1"/>
  <c r="I561" i="1" s="1"/>
  <c r="I555" i="1"/>
  <c r="I560" i="1"/>
  <c r="J550" i="1"/>
  <c r="K550" i="1"/>
  <c r="K555" i="1"/>
  <c r="K561" i="1" s="1"/>
  <c r="K560" i="1"/>
  <c r="L552" i="1"/>
  <c r="L553" i="1"/>
  <c r="L554" i="1"/>
  <c r="L555" i="1" s="1"/>
  <c r="F555" i="1"/>
  <c r="H555" i="1"/>
  <c r="J555" i="1"/>
  <c r="J561" i="1" s="1"/>
  <c r="L557" i="1"/>
  <c r="L560" i="1" s="1"/>
  <c r="L558" i="1"/>
  <c r="L559" i="1"/>
  <c r="F560" i="1"/>
  <c r="H560" i="1"/>
  <c r="J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 s="1"/>
  <c r="K592" i="1"/>
  <c r="K593" i="1"/>
  <c r="I595" i="1"/>
  <c r="F604" i="1"/>
  <c r="G604" i="1"/>
  <c r="H604" i="1"/>
  <c r="I604" i="1"/>
  <c r="J604" i="1"/>
  <c r="K604" i="1"/>
  <c r="L604" i="1"/>
  <c r="G610" i="1"/>
  <c r="G624" i="1"/>
  <c r="H628" i="1"/>
  <c r="G630" i="1"/>
  <c r="G633" i="1"/>
  <c r="J633" i="1" s="1"/>
  <c r="G634" i="1"/>
  <c r="J634" i="1" s="1"/>
  <c r="H634" i="1"/>
  <c r="G635" i="1"/>
  <c r="J635" i="1" s="1"/>
  <c r="H635" i="1"/>
  <c r="H637" i="1"/>
  <c r="G639" i="1"/>
  <c r="G640" i="1"/>
  <c r="J640" i="1" s="1"/>
  <c r="G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G152" i="2"/>
  <c r="C83" i="2"/>
  <c r="D6" i="13"/>
  <c r="C6" i="13" s="1"/>
  <c r="G37" i="2"/>
  <c r="G22" i="2"/>
  <c r="J33" i="1"/>
  <c r="C22" i="13"/>
  <c r="G458" i="1" l="1"/>
  <c r="G618" i="1"/>
  <c r="J631" i="1"/>
  <c r="K595" i="1"/>
  <c r="G638" i="1" s="1"/>
  <c r="J638" i="1" s="1"/>
  <c r="J43" i="1"/>
  <c r="G39" i="2"/>
  <c r="C32" i="2"/>
  <c r="A13" i="12"/>
  <c r="K540" i="1"/>
  <c r="C11" i="10"/>
  <c r="C102" i="2"/>
  <c r="A22" i="12"/>
  <c r="J630" i="1"/>
  <c r="G617" i="1"/>
  <c r="F458" i="1"/>
  <c r="J629" i="1"/>
  <c r="C73" i="2"/>
  <c r="C55" i="2"/>
  <c r="C96" i="2" s="1"/>
  <c r="H249" i="1"/>
  <c r="H263" i="1" s="1"/>
  <c r="H535" i="1"/>
  <c r="I462" i="1"/>
  <c r="G626" i="1"/>
  <c r="G612" i="1"/>
  <c r="G42" i="2"/>
  <c r="G43" i="2" s="1"/>
  <c r="J641" i="1"/>
  <c r="G55" i="2"/>
  <c r="G96" i="2" s="1"/>
  <c r="E120" i="2"/>
  <c r="F96" i="2"/>
  <c r="L561" i="1"/>
  <c r="D73" i="2"/>
  <c r="D96" i="2" s="1"/>
  <c r="C10" i="10"/>
  <c r="L203" i="1"/>
  <c r="D5" i="13"/>
  <c r="C101" i="2"/>
  <c r="C39" i="10"/>
  <c r="G156" i="2"/>
  <c r="H595" i="1"/>
  <c r="F653" i="1"/>
  <c r="I653" i="1" s="1"/>
  <c r="K594" i="1"/>
  <c r="G621" i="1"/>
  <c r="G636" i="1"/>
  <c r="J458" i="1"/>
  <c r="L320" i="1"/>
  <c r="H650" i="1" s="1"/>
  <c r="H654" i="1" s="1"/>
  <c r="E107" i="2"/>
  <c r="K541" i="1"/>
  <c r="E102" i="2"/>
  <c r="L534" i="1"/>
  <c r="G542" i="1"/>
  <c r="C130" i="2"/>
  <c r="C133" i="2" s="1"/>
  <c r="C136" i="2" s="1"/>
  <c r="L400" i="1"/>
  <c r="C38" i="10"/>
  <c r="E55" i="2"/>
  <c r="E96" i="2" s="1"/>
  <c r="E33" i="13"/>
  <c r="D35" i="13" s="1"/>
  <c r="C8" i="13"/>
  <c r="D15" i="13"/>
  <c r="C15" i="13" s="1"/>
  <c r="H638" i="1"/>
  <c r="L524" i="1"/>
  <c r="K485" i="1"/>
  <c r="G613" i="1"/>
  <c r="F320" i="1"/>
  <c r="C115" i="2"/>
  <c r="C106" i="2"/>
  <c r="F31" i="13"/>
  <c r="F33" i="13" s="1"/>
  <c r="I103" i="1"/>
  <c r="I104" i="1" s="1"/>
  <c r="I185" i="1" s="1"/>
  <c r="L354" i="1"/>
  <c r="G511" i="1"/>
  <c r="G514" i="1" s="1"/>
  <c r="G535" i="1" s="1"/>
  <c r="F282" i="1"/>
  <c r="F330" i="1" s="1"/>
  <c r="F344" i="1" s="1"/>
  <c r="F33" i="1"/>
  <c r="F44" i="1" s="1"/>
  <c r="H607" i="1" s="1"/>
  <c r="D119" i="2"/>
  <c r="D120" i="2" s="1"/>
  <c r="D137" i="2" s="1"/>
  <c r="C20" i="10"/>
  <c r="C9" i="12"/>
  <c r="I359" i="1"/>
  <c r="E13" i="13"/>
  <c r="C13" i="13" s="1"/>
  <c r="L282" i="1"/>
  <c r="G614" i="1"/>
  <c r="E117" i="2"/>
  <c r="C112" i="2"/>
  <c r="C120" i="2" s="1"/>
  <c r="C103" i="2"/>
  <c r="F24" i="2"/>
  <c r="F32" i="2" s="1"/>
  <c r="F43" i="2" s="1"/>
  <c r="J539" i="1"/>
  <c r="J542" i="1" s="1"/>
  <c r="C19" i="10"/>
  <c r="D7" i="13"/>
  <c r="C7" i="13" s="1"/>
  <c r="J486" i="1"/>
  <c r="J10" i="1"/>
  <c r="C26" i="10"/>
  <c r="C18" i="10"/>
  <c r="J488" i="1"/>
  <c r="K488" i="1" s="1"/>
  <c r="E126" i="2"/>
  <c r="E136" i="2" s="1"/>
  <c r="F19" i="1"/>
  <c r="G607" i="1" s="1"/>
  <c r="L511" i="1"/>
  <c r="C41" i="2"/>
  <c r="C42" i="2" s="1"/>
  <c r="C43" i="2" s="1"/>
  <c r="I540" i="1"/>
  <c r="I542" i="1" s="1"/>
  <c r="C35" i="10"/>
  <c r="H33" i="13"/>
  <c r="G651" i="1"/>
  <c r="G654" i="1" s="1"/>
  <c r="H104" i="1"/>
  <c r="H185" i="1" s="1"/>
  <c r="H490" i="1"/>
  <c r="C18" i="12"/>
  <c r="H657" i="1" l="1"/>
  <c r="H662" i="1"/>
  <c r="C6" i="10" s="1"/>
  <c r="G662" i="1"/>
  <c r="C5" i="10" s="1"/>
  <c r="G657" i="1"/>
  <c r="J621" i="1"/>
  <c r="J19" i="1"/>
  <c r="G611" i="1" s="1"/>
  <c r="G10" i="2"/>
  <c r="G19" i="2" s="1"/>
  <c r="G619" i="1"/>
  <c r="H458" i="1"/>
  <c r="H636" i="1"/>
  <c r="G627" i="1"/>
  <c r="C36" i="10"/>
  <c r="H617" i="1"/>
  <c r="F460" i="1"/>
  <c r="F539" i="1"/>
  <c r="L514" i="1"/>
  <c r="L535" i="1" s="1"/>
  <c r="E137" i="2"/>
  <c r="I361" i="1"/>
  <c r="H624" i="1" s="1"/>
  <c r="J624" i="1" s="1"/>
  <c r="D29" i="13"/>
  <c r="C29" i="13" s="1"/>
  <c r="I651" i="1"/>
  <c r="K486" i="1"/>
  <c r="F149" i="2"/>
  <c r="G149" i="2" s="1"/>
  <c r="J617" i="1"/>
  <c r="G616" i="1"/>
  <c r="J44" i="1"/>
  <c r="H611" i="1" s="1"/>
  <c r="I464" i="1"/>
  <c r="H626" i="1"/>
  <c r="J626" i="1" s="1"/>
  <c r="G462" i="1"/>
  <c r="C27" i="10"/>
  <c r="G625" i="1"/>
  <c r="J607" i="1"/>
  <c r="I458" i="1"/>
  <c r="G620" i="1"/>
  <c r="C107" i="2"/>
  <c r="C137" i="2" s="1"/>
  <c r="F151" i="2"/>
  <c r="G151" i="2" s="1"/>
  <c r="J490" i="1"/>
  <c r="F153" i="2" s="1"/>
  <c r="H627" i="1"/>
  <c r="H621" i="1"/>
  <c r="J460" i="1"/>
  <c r="J466" i="1" s="1"/>
  <c r="H616" i="1" s="1"/>
  <c r="D33" i="13"/>
  <c r="D36" i="13" s="1"/>
  <c r="C5" i="13"/>
  <c r="D153" i="2"/>
  <c r="L330" i="1"/>
  <c r="L344" i="1" s="1"/>
  <c r="D31" i="13"/>
  <c r="C31" i="13" s="1"/>
  <c r="J636" i="1"/>
  <c r="F650" i="1"/>
  <c r="L249" i="1"/>
  <c r="L263" i="1" s="1"/>
  <c r="G460" i="1"/>
  <c r="H618" i="1"/>
  <c r="J618" i="1" s="1"/>
  <c r="J616" i="1" l="1"/>
  <c r="K490" i="1"/>
  <c r="K539" i="1"/>
  <c r="K542" i="1" s="1"/>
  <c r="F542" i="1"/>
  <c r="D36" i="10"/>
  <c r="J627" i="1"/>
  <c r="G153" i="2"/>
  <c r="J620" i="1"/>
  <c r="C41" i="10"/>
  <c r="H625" i="1"/>
  <c r="J625" i="1" s="1"/>
  <c r="G464" i="1"/>
  <c r="G466" i="1" s="1"/>
  <c r="H613" i="1" s="1"/>
  <c r="J613" i="1" s="1"/>
  <c r="H462" i="1"/>
  <c r="G623" i="1"/>
  <c r="I460" i="1"/>
  <c r="I466" i="1" s="1"/>
  <c r="H615" i="1" s="1"/>
  <c r="J615" i="1" s="1"/>
  <c r="H620" i="1"/>
  <c r="J611" i="1"/>
  <c r="G622" i="1"/>
  <c r="F462" i="1"/>
  <c r="I650" i="1"/>
  <c r="I654" i="1" s="1"/>
  <c r="F654" i="1"/>
  <c r="C28" i="10"/>
  <c r="H619" i="1"/>
  <c r="J619" i="1" s="1"/>
  <c r="H460" i="1"/>
  <c r="F657" i="1" l="1"/>
  <c r="F662" i="1"/>
  <c r="C4" i="10" s="1"/>
  <c r="J622" i="1"/>
  <c r="I662" i="1"/>
  <c r="C7" i="10" s="1"/>
  <c r="I657" i="1"/>
  <c r="H464" i="1"/>
  <c r="H466" i="1" s="1"/>
  <c r="H614" i="1" s="1"/>
  <c r="H623" i="1"/>
  <c r="H622" i="1"/>
  <c r="F464" i="1"/>
  <c r="F466" i="1" s="1"/>
  <c r="H612" i="1" s="1"/>
  <c r="J612" i="1" s="1"/>
  <c r="J623" i="1"/>
  <c r="D24" i="10"/>
  <c r="C30" i="10"/>
  <c r="D23" i="10"/>
  <c r="D22" i="10"/>
  <c r="D15" i="10"/>
  <c r="D12" i="10"/>
  <c r="D25" i="10"/>
  <c r="D16" i="10"/>
  <c r="D17" i="10"/>
  <c r="D13" i="10"/>
  <c r="D21" i="10"/>
  <c r="D26" i="10"/>
  <c r="D10" i="10"/>
  <c r="D18" i="10"/>
  <c r="D19" i="10"/>
  <c r="D20" i="10"/>
  <c r="D11" i="10"/>
  <c r="D37" i="10"/>
  <c r="D40" i="10"/>
  <c r="D38" i="10"/>
  <c r="D39" i="10"/>
  <c r="D35" i="10"/>
  <c r="D27" i="10"/>
  <c r="J614" i="1" l="1"/>
  <c r="H646" i="1"/>
  <c r="D41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67F78CA-327C-4DEB-95CA-12625DA6EBC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DC67EDB-2522-485F-B088-5FC265688FD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94BB782-5EE4-4FF6-BB06-6D3034574F5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FA03E9F-8C86-42CB-855A-BE940097BFF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102D844-7083-4D31-8BE2-13E4D7DBDD3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3FA31A7-876F-4C28-B80E-2D537FDFB11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F8CD3E5-C63E-4C5E-8910-2FEB3D85A3E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165C027-F39C-412C-9A8C-9C98C04FBBA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13C5509-DAFE-4552-B114-F6A0558E8C1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B9ACF2B-D4C6-411E-A302-0CF582E8B4D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B91F439-8F33-47B4-AFB6-B63F64F0EE1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B99898C-A4D7-43E9-AED9-659028695EA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<sst xmlns="http://schemas.openxmlformats.org/spreadsheetml/2006/main" count="3868" uniqueCount="905">
  <si>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</si>
  <si>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</si>
  <si>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</si>
  <si>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</si>
  <si>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</si>
  <si>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</si>
  <si>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</si>
  <si>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</si>
  <si>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</si>
  <si>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</si>
  <si>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</si>
  <si>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</si>
  <si>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</si>
  <si>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</si>
  <si>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</si>
  <si>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</si>
  <si>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</si>
  <si>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</si>
  <si>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</si>
  <si>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</si>
  <si>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</si>
  <si>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</si>
  <si>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</si>
  <si>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</si>
  <si>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</si>
  <si>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</si>
  <si>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</si>
  <si>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</si>
  <si>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</si>
  <si>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</si>
  <si>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</si>
  <si>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</si>
  <si>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</si>
  <si>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</si>
  <si>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</si>
  <si>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</si>
  <si>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</si>
  <si>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</si>
  <si>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</si>
  <si>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</si>
  <si>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</si>
  <si>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</si>
  <si>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</si>
  <si>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</si>
  <si>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</si>
  <si>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</si>
  <si>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</si>
  <si>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</si>
  <si>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</si>
  <si>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</si>
  <si>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</si>
  <si>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</si>
  <si>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</si>
  <si>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</si>
  <si>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</si>
  <si>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</si>
  <si>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</si>
  <si>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</si>
  <si>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</si>
  <si>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</si>
  <si>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</si>
  <si>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</si>
  <si>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</si>
  <si>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</si>
  <si>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</si>
  <si>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</si>
  <si>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</si>
  <si>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</si>
  <si>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</si>
  <si>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</si>
  <si>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</si>
  <si>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</si>
  <si>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</si>
  <si>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</si>
  <si>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</si>
  <si>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</si>
  <si>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</si>
  <si>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</si>
  <si>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</si>
  <si>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</si>
  <si>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</si>
  <si>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</si>
  <si>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</si>
  <si>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</si>
  <si>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</si>
  <si>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</si>
  <si>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</si>
  <si>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</si>
  <si>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</si>
  <si>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</si>
  <si>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</si>
  <si>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</si>
  <si>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</si>
  <si>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</si>
  <si>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</si>
  <si>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</si>
  <si>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</si>
  <si>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</si>
  <si>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</si>
  <si>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</si>
  <si>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</si>
  <si>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</si>
  <si>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</si>
  <si>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</si>
  <si>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</si>
  <si>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</si>
  <si>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</si>
  <si>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</si>
  <si>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</si>
  <si>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</si>
  <si>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</si>
  <si>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</si>
  <si>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</si>
  <si>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</si>
  <si>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</si>
  <si>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</si>
  <si>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</si>
  <si>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</si>
  <si>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</si>
  <si>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</si>
  <si>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</si>
  <si>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</si>
  <si>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</si>
  <si>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</si>
  <si>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</si>
  <si>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</si>
  <si>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</si>
  <si>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</si>
  <si>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</si>
  <si>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</si>
  <si>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</si>
  <si>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</si>
  <si>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</si>
  <si>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</si>
  <si>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</si>
  <si>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</si>
  <si>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</si>
  <si>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</si>
  <si>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</si>
  <si>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</si>
  <si>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</si>
  <si>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</si>
  <si>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</si>
  <si>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</si>
  <si>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</si>
  <si>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</si>
  <si>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</si>
  <si>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</si>
  <si>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</si>
  <si>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</si>
  <si>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</si>
  <si>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</si>
  <si>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</si>
  <si>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</si>
  <si>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</si>
  <si>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</si>
  <si>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</si>
  <si>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</si>
  <si>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</si>
  <si>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</si>
  <si>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</si>
  <si>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</si>
  <si>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</si>
  <si>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</si>
  <si>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</si>
  <si>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</si>
  <si>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</si>
  <si>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</si>
  <si>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</si>
  <si>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</si>
  <si>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</si>
  <si>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</si>
  <si>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</si>
  <si>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</si>
  <si>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</si>
  <si>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</si>
  <si>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</si>
  <si>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</si>
  <si>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</si>
  <si>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</si>
  <si>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</si>
  <si>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</si>
  <si>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</si>
  <si>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</si>
  <si>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</si>
  <si>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</si>
  <si>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</si>
  <si>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</si>
  <si>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</si>
  <si>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</si>
  <si>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</si>
  <si>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</si>
  <si>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</si>
  <si>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</si>
  <si>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</si>
  <si>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</si>
  <si>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</si>
  <si>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</si>
  <si>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</si>
  <si>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</si>
  <si>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</si>
  <si>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</si>
  <si>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</si>
  <si>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</si>
  <si>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</si>
  <si>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</si>
  <si>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</si>
  <si>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</si>
  <si>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</si>
  <si>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</si>
  <si>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</si>
  <si>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</si>
  <si>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</si>
  <si>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</si>
  <si>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</si>
  <si>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</si>
  <si>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</si>
  <si>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</si>
  <si>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</si>
  <si>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</si>
  <si>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</si>
  <si>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</si>
  <si>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</si>
  <si>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</si>
  <si>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</si>
  <si>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</si>
  <si>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</si>
  <si>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</si>
  <si>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</si>
  <si>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</si>
  <si>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</si>
  <si>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</si>
  <si>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</si>
  <si>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</si>
  <si>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</si>
  <si>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</si>
  <si>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</si>
  <si>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</si>
  <si>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</si>
  <si>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</si>
  <si>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</si>
  <si>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</si>
  <si>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</si>
  <si>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</si>
  <si>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</si>
  <si>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</si>
  <si>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</si>
  <si>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</si>
  <si>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</si>
  <si>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</si>
  <si>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</si>
  <si>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</si>
  <si>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</si>
  <si>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</si>
  <si>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</si>
  <si>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</si>
  <si>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</si>
  <si>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</si>
  <si>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</si>
  <si>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</si>
  <si>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</si>
  <si>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</si>
  <si>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</si>
  <si>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</si>
  <si>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</si>
  <si>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</si>
  <si>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</si>
  <si>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</si>
  <si>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</si>
  <si>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</si>
  <si>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</si>
  <si>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</si>
  <si>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</si>
  <si>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</si>
  <si>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</si>
  <si>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</si>
  <si>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</si>
  <si>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</si>
  <si>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</si>
  <si>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</si>
  <si>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</si>
  <si>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</si>
  <si>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</si>
  <si>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</si>
  <si>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</si>
  <si>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</si>
  <si>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</si>
  <si>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</si>
  <si>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</si>
  <si>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</si>
  <si>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</si>
  <si>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</si>
  <si>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</si>
  <si>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</si>
  <si>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</si>
  <si>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</si>
  <si>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</si>
  <si>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</si>
  <si>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</si>
  <si>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</si>
  <si>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</si>
  <si>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</si>
  <si>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</si>
  <si>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</si>
  <si>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</si>
  <si>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</si>
  <si>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</si>
  <si>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</si>
  <si>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</si>
  <si>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</si>
  <si>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</si>
  <si>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</si>
  <si>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</si>
  <si>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</si>
  <si>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</si>
  <si>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</si>
  <si>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</si>
  <si>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</si>
  <si>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</si>
  <si>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</si>
  <si>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</si>
  <si>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</si>
  <si>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</si>
  <si>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</si>
  <si>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</si>
  <si>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</si>
  <si>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</si>
  <si>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</si>
  <si>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</si>
  <si>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</si>
  <si>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</si>
  <si>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</si>
  <si>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</si>
  <si>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</si>
  <si>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</si>
  <si>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</si>
  <si>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</si>
  <si>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</si>
  <si>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</si>
  <si>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</si>
  <si>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</si>
  <si>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</si>
  <si>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</si>
  <si>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</si>
  <si>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</si>
  <si>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</si>
  <si>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</si>
  <si>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</si>
  <si>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</si>
  <si>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</si>
  <si>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</si>
  <si>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</si>
  <si>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</si>
  <si>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</si>
  <si>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</si>
  <si>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</si>
  <si>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</si>
  <si>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</si>
  <si>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</si>
  <si>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</si>
  <si>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</si>
  <si>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</si>
  <si>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</si>
  <si>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</si>
  <si>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</si>
  <si>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</si>
  <si>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</si>
  <si>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</si>
  <si>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</si>
  <si>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</si>
  <si>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</si>
  <si>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</si>
  <si>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</si>
  <si>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</si>
  <si>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</si>
  <si>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</si>
  <si>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</si>
  <si>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</si>
  <si>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</si>
  <si>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</si>
  <si>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</si>
  <si>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</si>
  <si>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</si>
  <si>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</si>
  <si>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</si>
  <si>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</si>
  <si>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</si>
  <si>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</si>
  <si>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</si>
  <si>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</si>
  <si>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</si>
  <si>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</si>
  <si>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</si>
  <si>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</si>
  <si>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</si>
  <si>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</si>
  <si>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</si>
  <si>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</si>
  <si>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</si>
  <si>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</si>
  <si>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</si>
  <si>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</si>
  <si>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</si>
  <si>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</si>
  <si>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</si>
  <si>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</si>
  <si>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</si>
  <si>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</si>
  <si>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</si>
  <si>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</si>
  <si>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</si>
  <si>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</si>
  <si>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</si>
  <si>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</si>
  <si>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</si>
  <si>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</si>
  <si>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</si>
  <si>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</si>
  <si>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</si>
  <si>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</si>
  <si>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</si>
  <si>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</si>
  <si>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</si>
  <si>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</si>
  <si>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</si>
  <si>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</si>
  <si>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</si>
  <si>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</si>
  <si>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</si>
  <si>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</si>
  <si>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</si>
  <si>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</si>
  <si>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</si>
  <si>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</si>
  <si>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</si>
  <si>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</si>
  <si>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</si>
  <si>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</si>
  <si>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</si>
  <si>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</si>
  <si>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</si>
  <si>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</si>
  <si>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</si>
  <si>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</si>
  <si>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</si>
  <si>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</si>
  <si>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</si>
  <si>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</si>
  <si>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</si>
  <si>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</si>
  <si>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</si>
  <si>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</si>
  <si>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</si>
  <si>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</si>
  <si>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</si>
  <si>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</si>
  <si>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</si>
  <si>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</si>
  <si>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</si>
  <si>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</si>
  <si>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</si>
  <si>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</si>
  <si>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</si>
  <si>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</si>
  <si>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</si>
  <si>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</si>
  <si>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</si>
  <si>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</si>
  <si>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</si>
  <si>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</si>
  <si>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</si>
  <si>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</si>
  <si>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</si>
  <si>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</si>
  <si>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</si>
  <si>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</si>
  <si>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</si>
  <si>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</si>
  <si>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</si>
  <si>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</si>
  <si>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</si>
  <si>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</si>
  <si>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</si>
  <si>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</si>
  <si>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</si>
  <si>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</si>
  <si>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</si>
  <si>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</si>
  <si>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</si>
  <si>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</si>
  <si>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</si>
  <si>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</si>
  <si>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</si>
  <si>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</si>
  <si>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</si>
  <si>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</si>
  <si>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</si>
  <si>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</si>
  <si>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</si>
  <si>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</si>
  <si>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</si>
  <si>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</si>
  <si>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</si>
  <si>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</si>
  <si>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</si>
  <si>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</si>
  <si>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</si>
  <si>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</si>
  <si>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</si>
  <si>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</si>
  <si>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</si>
  <si>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</si>
  <si>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</si>
  <si>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</si>
  <si>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</si>
  <si>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</si>
  <si>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</si>
  <si>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</si>
  <si>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</si>
  <si>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</si>
  <si>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</si>
  <si>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</si>
  <si>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</si>
  <si>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</si>
  <si>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</si>
  <si>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</si>
  <si>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</si>
  <si>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</si>
  <si>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</si>
  <si>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</si>
  <si>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</si>
  <si>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</si>
  <si>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</si>
  <si>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</si>
  <si>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</si>
  <si>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</si>
  <si>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</si>
  <si>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</si>
  <si>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</si>
  <si>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</si>
  <si>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</si>
  <si>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</si>
  <si>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</si>
  <si>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</si>
  <si>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</si>
  <si>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</si>
  <si>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</si>
  <si>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</si>
  <si>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</si>
  <si>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</si>
  <si>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</si>
  <si>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</si>
  <si>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</si>
  <si>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</si>
  <si>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</si>
  <si>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</si>
  <si>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</si>
  <si>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</si>
  <si>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</si>
  <si>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</si>
  <si>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</si>
  <si>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</si>
  <si>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</si>
  <si>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</si>
  <si>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</si>
  <si>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</si>
  <si>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</si>
  <si>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</si>
  <si>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</si>
  <si>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</si>
  <si>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</si>
  <si>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</si>
  <si>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</si>
  <si>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</si>
  <si>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</si>
  <si>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</si>
  <si>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</si>
  <si>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</si>
  <si>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</si>
  <si>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</si>
  <si>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</si>
  <si>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</si>
  <si>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</si>
  <si>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</si>
  <si>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</si>
  <si>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</si>
  <si>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</si>
  <si>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</si>
  <si>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</si>
  <si>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</si>
  <si>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</si>
  <si>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</si>
  <si>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</si>
  <si>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</si>
  <si>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</si>
  <si>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</si>
  <si>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</si>
  <si>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</si>
  <si>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</si>
  <si>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</si>
  <si>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</si>
  <si>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</si>
  <si>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</si>
  <si>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</si>
  <si>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</si>
  <si>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</si>
  <si>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</si>
  <si>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</si>
  <si>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</si>
  <si>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</si>
  <si>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</si>
  <si>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</si>
  <si>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</si>
  <si>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</si>
  <si>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</si>
  <si>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</si>
  <si>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</si>
  <si>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</si>
  <si>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</si>
  <si>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</si>
  <si>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</si>
  <si>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</si>
  <si>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</si>
  <si>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</si>
  <si>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</si>
  <si>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</si>
  <si>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</si>
  <si>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</si>
  <si>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</si>
  <si>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</si>
  <si>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</si>
  <si>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</si>
  <si>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</si>
  <si>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</si>
  <si>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</si>
  <si>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</si>
  <si>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</si>
  <si>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</si>
  <si>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</si>
  <si>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</si>
  <si>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</si>
  <si>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</si>
  <si>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</si>
  <si>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</si>
  <si>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</si>
  <si>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</si>
  <si>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</si>
  <si>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</si>
  <si>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</si>
  <si>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</si>
  <si>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</si>
  <si>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</si>
  <si>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</si>
  <si>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</si>
  <si>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</si>
  <si>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</si>
  <si>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</si>
  <si>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</si>
  <si>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</si>
  <si>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</si>
  <si>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</si>
  <si>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</si>
  <si>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</si>
  <si>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</si>
  <si>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</si>
  <si>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</si>
  <si>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</si>
  <si>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</si>
  <si>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</si>
  <si>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</si>
  <si>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</si>
  <si>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</si>
  <si>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</si>
  <si>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</si>
  <si>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</si>
  <si>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</si>
  <si>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</si>
  <si>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</si>
  <si>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</si>
  <si>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</si>
  <si>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</si>
  <si>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</si>
  <si>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</si>
  <si>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</si>
  <si>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</si>
  <si>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</si>
  <si>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</si>
  <si>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</si>
  <si>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</si>
  <si>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</si>
  <si>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</si>
  <si>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</si>
  <si>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</si>
  <si>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</si>
  <si>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</si>
  <si>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</si>
  <si>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</si>
  <si>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</si>
  <si>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</si>
  <si>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</si>
  <si>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</si>
  <si>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</si>
  <si>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</si>
  <si>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</si>
  <si>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</si>
  <si>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</si>
  <si>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</si>
  <si>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</si>
  <si>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</si>
  <si>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</si>
  <si>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</si>
  <si>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</si>
  <si>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</si>
  <si>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</si>
  <si>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</si>
  <si>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</si>
  <si>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</si>
  <si>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</si>
  <si>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</si>
  <si>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</si>
  <si>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</si>
  <si>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</si>
  <si>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</si>
  <si>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</si>
  <si>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</si>
  <si>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</si>
  <si>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</si>
  <si>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</si>
  <si>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</si>
  <si>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</si>
  <si>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</si>
  <si>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</si>
  <si>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</si>
  <si>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</si>
  <si>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</si>
  <si>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</si>
  <si>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</si>
  <si>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</si>
  <si>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</si>
  <si>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</si>
  <si>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</si>
  <si>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</si>
  <si>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</si>
  <si>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</si>
  <si>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</si>
  <si>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</si>
  <si>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</si>
  <si>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</si>
  <si>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</si>
  <si>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</si>
  <si>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</si>
  <si>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</si>
  <si>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</si>
  <si>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</si>
  <si>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</si>
  <si>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</si>
  <si>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</si>
  <si>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</si>
  <si>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</si>
  <si>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</si>
  <si>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</si>
  <si>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</si>
  <si>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</si>
  <si>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</si>
  <si>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</si>
  <si>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</si>
  <si>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</si>
  <si>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</si>
  <si>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</si>
  <si>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</si>
  <si>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</si>
  <si>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</si>
  <si>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</si>
  <si>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</si>
  <si>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</si>
  <si>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</si>
  <si>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</si>
  <si>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</si>
  <si>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</si>
  <si>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</si>
  <si>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</si>
  <si>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</si>
  <si>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</si>
  <si>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</si>
  <si>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</si>
  <si>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</si>
  <si>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</si>
  <si>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</si>
  <si>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</si>
  <si>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</si>
  <si>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</si>
  <si>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</si>
  <si>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</si>
  <si>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</si>
  <si>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</si>
  <si>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</si>
  <si>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</si>
  <si>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</si>
  <si>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</si>
  <si>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</si>
  <si>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</si>
  <si>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</si>
  <si>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</si>
  <si>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</si>
  <si>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</si>
  <si>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</si>
  <si>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</si>
  <si>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</si>
  <si>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</si>
  <si>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</si>
  <si>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</si>
  <si>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</si>
  <si>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</si>
  <si>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</si>
  <si>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</si>
  <si>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</si>
  <si>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</si>
  <si>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</si>
  <si>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</si>
  <si>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</si>
  <si>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</si>
  <si>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</si>
  <si>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</si>
  <si>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</si>
  <si>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</si>
  <si>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</si>
  <si>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</si>
  <si>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</si>
  <si>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</si>
  <si>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</si>
  <si>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</si>
  <si>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</si>
  <si>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</si>
  <si>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</si>
  <si>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</si>
  <si>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</si>
  <si>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</si>
  <si>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</si>
  <si>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</si>
  <si>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</si>
  <si>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</si>
  <si>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</si>
  <si>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</si>
  <si>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</si>
  <si>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</si>
  <si>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</si>
  <si>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</si>
  <si>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</si>
  <si>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</si>
  <si>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</si>
  <si>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</si>
  <si>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</si>
  <si>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</si>
  <si>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</si>
  <si>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</si>
  <si>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</si>
  <si>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</si>
  <si>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</si>
  <si>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</si>
  <si>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</si>
  <si>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</si>
  <si>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</si>
  <si>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</si>
  <si>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</si>
  <si>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</si>
  <si>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</si>
  <si>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</si>
  <si>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</si>
  <si>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</si>
  <si>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</si>
  <si>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</si>
  <si>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</si>
  <si>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</si>
  <si>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</si>
  <si>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</si>
  <si>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</si>
  <si>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</si>
  <si>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</si>
  <si>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</si>
  <si>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</si>
  <si>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</si>
  <si>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</si>
  <si>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</si>
  <si>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</si>
  <si>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</si>
  <si>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</si>
  <si>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</si>
  <si>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</si>
  <si>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</si>
  <si>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</si>
  <si>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</si>
  <si>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</si>
  <si>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</si>
  <si>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</si>
  <si>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7/96</t>
  </si>
  <si>
    <t>8/02</t>
  </si>
  <si>
    <t>8/04</t>
  </si>
  <si>
    <t>08/06</t>
  </si>
  <si>
    <t>8/11</t>
  </si>
  <si>
    <t>8/12</t>
  </si>
  <si>
    <t>8/14</t>
  </si>
  <si>
    <t>08/26</t>
  </si>
  <si>
    <t>11/10</t>
  </si>
  <si>
    <t>7/25</t>
  </si>
  <si>
    <t>Kearsarge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</si>
</sst>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protection locked="0"/>
    </xf>
    <xf numFmtId="0" fontId="0" fillId="0" borderId="21" xfId="0" applyNumberFormat="1" applyFill="1" applyBorder="1" applyAlignment="1" applyProtection="1">
      <protection locked="0"/>
    </xf>
    <xf numFmtId="0" fontId="0" fillId="0" borderId="22" xfId="0" applyNumberFormat="1" applyFill="1" applyBorder="1" applyAlignment="1" applyProtection="1">
      <protection locked="0"/>
    </xf>
    <xf numFmtId="0" fontId="0" fillId="0" borderId="23" xfId="0" applyNumberFormat="1" applyFill="1" applyBorder="1" applyAlignme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4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D506-4BD4-4826-9793-A5EAB12B9C85}">
  <sheetPr transitionEvaluation="1" transitionEntry="1" codeName="Sheet1">
    <tabColor indexed="56"/>
  </sheetPr>
  <dimension ref="A1:AQ666"/>
  <sheetViews>
    <sheetView tabSelected="1" workbookViewId="0">
      <pane xSplit="5" ySplit="3" topLeftCell="F645" activePane="bottomRight" state="frozen"/>
      <selection activeCell="L9" sqref="L9"/>
      <selection pane="topRight" activeCell="L9" sqref="L9"/>
      <selection pane="bottomLeft" activeCell="L9" sqref="L9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904</v>
      </c>
      <c r="B2" s="21">
        <v>276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2157761.56</v>
      </c>
      <c r="G9" s="18"/>
      <c r="H9" s="18"/>
      <c r="I9" s="18">
        <f>172193.14+809221.14</f>
        <v>981414.28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698779.3</v>
      </c>
      <c r="G10" s="18">
        <v>669945.82999999996</v>
      </c>
      <c r="H10" s="18"/>
      <c r="I10" s="18"/>
      <c r="J10" s="67">
        <f>SUM(I432)</f>
        <v>1594005.72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267100.08+689688.74+67544.84</f>
        <v>1024333.66</v>
      </c>
      <c r="G12" s="18">
        <v>26285.64</v>
      </c>
      <c r="H12" s="18">
        <f>160840.85+2737.44+6.83</f>
        <v>163585.12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254497.79+205986.13</f>
        <v>460483.92000000004</v>
      </c>
      <c r="G13" s="18">
        <v>17880.169999999998</v>
      </c>
      <c r="H13" s="18">
        <f>110524.94+346378.42</f>
        <v>456903.36</v>
      </c>
      <c r="I13" s="18">
        <v>335000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89370.31</v>
      </c>
      <c r="G16" s="18">
        <v>10980.48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17376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4448104.75</v>
      </c>
      <c r="G19" s="41">
        <f>SUM(G9:G18)</f>
        <v>725092.12</v>
      </c>
      <c r="H19" s="41">
        <f>SUM(H9:H18)</f>
        <v>620488.48</v>
      </c>
      <c r="I19" s="41">
        <f>SUM(I9:I18)</f>
        <v>1316414.28</v>
      </c>
      <c r="J19" s="41">
        <f>SUM(J9:J18)</f>
        <v>1594005.72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160840.85</v>
      </c>
      <c r="G23" s="18">
        <f>689688.74+2067.22</f>
        <v>691755.96</v>
      </c>
      <c r="H23" s="18">
        <f>267100.08+670.22+6.83+26285.64</f>
        <v>294062.77</v>
      </c>
      <c r="I23" s="18">
        <f>67544.84</f>
        <v>67544.84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136860.38</v>
      </c>
      <c r="G25" s="18">
        <v>51.41</v>
      </c>
      <c r="H25" s="18">
        <v>755</v>
      </c>
      <c r="I25" s="18">
        <f>3060</f>
        <v>3060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87274.06+1345039.13</f>
        <v>1432313.19</v>
      </c>
      <c r="G29" s="18">
        <v>6488.54</v>
      </c>
      <c r="H29" s="18">
        <f>70080.31</f>
        <v>70080.31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2199.98+10283+32074+7120.42+42749.1+150+232.87+835.18+1560.41</f>
        <v>97204.959999999992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1043306.74</v>
      </c>
      <c r="G31" s="18">
        <v>15815.73</v>
      </c>
      <c r="H31" s="18">
        <f>10517.08+82765.92</f>
        <v>93283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2870526.12</v>
      </c>
      <c r="G33" s="41">
        <f>SUM(G23:G32)</f>
        <v>714111.64</v>
      </c>
      <c r="H33" s="41">
        <f>SUM(H23:H32)</f>
        <v>458181.08</v>
      </c>
      <c r="I33" s="41">
        <f>SUM(I23:I32)</f>
        <v>70604.84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89370.31</v>
      </c>
      <c r="G35" s="18">
        <v>10980.48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573894.52</v>
      </c>
      <c r="G37" s="18"/>
      <c r="H37" s="18">
        <v>162307.4</v>
      </c>
      <c r="I37" s="18">
        <v>1135138.3999999999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>
        <f>104392.12+256.18-1135138.4+1141161.14</f>
        <v>110671.04000000004</v>
      </c>
      <c r="J41" s="13">
        <f>SUM(I449)</f>
        <v>1594005.72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1212238.49-347924.69</f>
        <v>864313.8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1577578.6300000001</v>
      </c>
      <c r="G43" s="41">
        <f>SUM(G35:G42)</f>
        <v>10980.48</v>
      </c>
      <c r="H43" s="41">
        <f>SUM(H35:H42)</f>
        <v>162307.4</v>
      </c>
      <c r="I43" s="41">
        <f>SUM(I35:I42)</f>
        <v>1245809.44</v>
      </c>
      <c r="J43" s="41">
        <f>SUM(J35:J42)</f>
        <v>1594005.72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4448104.75</v>
      </c>
      <c r="G44" s="41">
        <f>G43+G33</f>
        <v>725092.12</v>
      </c>
      <c r="H44" s="41">
        <f>H43+H33</f>
        <v>620488.48</v>
      </c>
      <c r="I44" s="41">
        <f>I43+I33</f>
        <v>1316414.28</v>
      </c>
      <c r="J44" s="41">
        <f>J43+J33</f>
        <v>1594005.72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21070071.989999998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21070071.989999998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22363.279999999999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29517.68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34833.31-2127.62</f>
        <v>32705.69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f>2127.62</f>
        <v>2127.62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584.92999999999995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87299.199999999983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6172.68</v>
      </c>
      <c r="G88" s="18">
        <v>372.83</v>
      </c>
      <c r="H88" s="18"/>
      <c r="I88" s="18">
        <f>256.18+373.98</f>
        <v>630.16000000000008</v>
      </c>
      <c r="J88" s="18">
        <f>27467.26+199.1</f>
        <v>27666.359999999997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442317.38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4200</v>
      </c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9991.9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3382.22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66455.28</v>
      </c>
      <c r="G102" s="18">
        <v>42528.39</v>
      </c>
      <c r="H102" s="18">
        <v>100135.32</v>
      </c>
      <c r="I102" s="18"/>
      <c r="J102" s="18">
        <v>17158.46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86819.86</v>
      </c>
      <c r="G103" s="41">
        <f>SUM(G88:G102)</f>
        <v>485218.60000000003</v>
      </c>
      <c r="H103" s="41">
        <f>SUM(H88:H102)</f>
        <v>103517.54000000001</v>
      </c>
      <c r="I103" s="41">
        <f>SUM(I88:I102)</f>
        <v>630.16000000000008</v>
      </c>
      <c r="J103" s="41">
        <f>SUM(J88:J102)</f>
        <v>44824.819999999992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21244191.049999997</v>
      </c>
      <c r="G104" s="41">
        <f>G52+G103</f>
        <v>485218.60000000003</v>
      </c>
      <c r="H104" s="41">
        <f>H52+H71+H86+H103</f>
        <v>103517.54000000001</v>
      </c>
      <c r="I104" s="41">
        <f>I52+I103</f>
        <v>630.16000000000008</v>
      </c>
      <c r="J104" s="41">
        <f>J52+J103</f>
        <v>44824.819999999992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2732489.38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6970500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99106.62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9802095.9999999981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1484238.24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432052.41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39777.279999999999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5236.13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1956067.93</v>
      </c>
      <c r="G128" s="41">
        <f>SUM(G115:G127)</f>
        <v>5236.13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11758163.929999998</v>
      </c>
      <c r="G132" s="41">
        <f>G113+SUM(G128:G129)</f>
        <v>5236.13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>
        <v>335000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335000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302575.90999999997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176807.86-376.28</f>
        <v>176431.58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55254.84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174320.65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578105.21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198827.69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198827.69</v>
      </c>
      <c r="G154" s="41">
        <f>SUM(G142:G153)</f>
        <v>174320.65</v>
      </c>
      <c r="H154" s="41">
        <f>SUM(H142:H153)</f>
        <v>1112367.54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198827.69</v>
      </c>
      <c r="G161" s="41">
        <f>G139+G154+SUM(G155:G160)</f>
        <v>174320.65</v>
      </c>
      <c r="H161" s="41">
        <f>H139+H154+SUM(H155:H160)</f>
        <v>1112367.54</v>
      </c>
      <c r="I161" s="41">
        <f>I139+I154+SUM(I155:I160)</f>
        <v>335000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2231283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2231283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127846.19</v>
      </c>
      <c r="H171" s="18"/>
      <c r="I171" s="18"/>
      <c r="J171" s="18">
        <v>75000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127846.19</v>
      </c>
      <c r="H175" s="41">
        <f>SUM(H171:H174)</f>
        <v>0</v>
      </c>
      <c r="I175" s="41">
        <f>SUM(I171:I174)</f>
        <v>0</v>
      </c>
      <c r="J175" s="41">
        <f>SUM(J171:J174)</f>
        <v>75000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127846.19</v>
      </c>
      <c r="H184" s="41">
        <f>+H175+SUM(H180:H183)</f>
        <v>0</v>
      </c>
      <c r="I184" s="41">
        <f>I169+I175+SUM(I180:I183)</f>
        <v>2231283</v>
      </c>
      <c r="J184" s="41">
        <f>J175</f>
        <v>75000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33201182.669999998</v>
      </c>
      <c r="G185" s="47">
        <f>G104+G132+G161+G184</f>
        <v>792621.57000000007</v>
      </c>
      <c r="H185" s="47">
        <f>H104+H132+H161+H184</f>
        <v>1215885.08</v>
      </c>
      <c r="I185" s="47">
        <f>I104+I132+I161+I184</f>
        <v>2566913.16</v>
      </c>
      <c r="J185" s="47">
        <f>J104+J132+J184</f>
        <v>119824.81999999999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3046679.14-17808.32</f>
        <v>3028870.8200000003</v>
      </c>
      <c r="G189" s="18">
        <f>1442189.21-1666.28-24.16+376.28</f>
        <v>1440875.05</v>
      </c>
      <c r="H189" s="18">
        <f>148280.76-750.68</f>
        <v>147530.08000000002</v>
      </c>
      <c r="I189" s="18">
        <f>197110.87-3291.36</f>
        <v>193819.51</v>
      </c>
      <c r="J189" s="18">
        <v>34444.06</v>
      </c>
      <c r="K189" s="18"/>
      <c r="L189" s="19">
        <f>SUM(F189:K189)</f>
        <v>4845539.5199999996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1707650.83-227+17808.32</f>
        <v>1725232.1500000001</v>
      </c>
      <c r="G190" s="18">
        <f>524367.55+227+1666.28+24.16</f>
        <v>526284.99000000011</v>
      </c>
      <c r="H190" s="18">
        <f>492850.53+750.68</f>
        <v>493601.21</v>
      </c>
      <c r="I190" s="18">
        <f>29839.88+3291.36</f>
        <v>33131.24</v>
      </c>
      <c r="J190" s="18">
        <v>446.66</v>
      </c>
      <c r="K190" s="18"/>
      <c r="L190" s="19">
        <f>SUM(F190:K190)</f>
        <v>2778696.2500000005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>
        <v>318.55</v>
      </c>
      <c r="J192" s="18"/>
      <c r="K192" s="18"/>
      <c r="L192" s="19">
        <f>SUM(F192:K192)</f>
        <v>318.55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418492.27</v>
      </c>
      <c r="G194" s="18">
        <v>123479.18</v>
      </c>
      <c r="H194" s="18">
        <v>712.44</v>
      </c>
      <c r="I194" s="18">
        <v>3143.18</v>
      </c>
      <c r="J194" s="18"/>
      <c r="K194" s="18"/>
      <c r="L194" s="19">
        <f t="shared" ref="L194:L200" si="0">SUM(F194:K194)</f>
        <v>545827.06999999995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151874.38</v>
      </c>
      <c r="G195" s="18">
        <v>55745.72</v>
      </c>
      <c r="H195" s="18">
        <v>26231.31</v>
      </c>
      <c r="I195" s="18">
        <v>15499.64</v>
      </c>
      <c r="J195" s="18">
        <v>1425.4</v>
      </c>
      <c r="K195" s="18"/>
      <c r="L195" s="19">
        <f t="shared" si="0"/>
        <v>250776.44999999998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486992.33</v>
      </c>
      <c r="G196" s="18">
        <v>132741.20000000001</v>
      </c>
      <c r="H196" s="18">
        <v>103597.46</v>
      </c>
      <c r="I196" s="18">
        <v>7254.59</v>
      </c>
      <c r="J196" s="18">
        <v>30524.22</v>
      </c>
      <c r="K196" s="18">
        <v>5365.09</v>
      </c>
      <c r="L196" s="19">
        <f t="shared" si="0"/>
        <v>766474.8899999999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508346.19</v>
      </c>
      <c r="G197" s="18">
        <v>228101.7</v>
      </c>
      <c r="H197" s="18">
        <v>37567.11</v>
      </c>
      <c r="I197" s="18">
        <v>2688.72</v>
      </c>
      <c r="J197" s="18">
        <v>1256.8499999999999</v>
      </c>
      <c r="K197" s="18">
        <v>3472.88</v>
      </c>
      <c r="L197" s="19">
        <f t="shared" si="0"/>
        <v>781433.45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296657.46000000002</v>
      </c>
      <c r="G199" s="18">
        <v>159698.91</v>
      </c>
      <c r="H199" s="18">
        <v>379714.42</v>
      </c>
      <c r="I199" s="18">
        <v>309518.42</v>
      </c>
      <c r="J199" s="18">
        <v>6633.68</v>
      </c>
      <c r="K199" s="18">
        <v>81.400000000000006</v>
      </c>
      <c r="L199" s="19">
        <f t="shared" si="0"/>
        <v>1152304.2899999998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985255.63</v>
      </c>
      <c r="I200" s="18">
        <v>124511.82</v>
      </c>
      <c r="J200" s="18"/>
      <c r="K200" s="18"/>
      <c r="L200" s="19">
        <f t="shared" si="0"/>
        <v>1109767.45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6616465.6000000006</v>
      </c>
      <c r="G203" s="41">
        <f t="shared" si="1"/>
        <v>2666926.7500000005</v>
      </c>
      <c r="H203" s="41">
        <f t="shared" si="1"/>
        <v>2174209.66</v>
      </c>
      <c r="I203" s="41">
        <f t="shared" si="1"/>
        <v>689885.66999999993</v>
      </c>
      <c r="J203" s="41">
        <f t="shared" si="1"/>
        <v>74730.87</v>
      </c>
      <c r="K203" s="41">
        <f t="shared" si="1"/>
        <v>8919.3700000000008</v>
      </c>
      <c r="L203" s="41">
        <f t="shared" si="1"/>
        <v>12231137.919999998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3076791.73-4686.41</f>
        <v>3072105.32</v>
      </c>
      <c r="G207" s="18">
        <f>950883.55-2891.18-13.18</f>
        <v>947979.19</v>
      </c>
      <c r="H207" s="18">
        <f>79665.67-834.46</f>
        <v>78831.209999999992</v>
      </c>
      <c r="I207" s="18">
        <f>76711.5-1795.29</f>
        <v>74916.210000000006</v>
      </c>
      <c r="J207" s="18">
        <v>21903.46</v>
      </c>
      <c r="K207" s="18">
        <v>538</v>
      </c>
      <c r="L207" s="19">
        <f>SUM(F207:K207)</f>
        <v>4196273.3899999997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858566.6-106.25+4686.41</f>
        <v>863146.76</v>
      </c>
      <c r="G208" s="18">
        <f>221045.56+106.25+2891.18+13.18</f>
        <v>224056.16999999998</v>
      </c>
      <c r="H208" s="18">
        <f>273011.08+834.46</f>
        <v>273845.54000000004</v>
      </c>
      <c r="I208" s="18">
        <f>11761.02+1795.29</f>
        <v>13556.310000000001</v>
      </c>
      <c r="J208" s="18"/>
      <c r="K208" s="18">
        <v>628.36</v>
      </c>
      <c r="L208" s="19">
        <f>SUM(F208:K208)</f>
        <v>1375233.1400000001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87830</v>
      </c>
      <c r="G210" s="18">
        <v>11422.9</v>
      </c>
      <c r="H210" s="18">
        <v>300</v>
      </c>
      <c r="I210" s="18">
        <v>1946.8</v>
      </c>
      <c r="J210" s="18">
        <v>4378.3</v>
      </c>
      <c r="K210" s="18">
        <v>725</v>
      </c>
      <c r="L210" s="19">
        <f>SUM(F210:K210)</f>
        <v>106603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247009.16</v>
      </c>
      <c r="G212" s="18">
        <v>72285.08</v>
      </c>
      <c r="H212" s="18">
        <v>2969.3</v>
      </c>
      <c r="I212" s="18">
        <v>3661.71</v>
      </c>
      <c r="J212" s="18"/>
      <c r="K212" s="18"/>
      <c r="L212" s="19">
        <f t="shared" ref="L212:L218" si="2">SUM(F212:K212)</f>
        <v>325925.25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66846</v>
      </c>
      <c r="G213" s="18">
        <v>31994.080000000002</v>
      </c>
      <c r="H213" s="18">
        <v>16305.32</v>
      </c>
      <c r="I213" s="18">
        <v>8683.75</v>
      </c>
      <c r="J213" s="18"/>
      <c r="K213" s="18"/>
      <c r="L213" s="19">
        <f t="shared" si="2"/>
        <v>123829.15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265632.18</v>
      </c>
      <c r="G214" s="18">
        <v>72404.28</v>
      </c>
      <c r="H214" s="18">
        <v>56507.7</v>
      </c>
      <c r="I214" s="18">
        <v>3957.05</v>
      </c>
      <c r="J214" s="18">
        <v>16649.580000000002</v>
      </c>
      <c r="K214" s="18">
        <v>2926.42</v>
      </c>
      <c r="L214" s="19">
        <f t="shared" si="2"/>
        <v>418077.20999999996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253314.93</v>
      </c>
      <c r="G215" s="18">
        <v>112578.13</v>
      </c>
      <c r="H215" s="18">
        <v>23374.28</v>
      </c>
      <c r="I215" s="18"/>
      <c r="J215" s="18"/>
      <c r="K215" s="18">
        <v>2746.25</v>
      </c>
      <c r="L215" s="19">
        <f t="shared" si="2"/>
        <v>392013.58999999997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213267.79</v>
      </c>
      <c r="G217" s="18">
        <v>95151.32</v>
      </c>
      <c r="H217" s="18">
        <v>167707.69</v>
      </c>
      <c r="I217" s="18">
        <v>231319.07</v>
      </c>
      <c r="J217" s="18">
        <v>5382.95</v>
      </c>
      <c r="K217" s="18">
        <v>44.4</v>
      </c>
      <c r="L217" s="19">
        <f t="shared" si="2"/>
        <v>712873.22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532476.36</v>
      </c>
      <c r="I218" s="18">
        <v>67915.53</v>
      </c>
      <c r="J218" s="18"/>
      <c r="K218" s="18"/>
      <c r="L218" s="19">
        <f t="shared" si="2"/>
        <v>600391.89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5069152.1399999997</v>
      </c>
      <c r="G221" s="41">
        <f>SUM(G207:G220)</f>
        <v>1567871.1500000001</v>
      </c>
      <c r="H221" s="41">
        <f>SUM(H207:H220)</f>
        <v>1152317.3999999999</v>
      </c>
      <c r="I221" s="41">
        <f>SUM(I207:I220)</f>
        <v>405956.43000000005</v>
      </c>
      <c r="J221" s="41">
        <f>SUM(J207:J220)</f>
        <v>48314.289999999994</v>
      </c>
      <c r="K221" s="41">
        <f t="shared" si="3"/>
        <v>7608.43</v>
      </c>
      <c r="L221" s="41">
        <f t="shared" si="3"/>
        <v>8251219.8399999989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2805923.17</v>
      </c>
      <c r="G225" s="18">
        <f>1252886.86-130.76-17.57</f>
        <v>1252738.53</v>
      </c>
      <c r="H225" s="18">
        <f>117335.47-6807.1</f>
        <v>110528.37</v>
      </c>
      <c r="I225" s="18">
        <f>148101.83-2393.72</f>
        <v>145708.10999999999</v>
      </c>
      <c r="J225" s="18">
        <v>88351.61</v>
      </c>
      <c r="K225" s="18">
        <v>3025.4</v>
      </c>
      <c r="L225" s="19">
        <f>SUM(F225:K225)</f>
        <v>4406275.1900000013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775667.5-149.72</f>
        <v>775517.78</v>
      </c>
      <c r="G226" s="18">
        <f>216617.67+149.72+130.76+17.57</f>
        <v>216915.72000000003</v>
      </c>
      <c r="H226" s="18">
        <f>386276.89+6807.1</f>
        <v>393083.99</v>
      </c>
      <c r="I226" s="18">
        <f>21971.28+2393.72</f>
        <v>24365</v>
      </c>
      <c r="J226" s="18">
        <v>4462.68</v>
      </c>
      <c r="K226" s="18"/>
      <c r="L226" s="19">
        <f>SUM(F226:K226)</f>
        <v>1414345.17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25307.84</v>
      </c>
      <c r="I227" s="18"/>
      <c r="J227" s="18"/>
      <c r="K227" s="18"/>
      <c r="L227" s="19">
        <f>SUM(F227:K227)</f>
        <v>25307.84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167663</v>
      </c>
      <c r="G228" s="18">
        <v>23120.26</v>
      </c>
      <c r="H228" s="18">
        <v>71435.710000000006</v>
      </c>
      <c r="I228" s="18">
        <v>32332.59</v>
      </c>
      <c r="J228" s="18">
        <v>24902.36</v>
      </c>
      <c r="K228" s="18">
        <v>20354.5</v>
      </c>
      <c r="L228" s="19">
        <f>SUM(F228:K228)</f>
        <v>339808.42000000004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331214.7</v>
      </c>
      <c r="G230" s="18">
        <v>120444.16</v>
      </c>
      <c r="H230" s="18">
        <v>2319.7600000000002</v>
      </c>
      <c r="I230" s="18">
        <v>10089</v>
      </c>
      <c r="J230" s="18">
        <v>2300.52</v>
      </c>
      <c r="K230" s="18"/>
      <c r="L230" s="19">
        <f t="shared" ref="L230:L236" si="4">SUM(F230:K230)</f>
        <v>466368.14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150893.54</v>
      </c>
      <c r="G231" s="18">
        <v>41534.17</v>
      </c>
      <c r="H231" s="18">
        <v>19806.21</v>
      </c>
      <c r="I231" s="18">
        <v>28282.55</v>
      </c>
      <c r="J231" s="18">
        <v>7900</v>
      </c>
      <c r="K231" s="18"/>
      <c r="L231" s="19">
        <f t="shared" si="4"/>
        <v>248416.47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354176.24</v>
      </c>
      <c r="G232" s="18">
        <v>96539.05</v>
      </c>
      <c r="H232" s="18">
        <v>75343.62</v>
      </c>
      <c r="I232" s="18">
        <v>5276.06</v>
      </c>
      <c r="J232" s="18">
        <v>22199.43</v>
      </c>
      <c r="K232" s="18">
        <v>3901.88</v>
      </c>
      <c r="L232" s="19">
        <f t="shared" si="4"/>
        <v>557436.28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363189.47</v>
      </c>
      <c r="G233" s="18">
        <v>115183.75</v>
      </c>
      <c r="H233" s="18">
        <v>40550.15</v>
      </c>
      <c r="I233" s="18">
        <v>13654.69</v>
      </c>
      <c r="J233" s="18"/>
      <c r="K233" s="18">
        <v>5547</v>
      </c>
      <c r="L233" s="19">
        <f t="shared" si="4"/>
        <v>538125.05999999994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235910.11</v>
      </c>
      <c r="G235" s="18">
        <v>116925.25</v>
      </c>
      <c r="H235" s="18">
        <v>401236.45</v>
      </c>
      <c r="I235" s="18">
        <v>289036.86</v>
      </c>
      <c r="J235" s="18">
        <v>13021.07</v>
      </c>
      <c r="K235" s="18">
        <v>59.2</v>
      </c>
      <c r="L235" s="19">
        <f t="shared" si="4"/>
        <v>1056188.94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687332.11</v>
      </c>
      <c r="I236" s="18">
        <v>90554.05</v>
      </c>
      <c r="J236" s="18"/>
      <c r="K236" s="18"/>
      <c r="L236" s="19">
        <f t="shared" si="4"/>
        <v>777886.16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5184488.0100000007</v>
      </c>
      <c r="G239" s="41">
        <f t="shared" si="5"/>
        <v>1983400.89</v>
      </c>
      <c r="H239" s="41">
        <f t="shared" si="5"/>
        <v>1826944.21</v>
      </c>
      <c r="I239" s="41">
        <f t="shared" si="5"/>
        <v>639298.91</v>
      </c>
      <c r="J239" s="41">
        <f t="shared" si="5"/>
        <v>163137.67000000001</v>
      </c>
      <c r="K239" s="41">
        <f t="shared" si="5"/>
        <v>32887.979999999996</v>
      </c>
      <c r="L239" s="41">
        <f t="shared" si="5"/>
        <v>9830157.6699999999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7370</v>
      </c>
      <c r="G243" s="18">
        <v>705.74</v>
      </c>
      <c r="H243" s="18">
        <v>510</v>
      </c>
      <c r="I243" s="18"/>
      <c r="J243" s="18"/>
      <c r="K243" s="18"/>
      <c r="L243" s="19">
        <f t="shared" si="6"/>
        <v>8585.74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7370</v>
      </c>
      <c r="G248" s="41">
        <f t="shared" si="7"/>
        <v>705.74</v>
      </c>
      <c r="H248" s="41">
        <f t="shared" si="7"/>
        <v>510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8585.74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16877475.75</v>
      </c>
      <c r="G249" s="41">
        <f t="shared" si="8"/>
        <v>6218904.5300000003</v>
      </c>
      <c r="H249" s="41">
        <f t="shared" si="8"/>
        <v>5153981.2699999996</v>
      </c>
      <c r="I249" s="41">
        <f t="shared" si="8"/>
        <v>1735141.0100000002</v>
      </c>
      <c r="J249" s="41">
        <f t="shared" si="8"/>
        <v>286182.83</v>
      </c>
      <c r="K249" s="41">
        <f t="shared" si="8"/>
        <v>49415.78</v>
      </c>
      <c r="L249" s="41">
        <f t="shared" si="8"/>
        <v>30321101.169999998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2525008.1</v>
      </c>
      <c r="L252" s="19">
        <f>SUM(F252:K252)</f>
        <v>2525008.1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500151.9</v>
      </c>
      <c r="L253" s="19">
        <f>SUM(F253:K253)</f>
        <v>500151.9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127846.19</v>
      </c>
      <c r="L255" s="19">
        <f>SUM(F255:K255)</f>
        <v>127846.19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75000</v>
      </c>
      <c r="L258" s="19">
        <f t="shared" si="9"/>
        <v>75000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3228006.19</v>
      </c>
      <c r="L262" s="41">
        <f t="shared" si="9"/>
        <v>3228006.19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16877475.75</v>
      </c>
      <c r="G263" s="42">
        <f t="shared" si="11"/>
        <v>6218904.5300000003</v>
      </c>
      <c r="H263" s="42">
        <f t="shared" si="11"/>
        <v>5153981.2699999996</v>
      </c>
      <c r="I263" s="42">
        <f t="shared" si="11"/>
        <v>1735141.0100000002</v>
      </c>
      <c r="J263" s="42">
        <f t="shared" si="11"/>
        <v>286182.83</v>
      </c>
      <c r="K263" s="42">
        <f t="shared" si="11"/>
        <v>3277421.9699999997</v>
      </c>
      <c r="L263" s="42">
        <f t="shared" si="11"/>
        <v>33549107.359999999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200966.08</v>
      </c>
      <c r="G268" s="18">
        <f>43613.21-376.28</f>
        <v>43236.93</v>
      </c>
      <c r="H268" s="18">
        <v>56281.07</v>
      </c>
      <c r="I268" s="18">
        <v>3987.29</v>
      </c>
      <c r="J268" s="18">
        <v>12760</v>
      </c>
      <c r="K268" s="18"/>
      <c r="L268" s="19">
        <f>SUM(F268:K268)</f>
        <v>317231.36999999994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97507.16-24523.16</f>
        <v>72984</v>
      </c>
      <c r="G269" s="18">
        <f>87.76+24523.16</f>
        <v>24610.92</v>
      </c>
      <c r="H269" s="18">
        <v>5280</v>
      </c>
      <c r="I269" s="18">
        <v>47207.1</v>
      </c>
      <c r="J269" s="18">
        <v>66041.08</v>
      </c>
      <c r="K269" s="18">
        <v>12290.68</v>
      </c>
      <c r="L269" s="19">
        <f>SUM(F269:K269)</f>
        <v>228413.77999999997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7460.24</v>
      </c>
      <c r="G271" s="18">
        <v>596.72</v>
      </c>
      <c r="H271" s="18"/>
      <c r="I271" s="18"/>
      <c r="J271" s="18"/>
      <c r="K271" s="18"/>
      <c r="L271" s="19">
        <f>SUM(F271:K271)</f>
        <v>8056.96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55758.39</v>
      </c>
      <c r="G273" s="18">
        <v>10386.68</v>
      </c>
      <c r="H273" s="18">
        <v>14344.88</v>
      </c>
      <c r="I273" s="18">
        <v>2662.72</v>
      </c>
      <c r="J273" s="18"/>
      <c r="K273" s="18">
        <v>86.24</v>
      </c>
      <c r="L273" s="19">
        <f t="shared" ref="L273:L279" si="12">SUM(F273:K273)</f>
        <v>83238.910000000018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22083.22</v>
      </c>
      <c r="G274" s="18">
        <v>8676.2199999999993</v>
      </c>
      <c r="H274" s="18">
        <v>7775.59</v>
      </c>
      <c r="I274" s="18">
        <v>1347.11</v>
      </c>
      <c r="J274" s="18">
        <v>6207.47</v>
      </c>
      <c r="K274" s="18"/>
      <c r="L274" s="19">
        <f t="shared" si="12"/>
        <v>46089.61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3634.63</v>
      </c>
      <c r="I275" s="18"/>
      <c r="J275" s="18"/>
      <c r="K275" s="18"/>
      <c r="L275" s="19">
        <f t="shared" si="12"/>
        <v>3634.63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29215.74</v>
      </c>
      <c r="L280" s="19">
        <f>SUM(F280:K280)</f>
        <v>29215.74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359251.92999999993</v>
      </c>
      <c r="G282" s="42">
        <f t="shared" si="13"/>
        <v>87507.47</v>
      </c>
      <c r="H282" s="42">
        <f t="shared" si="13"/>
        <v>87316.17</v>
      </c>
      <c r="I282" s="42">
        <f t="shared" si="13"/>
        <v>55204.22</v>
      </c>
      <c r="J282" s="42">
        <f t="shared" si="13"/>
        <v>85008.55</v>
      </c>
      <c r="K282" s="42">
        <f t="shared" si="13"/>
        <v>41592.660000000003</v>
      </c>
      <c r="L282" s="41">
        <f t="shared" si="13"/>
        <v>715880.99999999988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25678.5</v>
      </c>
      <c r="G287" s="18">
        <v>12808.72</v>
      </c>
      <c r="H287" s="18">
        <v>3994.15</v>
      </c>
      <c r="I287" s="18">
        <v>1629.83</v>
      </c>
      <c r="J287" s="18">
        <v>8025.96</v>
      </c>
      <c r="K287" s="18"/>
      <c r="L287" s="19">
        <f>SUM(F287:K287)</f>
        <v>52137.16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50982.93-11478.93</f>
        <v>39504</v>
      </c>
      <c r="G288" s="18">
        <f>11478.93</f>
        <v>11478.93</v>
      </c>
      <c r="H288" s="18">
        <v>2880</v>
      </c>
      <c r="I288" s="18">
        <v>5960.2</v>
      </c>
      <c r="J288" s="18">
        <v>2897.09</v>
      </c>
      <c r="K288" s="18"/>
      <c r="L288" s="19">
        <f>SUM(F288:K288)</f>
        <v>62720.22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26099.68</v>
      </c>
      <c r="G292" s="18">
        <v>4861.8500000000004</v>
      </c>
      <c r="H292" s="18">
        <v>7289.01</v>
      </c>
      <c r="I292" s="18">
        <v>157.38999999999999</v>
      </c>
      <c r="J292" s="18"/>
      <c r="K292" s="18">
        <v>47.04</v>
      </c>
      <c r="L292" s="19">
        <f t="shared" ref="L292:L298" si="14">SUM(F292:K292)</f>
        <v>38454.97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1901.13</v>
      </c>
      <c r="I293" s="18">
        <v>128.82</v>
      </c>
      <c r="J293" s="18"/>
      <c r="K293" s="18"/>
      <c r="L293" s="19">
        <f t="shared" si="14"/>
        <v>2029.95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1982.53</v>
      </c>
      <c r="I294" s="18"/>
      <c r="J294" s="18"/>
      <c r="K294" s="18"/>
      <c r="L294" s="19">
        <f t="shared" si="14"/>
        <v>1982.53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>
        <v>7720.32</v>
      </c>
      <c r="L299" s="19">
        <f>SUM(F299:K299)</f>
        <v>7720.32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91282.18</v>
      </c>
      <c r="G301" s="42">
        <f t="shared" si="15"/>
        <v>29149.5</v>
      </c>
      <c r="H301" s="42">
        <f t="shared" si="15"/>
        <v>18046.82</v>
      </c>
      <c r="I301" s="42">
        <f t="shared" si="15"/>
        <v>7876.24</v>
      </c>
      <c r="J301" s="42">
        <f t="shared" si="15"/>
        <v>10923.05</v>
      </c>
      <c r="K301" s="42">
        <f t="shared" si="15"/>
        <v>7767.36</v>
      </c>
      <c r="L301" s="41">
        <f t="shared" si="15"/>
        <v>165045.15000000002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19384.13</v>
      </c>
      <c r="G306" s="18">
        <v>3180.44</v>
      </c>
      <c r="H306" s="18">
        <v>6434.07</v>
      </c>
      <c r="I306" s="18">
        <v>2676.28</v>
      </c>
      <c r="J306" s="18">
        <v>10345.950000000001</v>
      </c>
      <c r="K306" s="18"/>
      <c r="L306" s="19">
        <f>SUM(F306:K306)</f>
        <v>42020.869999999995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68846.85-16174.85</f>
        <v>52672.000000000007</v>
      </c>
      <c r="G307" s="18">
        <f>16174.85</f>
        <v>16174.85</v>
      </c>
      <c r="H307" s="18">
        <v>3840</v>
      </c>
      <c r="I307" s="18">
        <v>7561.74</v>
      </c>
      <c r="J307" s="18">
        <v>3862.78</v>
      </c>
      <c r="K307" s="18"/>
      <c r="L307" s="19">
        <f>SUM(F307:K307)</f>
        <v>84111.37000000001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36776.800000000003</v>
      </c>
      <c r="G311" s="18">
        <v>6850.79</v>
      </c>
      <c r="H311" s="18">
        <v>9454.8700000000008</v>
      </c>
      <c r="I311" s="18">
        <v>131.66</v>
      </c>
      <c r="J311" s="18"/>
      <c r="K311" s="18">
        <v>62.72</v>
      </c>
      <c r="L311" s="19">
        <f t="shared" ref="L311:L317" si="16">SUM(F311:K311)</f>
        <v>53276.840000000011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49700</v>
      </c>
      <c r="G312" s="18">
        <v>5863.48</v>
      </c>
      <c r="H312" s="18">
        <v>6316.38</v>
      </c>
      <c r="I312" s="18">
        <v>5110.8900000000003</v>
      </c>
      <c r="J312" s="18">
        <v>300</v>
      </c>
      <c r="K312" s="18"/>
      <c r="L312" s="19">
        <f t="shared" si="16"/>
        <v>67290.75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2643.37</v>
      </c>
      <c r="I313" s="18"/>
      <c r="J313" s="18"/>
      <c r="K313" s="18"/>
      <c r="L313" s="19">
        <f t="shared" si="16"/>
        <v>2643.37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707.17</v>
      </c>
      <c r="I317" s="18"/>
      <c r="J317" s="18"/>
      <c r="K317" s="18"/>
      <c r="L317" s="19">
        <f t="shared" si="16"/>
        <v>707.17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>
        <v>11348.25</v>
      </c>
      <c r="L318" s="19">
        <f>SUM(F318:K318)</f>
        <v>11348.25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158532.93</v>
      </c>
      <c r="G320" s="42">
        <f t="shared" si="17"/>
        <v>32069.56</v>
      </c>
      <c r="H320" s="42">
        <f t="shared" si="17"/>
        <v>29395.86</v>
      </c>
      <c r="I320" s="42">
        <f t="shared" si="17"/>
        <v>15480.57</v>
      </c>
      <c r="J320" s="42">
        <f t="shared" si="17"/>
        <v>14508.730000000001</v>
      </c>
      <c r="K320" s="42">
        <f t="shared" si="17"/>
        <v>11410.97</v>
      </c>
      <c r="L320" s="41">
        <f t="shared" si="17"/>
        <v>261398.62000000002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609067.03999999992</v>
      </c>
      <c r="G330" s="41">
        <f t="shared" si="20"/>
        <v>148726.53</v>
      </c>
      <c r="H330" s="41">
        <f t="shared" si="20"/>
        <v>134758.84999999998</v>
      </c>
      <c r="I330" s="41">
        <f t="shared" si="20"/>
        <v>78561.03</v>
      </c>
      <c r="J330" s="41">
        <f t="shared" si="20"/>
        <v>110440.33</v>
      </c>
      <c r="K330" s="41">
        <f t="shared" si="20"/>
        <v>60770.990000000005</v>
      </c>
      <c r="L330" s="41">
        <f t="shared" si="20"/>
        <v>1142324.77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609067.03999999992</v>
      </c>
      <c r="G344" s="41">
        <f>G330</f>
        <v>148726.53</v>
      </c>
      <c r="H344" s="41">
        <f>H330</f>
        <v>134758.84999999998</v>
      </c>
      <c r="I344" s="41">
        <f>I330</f>
        <v>78561.03</v>
      </c>
      <c r="J344" s="41">
        <f>J330</f>
        <v>110440.33</v>
      </c>
      <c r="K344" s="47">
        <f>K330+K343</f>
        <v>60770.990000000005</v>
      </c>
      <c r="L344" s="41">
        <f>L330+L343</f>
        <v>1142324.77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141643</v>
      </c>
      <c r="G350" s="18">
        <v>20448.580000000002</v>
      </c>
      <c r="H350" s="18">
        <v>8242.73</v>
      </c>
      <c r="I350" s="18">
        <v>125443.55</v>
      </c>
      <c r="J350" s="18">
        <v>2721.39</v>
      </c>
      <c r="K350" s="18">
        <v>40.950000000000003</v>
      </c>
      <c r="L350" s="13">
        <f>SUM(F350:K350)</f>
        <v>298540.20000000007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49375.96</v>
      </c>
      <c r="G351" s="18">
        <v>6829.53</v>
      </c>
      <c r="H351" s="18">
        <v>2513.9899999999998</v>
      </c>
      <c r="I351" s="18">
        <v>84399.12</v>
      </c>
      <c r="J351" s="18"/>
      <c r="K351" s="18">
        <v>18.059999999999999</v>
      </c>
      <c r="L351" s="19">
        <f>SUM(F351:K351)</f>
        <v>143136.65999999997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141666.81</v>
      </c>
      <c r="G352" s="18">
        <v>54476.4</v>
      </c>
      <c r="H352" s="18">
        <v>4718.53</v>
      </c>
      <c r="I352" s="18">
        <v>146739.31</v>
      </c>
      <c r="J352" s="18"/>
      <c r="K352" s="18">
        <v>13.55</v>
      </c>
      <c r="L352" s="19">
        <f>SUM(F352:K352)</f>
        <v>347614.6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332685.77</v>
      </c>
      <c r="G354" s="47">
        <f t="shared" si="22"/>
        <v>81754.510000000009</v>
      </c>
      <c r="H354" s="47">
        <f t="shared" si="22"/>
        <v>15475.25</v>
      </c>
      <c r="I354" s="47">
        <f t="shared" si="22"/>
        <v>356581.98</v>
      </c>
      <c r="J354" s="47">
        <f t="shared" si="22"/>
        <v>2721.39</v>
      </c>
      <c r="K354" s="47">
        <f t="shared" si="22"/>
        <v>72.56</v>
      </c>
      <c r="L354" s="47">
        <f t="shared" si="22"/>
        <v>789291.46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125443.55-F360</f>
        <v>115147.04000000001</v>
      </c>
      <c r="G359" s="18">
        <f>84399.12-G360</f>
        <v>80370.44</v>
      </c>
      <c r="H359" s="18">
        <f>146739.31-H360</f>
        <v>138650.56</v>
      </c>
      <c r="I359" s="56">
        <f>SUM(F359:H359)</f>
        <v>334168.04000000004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10296.51</v>
      </c>
      <c r="G360" s="63">
        <v>4028.68</v>
      </c>
      <c r="H360" s="63">
        <v>8088.75</v>
      </c>
      <c r="I360" s="56">
        <f>SUM(F360:H360)</f>
        <v>22413.940000000002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125443.55</v>
      </c>
      <c r="G361" s="47">
        <f>SUM(G359:G360)</f>
        <v>84399.12</v>
      </c>
      <c r="H361" s="47">
        <f>SUM(H359:H360)</f>
        <v>146739.31</v>
      </c>
      <c r="I361" s="47">
        <f>SUM(I359:I360)</f>
        <v>356581.98000000004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1425495.84</f>
        <v>1425495.84</v>
      </c>
      <c r="I370" s="18"/>
      <c r="J370" s="18"/>
      <c r="K370" s="18"/>
      <c r="L370" s="13">
        <f t="shared" si="23"/>
        <v>1425495.84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1425495.84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1425495.84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21998.17</v>
      </c>
      <c r="I388" s="18"/>
      <c r="J388" s="24" t="s">
        <v>312</v>
      </c>
      <c r="K388" s="24" t="s">
        <v>312</v>
      </c>
      <c r="L388" s="56">
        <f t="shared" si="26"/>
        <v>71998.17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5668.19</v>
      </c>
      <c r="I389" s="18"/>
      <c r="J389" s="24" t="s">
        <v>312</v>
      </c>
      <c r="K389" s="24" t="s">
        <v>312</v>
      </c>
      <c r="L389" s="56">
        <f t="shared" si="26"/>
        <v>30668.19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>
        <f>J102</f>
        <v>17158.46</v>
      </c>
      <c r="J392" s="24" t="s">
        <v>312</v>
      </c>
      <c r="K392" s="24" t="s">
        <v>312</v>
      </c>
      <c r="L392" s="56">
        <f t="shared" si="26"/>
        <v>17158.46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75000</v>
      </c>
      <c r="H393" s="47">
        <f>SUM(H387:H392)</f>
        <v>27666.359999999997</v>
      </c>
      <c r="I393" s="47">
        <f>SUM(I387:I392)</f>
        <v>17158.46</v>
      </c>
      <c r="J393" s="45" t="s">
        <v>312</v>
      </c>
      <c r="K393" s="45" t="s">
        <v>312</v>
      </c>
      <c r="L393" s="47">
        <f>SUM(L387:L392)</f>
        <v>119824.82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75000</v>
      </c>
      <c r="H400" s="47">
        <f>H385+H393+H399</f>
        <v>27666.359999999997</v>
      </c>
      <c r="I400" s="47">
        <f>I385+I393+I399</f>
        <v>17158.46</v>
      </c>
      <c r="J400" s="24" t="s">
        <v>312</v>
      </c>
      <c r="K400" s="24" t="s">
        <v>312</v>
      </c>
      <c r="L400" s="47">
        <f>L385+L393+L399</f>
        <v>119824.82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1594005.72</v>
      </c>
      <c r="G432" s="18"/>
      <c r="H432" s="18"/>
      <c r="I432" s="56">
        <f t="shared" si="33"/>
        <v>1594005.72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1594005.72</v>
      </c>
      <c r="G438" s="13">
        <f>SUM(G431:G437)</f>
        <v>0</v>
      </c>
      <c r="H438" s="13">
        <f>SUM(H431:H437)</f>
        <v>0</v>
      </c>
      <c r="I438" s="13">
        <f>SUM(I431:I437)</f>
        <v>1594005.72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1594005.72</v>
      </c>
      <c r="G449" s="18"/>
      <c r="H449" s="18"/>
      <c r="I449" s="56">
        <f>SUM(F449:H449)</f>
        <v>1594005.72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1594005.72</v>
      </c>
      <c r="G450" s="83">
        <f>SUM(G446:G449)</f>
        <v>0</v>
      </c>
      <c r="H450" s="83">
        <f>SUM(H446:H449)</f>
        <v>0</v>
      </c>
      <c r="I450" s="83">
        <f>SUM(I446:I449)</f>
        <v>1594005.72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1594005.72</v>
      </c>
      <c r="G451" s="42">
        <f>G444+G450</f>
        <v>0</v>
      </c>
      <c r="H451" s="42">
        <f>H444+H450</f>
        <v>0</v>
      </c>
      <c r="I451" s="42">
        <f>I444+I450</f>
        <v>1594005.72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1925127.04+376.28</f>
        <v>1925503.32</v>
      </c>
      <c r="G455" s="18">
        <v>7650.37</v>
      </c>
      <c r="H455" s="18">
        <f>89499.65-376.28-376.28</f>
        <v>88747.09</v>
      </c>
      <c r="I455" s="18">
        <v>104392.12</v>
      </c>
      <c r="J455" s="18">
        <f>1497730.9-23550</f>
        <v>1474180.9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33201182.669999998</v>
      </c>
      <c r="G458" s="18">
        <f>G185</f>
        <v>792621.57000000007</v>
      </c>
      <c r="H458" s="18">
        <f>H185</f>
        <v>1215885.08</v>
      </c>
      <c r="I458" s="18">
        <f>I185</f>
        <v>2566913.16</v>
      </c>
      <c r="J458" s="18">
        <f>J185</f>
        <v>119824.81999999999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33201182.669999998</v>
      </c>
      <c r="G460" s="53">
        <f>SUM(G458:G459)</f>
        <v>792621.57000000007</v>
      </c>
      <c r="H460" s="53">
        <f>SUM(H458:H459)</f>
        <v>1215885.08</v>
      </c>
      <c r="I460" s="53">
        <f>SUM(I458:I459)</f>
        <v>2566913.16</v>
      </c>
      <c r="J460" s="53">
        <f>SUM(J458:J459)</f>
        <v>119824.81999999999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33549107.359999999</v>
      </c>
      <c r="G462" s="18">
        <f>L354</f>
        <v>789291.46</v>
      </c>
      <c r="H462" s="18">
        <f>L344</f>
        <v>1142324.77</v>
      </c>
      <c r="I462" s="18">
        <f>L374</f>
        <v>1425495.84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33549107.359999999</v>
      </c>
      <c r="G464" s="53">
        <f>SUM(G462:G463)</f>
        <v>789291.46</v>
      </c>
      <c r="H464" s="53">
        <f>SUM(H462:H463)</f>
        <v>1142324.77</v>
      </c>
      <c r="I464" s="53">
        <f>SUM(I462:I463)</f>
        <v>1425495.84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1577578.6299999952</v>
      </c>
      <c r="G466" s="53">
        <f>(G455+G460)- G464</f>
        <v>10980.480000000098</v>
      </c>
      <c r="H466" s="53">
        <f>(H455+H460)- H464</f>
        <v>162307.40000000014</v>
      </c>
      <c r="I466" s="53">
        <f>(I455+I460)- I464</f>
        <v>1245809.4400000002</v>
      </c>
      <c r="J466" s="53">
        <f>(J455+J460)- J464</f>
        <v>1594005.72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10</v>
      </c>
      <c r="H480" s="154">
        <v>10</v>
      </c>
      <c r="I480" s="154">
        <v>20</v>
      </c>
      <c r="J480" s="154">
        <v>15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272" t="s">
        <v>895</v>
      </c>
      <c r="H481" s="272" t="s">
        <v>896</v>
      </c>
      <c r="I481" s="155" t="s">
        <v>897</v>
      </c>
      <c r="J481" s="271" t="s">
        <v>902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272" t="s">
        <v>898</v>
      </c>
      <c r="G482" s="272" t="s">
        <v>899</v>
      </c>
      <c r="H482" s="272" t="s">
        <v>900</v>
      </c>
      <c r="I482" s="155" t="s">
        <v>901</v>
      </c>
      <c r="J482" s="272" t="s">
        <v>903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6838167</v>
      </c>
      <c r="G483" s="18">
        <v>667500</v>
      </c>
      <c r="H483" s="18">
        <v>3259044</v>
      </c>
      <c r="I483" s="18">
        <v>24450150</v>
      </c>
      <c r="J483" s="18">
        <v>2231283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5.75</v>
      </c>
      <c r="G484" s="18">
        <v>3.8</v>
      </c>
      <c r="H484" s="18">
        <v>3.69</v>
      </c>
      <c r="I484" s="18">
        <v>4.6100000000000003</v>
      </c>
      <c r="J484" s="18">
        <v>4.375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1275000</v>
      </c>
      <c r="G485" s="18">
        <v>195000</v>
      </c>
      <c r="H485" s="18">
        <v>1306748.4099999999</v>
      </c>
      <c r="I485" s="18">
        <v>18682047.420000002</v>
      </c>
      <c r="J485" s="18">
        <f>J483</f>
        <v>2231283</v>
      </c>
      <c r="K485" s="53">
        <f>SUM(F485:J485)</f>
        <v>23690078.830000002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>
        <f>J485</f>
        <v>2231283</v>
      </c>
      <c r="K486" s="53">
        <f t="shared" ref="K486:K493" si="34">SUM(F486:J486)</f>
        <v>2231283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620000</v>
      </c>
      <c r="G487" s="18">
        <v>65000</v>
      </c>
      <c r="H487" s="18">
        <v>287137.46000000002</v>
      </c>
      <c r="I487" s="18">
        <v>1552870.64</v>
      </c>
      <c r="J487" s="18">
        <v>0</v>
      </c>
      <c r="K487" s="53">
        <f t="shared" si="34"/>
        <v>2525008.0999999996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655000</v>
      </c>
      <c r="G488" s="205">
        <f>G485-G487</f>
        <v>130000</v>
      </c>
      <c r="H488" s="205">
        <f>H485-H487</f>
        <v>1019610.95</v>
      </c>
      <c r="I488" s="205">
        <f>I485-I487</f>
        <v>17129176.780000001</v>
      </c>
      <c r="J488" s="205">
        <f>J485-J487</f>
        <v>2231283</v>
      </c>
      <c r="K488" s="206">
        <f t="shared" si="34"/>
        <v>21165070.73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18831.25</v>
      </c>
      <c r="G489" s="18">
        <v>5200</v>
      </c>
      <c r="H489" s="18">
        <v>535889.05000000005</v>
      </c>
      <c r="I489" s="18">
        <v>13133708.25</v>
      </c>
      <c r="J489" s="18">
        <v>744076.85</v>
      </c>
      <c r="K489" s="53">
        <f t="shared" si="34"/>
        <v>14437705.4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673831.25</v>
      </c>
      <c r="G490" s="42">
        <f>SUM(G488:G489)</f>
        <v>135200</v>
      </c>
      <c r="H490" s="42">
        <f>SUM(H488:H489)</f>
        <v>1555500</v>
      </c>
      <c r="I490" s="42">
        <f>SUM(I488:I489)</f>
        <v>30262885.030000001</v>
      </c>
      <c r="J490" s="42">
        <f>SUM(J488:J489)</f>
        <v>2975359.85</v>
      </c>
      <c r="K490" s="42">
        <f t="shared" si="34"/>
        <v>35602776.130000003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655000</v>
      </c>
      <c r="G491" s="205">
        <v>65000</v>
      </c>
      <c r="H491" s="205">
        <v>272822.64</v>
      </c>
      <c r="I491" s="205">
        <v>1482036.92</v>
      </c>
      <c r="J491" s="205">
        <v>148752</v>
      </c>
      <c r="K491" s="206">
        <f t="shared" si="34"/>
        <v>2623611.56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18831.25</v>
      </c>
      <c r="G492" s="18">
        <v>3900</v>
      </c>
      <c r="H492" s="18">
        <v>114552.36</v>
      </c>
      <c r="I492" s="18">
        <v>407585.58</v>
      </c>
      <c r="J492" s="18">
        <v>60175.87</v>
      </c>
      <c r="K492" s="53">
        <f t="shared" si="34"/>
        <v>605045.05999999994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673831.25</v>
      </c>
      <c r="G493" s="42">
        <f>SUM(G491:G492)</f>
        <v>68900</v>
      </c>
      <c r="H493" s="42">
        <f>SUM(H491:H492)</f>
        <v>387375</v>
      </c>
      <c r="I493" s="42">
        <f>SUM(I491:I492)</f>
        <v>1889622.5</v>
      </c>
      <c r="J493" s="42">
        <f>SUM(J491:J492)</f>
        <v>208927.87</v>
      </c>
      <c r="K493" s="42">
        <f t="shared" si="34"/>
        <v>3228656.62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F190+25083.16-17808.32</f>
        <v>1732506.99</v>
      </c>
      <c r="G511" s="18">
        <f>G190+87.76-1666.28</f>
        <v>524706.47000000009</v>
      </c>
      <c r="H511" s="18">
        <f>H190-750.68</f>
        <v>492850.53</v>
      </c>
      <c r="I511" s="18">
        <f>I190+1316.66-3291.36</f>
        <v>31156.54</v>
      </c>
      <c r="J511" s="18">
        <f>J190+3766.85</f>
        <v>4213.51</v>
      </c>
      <c r="K511" s="18">
        <f>K190</f>
        <v>0</v>
      </c>
      <c r="L511" s="88">
        <f>SUM(F511:K511)</f>
        <v>2785434.04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F208+123406.93-4686.41</f>
        <v>981867.27999999991</v>
      </c>
      <c r="G512" s="18">
        <f>G208-2891.18</f>
        <v>221164.99</v>
      </c>
      <c r="H512" s="18">
        <f>H208+8160-834.46</f>
        <v>281171.08</v>
      </c>
      <c r="I512" s="18">
        <f>I208+53006.08-1795.29</f>
        <v>64767.1</v>
      </c>
      <c r="J512" s="18">
        <f>J208+65171.32</f>
        <v>65171.32</v>
      </c>
      <c r="K512" s="18">
        <f>K208</f>
        <v>628.36</v>
      </c>
      <c r="L512" s="88">
        <f>SUM(F512:K512)</f>
        <v>1614770.1300000004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F226+68846.85</f>
        <v>844364.63</v>
      </c>
      <c r="G513" s="18">
        <f>G226-130.76</f>
        <v>216784.96000000002</v>
      </c>
      <c r="H513" s="18">
        <f>H226+3840-6807.1</f>
        <v>390116.89</v>
      </c>
      <c r="I513" s="18">
        <f>I226+6406.3-2393.72</f>
        <v>28377.579999999998</v>
      </c>
      <c r="J513" s="18">
        <f>J226+3862.78</f>
        <v>8325.4600000000009</v>
      </c>
      <c r="K513" s="18">
        <f>K226</f>
        <v>0</v>
      </c>
      <c r="L513" s="88">
        <f>SUM(F513:K513)</f>
        <v>1487969.52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3558738.9</v>
      </c>
      <c r="G514" s="108">
        <f t="shared" ref="G514:L514" si="35">SUM(G511:G513)</f>
        <v>962656.42000000016</v>
      </c>
      <c r="H514" s="108">
        <f t="shared" si="35"/>
        <v>1164138.5</v>
      </c>
      <c r="I514" s="108">
        <f t="shared" si="35"/>
        <v>124301.22</v>
      </c>
      <c r="J514" s="108">
        <f t="shared" si="35"/>
        <v>77710.290000000008</v>
      </c>
      <c r="K514" s="108">
        <f t="shared" si="35"/>
        <v>628.36</v>
      </c>
      <c r="L514" s="89">
        <f t="shared" si="35"/>
        <v>5888173.6899999995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56103.39</v>
      </c>
      <c r="G516" s="18">
        <v>10413.07</v>
      </c>
      <c r="H516" s="18">
        <v>15595.82</v>
      </c>
      <c r="I516" s="18">
        <v>1347.11</v>
      </c>
      <c r="J516" s="18">
        <v>6207.47</v>
      </c>
      <c r="K516" s="18"/>
      <c r="L516" s="88">
        <f>SUM(F516:K516)</f>
        <v>89666.86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26099.68</v>
      </c>
      <c r="G517" s="18">
        <v>4861.8500000000004</v>
      </c>
      <c r="H517" s="18">
        <v>5425.49</v>
      </c>
      <c r="I517" s="18">
        <v>128.83000000000001</v>
      </c>
      <c r="J517" s="18"/>
      <c r="K517" s="18"/>
      <c r="L517" s="88">
        <f>SUM(F517:K517)</f>
        <v>36515.85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36776.800000000003</v>
      </c>
      <c r="G518" s="18">
        <v>6850.79</v>
      </c>
      <c r="H518" s="18">
        <v>7645</v>
      </c>
      <c r="I518" s="18">
        <v>181.53</v>
      </c>
      <c r="J518" s="18"/>
      <c r="K518" s="18"/>
      <c r="L518" s="88">
        <f>SUM(F518:K518)</f>
        <v>51454.12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118979.87000000001</v>
      </c>
      <c r="G519" s="89">
        <f t="shared" ref="G519:L519" si="36">SUM(G516:G518)</f>
        <v>22125.71</v>
      </c>
      <c r="H519" s="89">
        <f t="shared" si="36"/>
        <v>28666.309999999998</v>
      </c>
      <c r="I519" s="89">
        <f t="shared" si="36"/>
        <v>1657.4699999999998</v>
      </c>
      <c r="J519" s="89">
        <f t="shared" si="36"/>
        <v>6207.47</v>
      </c>
      <c r="K519" s="89">
        <f t="shared" si="36"/>
        <v>0</v>
      </c>
      <c r="L519" s="89">
        <f t="shared" si="36"/>
        <v>177636.83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54927.839999999997</v>
      </c>
      <c r="G521" s="18">
        <v>22235.02</v>
      </c>
      <c r="H521" s="18"/>
      <c r="I521" s="18"/>
      <c r="J521" s="18"/>
      <c r="K521" s="18"/>
      <c r="L521" s="88">
        <f>SUM(F521:K521)</f>
        <v>77162.86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29960.639999999999</v>
      </c>
      <c r="G522" s="18">
        <v>12128.19</v>
      </c>
      <c r="H522" s="18"/>
      <c r="I522" s="18"/>
      <c r="J522" s="18"/>
      <c r="K522" s="18"/>
      <c r="L522" s="88">
        <f>SUM(F522:K522)</f>
        <v>42088.83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39947.519999999997</v>
      </c>
      <c r="G523" s="18">
        <v>16170.92</v>
      </c>
      <c r="H523" s="18"/>
      <c r="I523" s="18"/>
      <c r="J523" s="18"/>
      <c r="K523" s="18"/>
      <c r="L523" s="88">
        <f>SUM(F523:K523)</f>
        <v>56118.439999999995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124836</v>
      </c>
      <c r="G524" s="89">
        <f t="shared" ref="G524:L524" si="37">SUM(G521:G523)</f>
        <v>50534.13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175370.13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H582</f>
        <v>159576.31</v>
      </c>
      <c r="I531" s="18"/>
      <c r="J531" s="18"/>
      <c r="K531" s="18"/>
      <c r="L531" s="88">
        <f>SUM(F531:K531)</f>
        <v>159576.31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I582</f>
        <v>87041.62</v>
      </c>
      <c r="I532" s="18"/>
      <c r="J532" s="18"/>
      <c r="K532" s="18"/>
      <c r="L532" s="88">
        <f>SUM(F532:K532)</f>
        <v>87041.62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J582</f>
        <v>116055.48</v>
      </c>
      <c r="I533" s="18"/>
      <c r="J533" s="18"/>
      <c r="K533" s="18"/>
      <c r="L533" s="88">
        <f>SUM(F533:K533)</f>
        <v>116055.48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362673.41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362673.41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3802554.77</v>
      </c>
      <c r="G535" s="89">
        <f t="shared" ref="G535:L535" si="40">G514+G519+G524+G529+G534</f>
        <v>1035316.2600000001</v>
      </c>
      <c r="H535" s="89">
        <f t="shared" si="40"/>
        <v>1555478.22</v>
      </c>
      <c r="I535" s="89">
        <f t="shared" si="40"/>
        <v>125958.69</v>
      </c>
      <c r="J535" s="89">
        <f t="shared" si="40"/>
        <v>83917.760000000009</v>
      </c>
      <c r="K535" s="89">
        <f t="shared" si="40"/>
        <v>628.36</v>
      </c>
      <c r="L535" s="89">
        <f t="shared" si="40"/>
        <v>6603854.0599999996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2785434.04</v>
      </c>
      <c r="G539" s="87">
        <f>L516</f>
        <v>89666.86</v>
      </c>
      <c r="H539" s="87">
        <f>L521</f>
        <v>77162.86</v>
      </c>
      <c r="I539" s="87">
        <f>L526</f>
        <v>0</v>
      </c>
      <c r="J539" s="87">
        <f>L531</f>
        <v>159576.31</v>
      </c>
      <c r="K539" s="87">
        <f>SUM(F539:J539)</f>
        <v>3111840.07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1614770.1300000004</v>
      </c>
      <c r="G540" s="87">
        <f>L517</f>
        <v>36515.85</v>
      </c>
      <c r="H540" s="87">
        <f>L522</f>
        <v>42088.83</v>
      </c>
      <c r="I540" s="87">
        <f>L527</f>
        <v>0</v>
      </c>
      <c r="J540" s="87">
        <f>L532</f>
        <v>87041.62</v>
      </c>
      <c r="K540" s="87">
        <f>SUM(F540:J540)</f>
        <v>1780416.4300000006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1487969.52</v>
      </c>
      <c r="G541" s="87">
        <f>L518</f>
        <v>51454.12</v>
      </c>
      <c r="H541" s="87">
        <f>L523</f>
        <v>56118.439999999995</v>
      </c>
      <c r="I541" s="87">
        <f>L528</f>
        <v>0</v>
      </c>
      <c r="J541" s="87">
        <f>L533</f>
        <v>116055.48</v>
      </c>
      <c r="K541" s="87">
        <f>SUM(F541:J541)</f>
        <v>1711597.56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5888173.6899999995</v>
      </c>
      <c r="G542" s="89">
        <f t="shared" si="41"/>
        <v>177636.83</v>
      </c>
      <c r="H542" s="89">
        <f t="shared" si="41"/>
        <v>175370.13</v>
      </c>
      <c r="I542" s="89">
        <f t="shared" si="41"/>
        <v>0</v>
      </c>
      <c r="J542" s="89">
        <f t="shared" si="41"/>
        <v>362673.41</v>
      </c>
      <c r="K542" s="89">
        <f t="shared" si="41"/>
        <v>6603854.0600000005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410810.76</v>
      </c>
      <c r="G572" s="18">
        <v>231258.1</v>
      </c>
      <c r="H572" s="18">
        <v>330606.24</v>
      </c>
      <c r="I572" s="87">
        <f t="shared" si="46"/>
        <v>972675.1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f>H227</f>
        <v>25307.84</v>
      </c>
      <c r="I574" s="87">
        <f t="shared" si="46"/>
        <v>25307.84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930008.11</v>
      </c>
      <c r="I581" s="18">
        <v>493547.15</v>
      </c>
      <c r="J581" s="18">
        <v>615438.49</v>
      </c>
      <c r="K581" s="104">
        <f t="shared" ref="K581:K587" si="47">SUM(H581:J581)</f>
        <v>2038993.75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159576.31</v>
      </c>
      <c r="I582" s="18">
        <v>87041.62</v>
      </c>
      <c r="J582" s="18">
        <v>116055.48</v>
      </c>
      <c r="K582" s="104">
        <f t="shared" si="47"/>
        <v>362673.41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2902.79</v>
      </c>
      <c r="K583" s="104">
        <f t="shared" si="47"/>
        <v>2902.79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8435.08</v>
      </c>
      <c r="J584" s="18">
        <v>33672.54</v>
      </c>
      <c r="K584" s="104">
        <f t="shared" si="47"/>
        <v>42107.62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20183.03</v>
      </c>
      <c r="I585" s="18">
        <v>11368.04</v>
      </c>
      <c r="J585" s="18">
        <v>9816.86</v>
      </c>
      <c r="K585" s="104">
        <f t="shared" si="47"/>
        <v>41367.93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1109767.45</v>
      </c>
      <c r="I588" s="108">
        <f>SUM(I581:I587)</f>
        <v>600391.89</v>
      </c>
      <c r="J588" s="108">
        <f>SUM(J581:J587)</f>
        <v>777886.16</v>
      </c>
      <c r="K588" s="108">
        <f>SUM(K581:K587)</f>
        <v>2488045.5000000005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159739.41999999998</v>
      </c>
      <c r="I594" s="18">
        <f>J221+J301</f>
        <v>59237.34</v>
      </c>
      <c r="J594" s="18">
        <f>J239+J320</f>
        <v>177646.40000000002</v>
      </c>
      <c r="K594" s="104">
        <f>SUM(H594:J594)</f>
        <v>396623.16000000003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159739.41999999998</v>
      </c>
      <c r="I595" s="108">
        <f>SUM(I592:I594)</f>
        <v>59237.34</v>
      </c>
      <c r="J595" s="108">
        <f>SUM(J592:J594)</f>
        <v>177646.40000000002</v>
      </c>
      <c r="K595" s="108">
        <f>SUM(K592:K594)</f>
        <v>396623.16000000003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2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274">
        <v>21299.74</v>
      </c>
      <c r="G601" s="275">
        <v>3862.38</v>
      </c>
      <c r="H601" s="275"/>
      <c r="I601" s="275">
        <v>259.73</v>
      </c>
      <c r="J601" s="18"/>
      <c r="K601" s="18"/>
      <c r="L601" s="88">
        <f>SUM(F601:K601)</f>
        <v>25421.850000000002</v>
      </c>
      <c r="M601" s="8"/>
    </row>
    <row r="602" spans="1:13" s="3" customFormat="1" ht="12" customHeight="1" x14ac:dyDescent="0.2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276">
        <v>40745.370000000003</v>
      </c>
      <c r="G602" s="273">
        <v>5613.39</v>
      </c>
      <c r="H602" s="273"/>
      <c r="I602" s="273">
        <v>201.7</v>
      </c>
      <c r="J602" s="18"/>
      <c r="K602" s="18"/>
      <c r="L602" s="88">
        <f>SUM(F602:K602)</f>
        <v>46560.46</v>
      </c>
      <c r="M602" s="8"/>
    </row>
    <row r="603" spans="1:13" s="3" customFormat="1" ht="12" customHeight="1" thickBot="1" x14ac:dyDescent="0.25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276">
        <v>29503.1</v>
      </c>
      <c r="G603" s="273">
        <v>4066.21</v>
      </c>
      <c r="H603" s="273"/>
      <c r="I603" s="273">
        <v>599.97</v>
      </c>
      <c r="J603" s="18"/>
      <c r="K603" s="18"/>
      <c r="L603" s="88">
        <f>SUM(F603:K603)</f>
        <v>34169.279999999999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91548.209999999992</v>
      </c>
      <c r="G604" s="108">
        <f t="shared" si="48"/>
        <v>13541.98</v>
      </c>
      <c r="H604" s="108">
        <f t="shared" si="48"/>
        <v>0</v>
      </c>
      <c r="I604" s="108">
        <f t="shared" si="48"/>
        <v>1061.4000000000001</v>
      </c>
      <c r="J604" s="108">
        <f t="shared" si="48"/>
        <v>0</v>
      </c>
      <c r="K604" s="108">
        <f t="shared" si="48"/>
        <v>0</v>
      </c>
      <c r="L604" s="89">
        <f t="shared" si="48"/>
        <v>106151.59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4448104.75</v>
      </c>
      <c r="H607" s="109">
        <f>SUM(F44)</f>
        <v>4448104.75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725092.12</v>
      </c>
      <c r="H608" s="109">
        <f>SUM(G44)</f>
        <v>725092.12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620488.48</v>
      </c>
      <c r="H609" s="109">
        <f>SUM(H44)</f>
        <v>620488.48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1316414.28</v>
      </c>
      <c r="H610" s="109">
        <f>SUM(I44)</f>
        <v>1316414.28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1594005.72</v>
      </c>
      <c r="H611" s="109">
        <f>SUM(J44)</f>
        <v>1594005.72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1577578.6300000001</v>
      </c>
      <c r="H612" s="109">
        <f>F466</f>
        <v>1577578.6299999952</v>
      </c>
      <c r="I612" s="121" t="s">
        <v>106</v>
      </c>
      <c r="J612" s="109">
        <f t="shared" ref="J612:J645" si="49">G612-H612</f>
        <v>4.8894435167312622E-9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10980.48</v>
      </c>
      <c r="H613" s="109">
        <f>G466</f>
        <v>10980.480000000098</v>
      </c>
      <c r="I613" s="121" t="s">
        <v>108</v>
      </c>
      <c r="J613" s="109">
        <f t="shared" si="49"/>
        <v>-9.822542779147625E-11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162307.4</v>
      </c>
      <c r="H614" s="109">
        <f>H466</f>
        <v>162307.40000000014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1245809.44</v>
      </c>
      <c r="H615" s="109">
        <f>I466</f>
        <v>1245809.4400000002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1594005.72</v>
      </c>
      <c r="H616" s="109">
        <f>J466</f>
        <v>1594005.72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33201182.669999998</v>
      </c>
      <c r="H617" s="104">
        <f>SUM(F458)</f>
        <v>33201182.669999998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792621.57000000007</v>
      </c>
      <c r="H618" s="104">
        <f>SUM(G458)</f>
        <v>792621.57000000007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1215885.08</v>
      </c>
      <c r="H619" s="104">
        <f>SUM(H458)</f>
        <v>1215885.08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2566913.16</v>
      </c>
      <c r="H620" s="104">
        <f>SUM(I458)</f>
        <v>2566913.16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119824.81999999999</v>
      </c>
      <c r="H621" s="104">
        <f>SUM(J458)</f>
        <v>119824.81999999999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33549107.359999999</v>
      </c>
      <c r="H622" s="104">
        <f>SUM(F462)</f>
        <v>33549107.359999999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1142324.77</v>
      </c>
      <c r="H623" s="104">
        <f>SUM(H462)</f>
        <v>1142324.77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356581.98</v>
      </c>
      <c r="H624" s="104">
        <f>I361</f>
        <v>356581.98000000004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789291.46</v>
      </c>
      <c r="H625" s="104">
        <f>SUM(G462)</f>
        <v>789291.46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1425495.84</v>
      </c>
      <c r="H626" s="104">
        <f>SUM(I462)</f>
        <v>1425495.84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119824.82</v>
      </c>
      <c r="H627" s="164">
        <f>SUM(J458)</f>
        <v>119824.81999999999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1594005.72</v>
      </c>
      <c r="H629" s="104">
        <f>SUM(F451)</f>
        <v>1594005.72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1594005.72</v>
      </c>
      <c r="H632" s="104">
        <f>SUM(I451)</f>
        <v>1594005.72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27666.359999999997</v>
      </c>
      <c r="H634" s="104">
        <f>H400</f>
        <v>27666.359999999997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75000</v>
      </c>
      <c r="H635" s="104">
        <f>G400</f>
        <v>75000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119824.81999999999</v>
      </c>
      <c r="H636" s="104">
        <f>L400</f>
        <v>119824.82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2488045.5000000005</v>
      </c>
      <c r="H637" s="104">
        <f>L200+L218+L236</f>
        <v>2488045.5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396623.16000000003</v>
      </c>
      <c r="H638" s="104">
        <f>(J249+J330)-(J247+J328)</f>
        <v>396623.16000000003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1109767.45</v>
      </c>
      <c r="H639" s="104">
        <f>H588</f>
        <v>1109767.45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600391.89</v>
      </c>
      <c r="H640" s="104">
        <f>I588</f>
        <v>600391.89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777886.16</v>
      </c>
      <c r="H641" s="104">
        <f>J588</f>
        <v>777886.16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127846.19</v>
      </c>
      <c r="H642" s="104">
        <f>K255+K337</f>
        <v>127846.19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75000</v>
      </c>
      <c r="H645" s="104">
        <f>K258+K339</f>
        <v>75000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13245559.119999997</v>
      </c>
      <c r="G650" s="19">
        <f>(L221+L301+L351)</f>
        <v>8559401.6499999985</v>
      </c>
      <c r="H650" s="19">
        <f>(L239+L320+L352)</f>
        <v>10439170.889999999</v>
      </c>
      <c r="I650" s="19">
        <f>SUM(F650:H650)</f>
        <v>32244131.659999996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183387.20292875593</v>
      </c>
      <c r="G651" s="19">
        <f>(L351/IF(SUM(L350:L352)=0,1,SUM(L350:L352))*(SUM(G89:G102)))</f>
        <v>87925.953402470856</v>
      </c>
      <c r="H651" s="19">
        <f>(L352/IF(SUM(L350:L352)=0,1,SUM(L350:L352))*(SUM(G89:G102)))</f>
        <v>213532.61366877327</v>
      </c>
      <c r="I651" s="19">
        <f>SUM(F651:H651)</f>
        <v>484845.77000000008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1109767.45</v>
      </c>
      <c r="G652" s="19">
        <f>(L218+L298)-(J218+J298)</f>
        <v>600391.89</v>
      </c>
      <c r="H652" s="19">
        <f>(L236+L317)-(J236+J317)</f>
        <v>778593.33000000007</v>
      </c>
      <c r="I652" s="19">
        <f>SUM(F652:H652)</f>
        <v>2488752.67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595972.02999999991</v>
      </c>
      <c r="G653" s="200">
        <f>SUM(G565:G577)+SUM(I592:I594)+L602</f>
        <v>337055.9</v>
      </c>
      <c r="H653" s="200">
        <f>SUM(H565:H577)+SUM(J592:J594)+L603</f>
        <v>567729.76</v>
      </c>
      <c r="I653" s="19">
        <f>SUM(F653:H653)</f>
        <v>1500757.69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11356432.437071241</v>
      </c>
      <c r="G654" s="19">
        <f>G650-SUM(G651:G653)</f>
        <v>7534027.9065975277</v>
      </c>
      <c r="H654" s="19">
        <f>H650-SUM(H651:H653)</f>
        <v>8879315.1863312256</v>
      </c>
      <c r="I654" s="19">
        <f>I650-SUM(I651:I653)</f>
        <v>27769775.529999997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781.62</v>
      </c>
      <c r="G655" s="249">
        <v>465.7</v>
      </c>
      <c r="H655" s="249">
        <v>638.76</v>
      </c>
      <c r="I655" s="19">
        <f>SUM(F655:H655)</f>
        <v>1886.08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14529.35</v>
      </c>
      <c r="G657" s="19">
        <f>ROUND(G654/G655,2)</f>
        <v>16177.86</v>
      </c>
      <c r="H657" s="19">
        <f>ROUND(H654/H655,2)</f>
        <v>13900.86</v>
      </c>
      <c r="I657" s="19">
        <f>ROUND(I654/I655,2)</f>
        <v>14723.54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-7</v>
      </c>
      <c r="I660" s="19">
        <f>SUM(F660:H660)</f>
        <v>-7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14529.35</v>
      </c>
      <c r="G662" s="19">
        <f>ROUND((G654+G659)/(G655+G660),2)</f>
        <v>16177.86</v>
      </c>
      <c r="H662" s="19">
        <f>ROUND((H654+H659)/(H655+H660),2)</f>
        <v>14054.89</v>
      </c>
      <c r="I662" s="19">
        <f>ROUND((I654+I659)/(I655+I660),2)</f>
        <v>14778.39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262-2DD8-4BA7-A2CF-5863CCAF678E}">
  <sheetPr>
    <tabColor indexed="20"/>
  </sheetPr>
  <dimension ref="A1:C52"/>
  <sheetViews>
    <sheetView workbookViewId="0">
      <selection activeCell="L9" sqref="L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Kearsarge Regional SD</v>
      </c>
      <c r="C1" s="239" t="s">
        <v>870</v>
      </c>
    </row>
    <row r="2" spans="1:3" x14ac:dyDescent="0.2">
      <c r="A2" s="234"/>
      <c r="B2" s="233"/>
    </row>
    <row r="3" spans="1:3" x14ac:dyDescent="0.2">
      <c r="A3" s="280" t="s">
        <v>815</v>
      </c>
      <c r="B3" s="280"/>
      <c r="C3" s="280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9" t="s">
        <v>814</v>
      </c>
      <c r="C6" s="279"/>
    </row>
    <row r="7" spans="1:3" x14ac:dyDescent="0.2">
      <c r="A7" s="240" t="s">
        <v>817</v>
      </c>
      <c r="B7" s="277" t="s">
        <v>813</v>
      </c>
      <c r="C7" s="278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9152928.0200000014</v>
      </c>
      <c r="C9" s="230">
        <f>'DOE25'!G189+'DOE25'!G207+'DOE25'!G225+'DOE25'!G268+'DOE25'!G287+'DOE25'!G306</f>
        <v>3700818.8600000008</v>
      </c>
    </row>
    <row r="10" spans="1:3" x14ac:dyDescent="0.2">
      <c r="A10" t="s">
        <v>810</v>
      </c>
      <c r="B10" s="241">
        <f>8252099.72-22494.73</f>
        <v>8229604.9899999993</v>
      </c>
      <c r="C10" s="241">
        <f>3078943.37</f>
        <v>3078943.37</v>
      </c>
    </row>
    <row r="11" spans="1:3" x14ac:dyDescent="0.2">
      <c r="A11" t="s">
        <v>811</v>
      </c>
      <c r="B11" s="241">
        <v>320760.15999999997</v>
      </c>
      <c r="C11" s="241">
        <v>60942.07</v>
      </c>
    </row>
    <row r="12" spans="1:3" x14ac:dyDescent="0.2">
      <c r="A12" t="s">
        <v>812</v>
      </c>
      <c r="B12" s="241">
        <v>602562.87</v>
      </c>
      <c r="C12" s="241">
        <v>560933.42000000004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9152928.0199999977</v>
      </c>
      <c r="C13" s="232">
        <f>SUM(C10:C12)</f>
        <v>3700818.86</v>
      </c>
    </row>
    <row r="14" spans="1:3" x14ac:dyDescent="0.2">
      <c r="B14" s="231"/>
      <c r="C14" s="231"/>
    </row>
    <row r="15" spans="1:3" x14ac:dyDescent="0.2">
      <c r="B15" s="279" t="s">
        <v>814</v>
      </c>
      <c r="C15" s="279"/>
    </row>
    <row r="16" spans="1:3" x14ac:dyDescent="0.2">
      <c r="A16" s="240" t="s">
        <v>818</v>
      </c>
      <c r="B16" s="277" t="s">
        <v>738</v>
      </c>
      <c r="C16" s="278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3529056.6900000004</v>
      </c>
      <c r="C18" s="230">
        <f>'DOE25'!G190+'DOE25'!G208+'DOE25'!G226+'DOE25'!G269+'DOE25'!G288+'DOE25'!G307</f>
        <v>1019521.5800000002</v>
      </c>
    </row>
    <row r="19" spans="1:3" x14ac:dyDescent="0.2">
      <c r="A19" t="s">
        <v>810</v>
      </c>
      <c r="B19" s="241">
        <f>22494.73+2392386.61</f>
        <v>2414881.34</v>
      </c>
      <c r="C19" s="241">
        <v>779313.81</v>
      </c>
    </row>
    <row r="20" spans="1:3" x14ac:dyDescent="0.2">
      <c r="A20" t="s">
        <v>811</v>
      </c>
      <c r="B20" s="241">
        <v>1057485.25</v>
      </c>
      <c r="C20" s="241">
        <v>169022.67</v>
      </c>
    </row>
    <row r="21" spans="1:3" x14ac:dyDescent="0.2">
      <c r="A21" t="s">
        <v>812</v>
      </c>
      <c r="B21" s="241">
        <v>56690.1</v>
      </c>
      <c r="C21" s="241">
        <v>71185.100000000006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3529056.69</v>
      </c>
      <c r="C22" s="232">
        <f>SUM(C19:C21)</f>
        <v>1019521.5800000001</v>
      </c>
    </row>
    <row r="23" spans="1:3" x14ac:dyDescent="0.2">
      <c r="B23" s="231"/>
      <c r="C23" s="231"/>
    </row>
    <row r="24" spans="1:3" x14ac:dyDescent="0.2">
      <c r="B24" s="279" t="s">
        <v>814</v>
      </c>
      <c r="C24" s="279"/>
    </row>
    <row r="25" spans="1:3" x14ac:dyDescent="0.2">
      <c r="A25" s="240" t="s">
        <v>819</v>
      </c>
      <c r="B25" s="277" t="s">
        <v>739</v>
      </c>
      <c r="C25" s="278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9" t="s">
        <v>814</v>
      </c>
      <c r="C33" s="279"/>
    </row>
    <row r="34" spans="1:3" x14ac:dyDescent="0.2">
      <c r="A34" s="240" t="s">
        <v>820</v>
      </c>
      <c r="B34" s="277" t="s">
        <v>740</v>
      </c>
      <c r="C34" s="278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262953.24</v>
      </c>
      <c r="C36" s="236">
        <f>'DOE25'!G192+'DOE25'!G210+'DOE25'!G228+'DOE25'!G271+'DOE25'!G290+'DOE25'!G309</f>
        <v>35139.879999999997</v>
      </c>
    </row>
    <row r="37" spans="1:3" x14ac:dyDescent="0.2">
      <c r="A37" t="s">
        <v>810</v>
      </c>
      <c r="B37" s="241">
        <v>144702</v>
      </c>
      <c r="C37" s="241">
        <v>24278.820000000051</v>
      </c>
    </row>
    <row r="38" spans="1:3" x14ac:dyDescent="0.2">
      <c r="A38" t="s">
        <v>811</v>
      </c>
      <c r="B38" s="241">
        <v>37379.74</v>
      </c>
      <c r="C38" s="241">
        <v>3512.48</v>
      </c>
    </row>
    <row r="39" spans="1:3" x14ac:dyDescent="0.2">
      <c r="A39" t="s">
        <v>812</v>
      </c>
      <c r="B39" s="241">
        <v>80871.5</v>
      </c>
      <c r="C39" s="241">
        <v>7348.58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262953.24</v>
      </c>
      <c r="C40" s="232">
        <f>SUM(C37:C39)</f>
        <v>35139.880000000048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A608-58E3-48A9-8106-4EBAE85D5D0C}">
  <sheetPr>
    <tabColor indexed="11"/>
  </sheetPr>
  <dimension ref="A1:I51"/>
  <sheetViews>
    <sheetView workbookViewId="0">
      <pane ySplit="4" topLeftCell="A32" activePane="bottomLeft" state="frozen"/>
      <selection activeCell="L9" sqref="L9"/>
      <selection pane="bottomLeft" activeCell="L9" sqref="L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821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748</v>
      </c>
      <c r="B2" s="266" t="str">
        <f>'DOE25'!A2</f>
        <v>Kearsarge Regional SD</v>
      </c>
      <c r="C2" s="181"/>
      <c r="D2" s="181" t="s">
        <v>823</v>
      </c>
      <c r="E2" s="181" t="s">
        <v>825</v>
      </c>
      <c r="F2" s="281" t="s">
        <v>852</v>
      </c>
      <c r="G2" s="282"/>
      <c r="H2" s="283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19488400.469999999</v>
      </c>
      <c r="D5" s="20">
        <f>SUM('DOE25'!L189:L192)+SUM('DOE25'!L207:L210)+SUM('DOE25'!L225:L228)-F5-G5</f>
        <v>19284240.079999998</v>
      </c>
      <c r="E5" s="244"/>
      <c r="F5" s="256">
        <f>SUM('DOE25'!J189:J192)+SUM('DOE25'!J207:J210)+SUM('DOE25'!J225:J228)</f>
        <v>178889.13</v>
      </c>
      <c r="G5" s="53">
        <f>SUM('DOE25'!K189:K192)+SUM('DOE25'!K207:K210)+SUM('DOE25'!K225:K228)</f>
        <v>25271.260000000002</v>
      </c>
      <c r="H5" s="260"/>
    </row>
    <row r="6" spans="1:9" x14ac:dyDescent="0.2">
      <c r="A6" s="32">
        <v>2100</v>
      </c>
      <c r="B6" t="s">
        <v>832</v>
      </c>
      <c r="C6" s="246">
        <f t="shared" si="0"/>
        <v>1338120.46</v>
      </c>
      <c r="D6" s="20">
        <f>'DOE25'!L194+'DOE25'!L212+'DOE25'!L230-F6-G6</f>
        <v>1335819.94</v>
      </c>
      <c r="E6" s="244"/>
      <c r="F6" s="256">
        <f>'DOE25'!J194+'DOE25'!J212+'DOE25'!J230</f>
        <v>2300.52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623022.06999999995</v>
      </c>
      <c r="D7" s="20">
        <f>'DOE25'!L195+'DOE25'!L213+'DOE25'!L231-F7-G7</f>
        <v>613696.66999999993</v>
      </c>
      <c r="E7" s="244"/>
      <c r="F7" s="256">
        <f>'DOE25'!J195+'DOE25'!J213+'DOE25'!J231</f>
        <v>9325.4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1336358.06</v>
      </c>
      <c r="D8" s="244"/>
      <c r="E8" s="20">
        <f>'DOE25'!L196+'DOE25'!L214+'DOE25'!L232-F8-G8-D9-D11</f>
        <v>1254791.4400000002</v>
      </c>
      <c r="F8" s="256">
        <f>'DOE25'!J196+'DOE25'!J214+'DOE25'!J232</f>
        <v>69373.23000000001</v>
      </c>
      <c r="G8" s="53">
        <f>'DOE25'!K196+'DOE25'!K214+'DOE25'!K232</f>
        <v>12193.39</v>
      </c>
      <c r="H8" s="260"/>
    </row>
    <row r="9" spans="1:9" x14ac:dyDescent="0.2">
      <c r="A9" s="32">
        <v>2310</v>
      </c>
      <c r="B9" t="s">
        <v>849</v>
      </c>
      <c r="C9" s="246">
        <f t="shared" si="0"/>
        <v>33976.129999999997</v>
      </c>
      <c r="D9" s="245">
        <v>33976.129999999997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37000</v>
      </c>
      <c r="D10" s="244"/>
      <c r="E10" s="245">
        <v>37000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371654.19</v>
      </c>
      <c r="D11" s="245">
        <v>371654.19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1711572.1</v>
      </c>
      <c r="D12" s="20">
        <f>'DOE25'!L197+'DOE25'!L215+'DOE25'!L233-F12-G12</f>
        <v>1698549.12</v>
      </c>
      <c r="E12" s="244"/>
      <c r="F12" s="256">
        <f>'DOE25'!J197+'DOE25'!J215+'DOE25'!J233</f>
        <v>1256.8499999999999</v>
      </c>
      <c r="G12" s="53">
        <f>'DOE25'!K197+'DOE25'!K215+'DOE25'!K233</f>
        <v>11766.130000000001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2921366.4499999997</v>
      </c>
      <c r="D14" s="20">
        <f>'DOE25'!L199+'DOE25'!L217+'DOE25'!L235-F14-G14</f>
        <v>2896143.7499999995</v>
      </c>
      <c r="E14" s="244"/>
      <c r="F14" s="256">
        <f>'DOE25'!J199+'DOE25'!J217+'DOE25'!J235</f>
        <v>25037.7</v>
      </c>
      <c r="G14" s="53">
        <f>'DOE25'!K199+'DOE25'!K217+'DOE25'!K235</f>
        <v>185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2488045.5</v>
      </c>
      <c r="D15" s="20">
        <f>'DOE25'!L200+'DOE25'!L218+'DOE25'!L236-F15-G15</f>
        <v>2488045.5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8585.74</v>
      </c>
      <c r="D17" s="20">
        <f>'DOE25'!L243-F17-G17</f>
        <v>8585.74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3025160</v>
      </c>
      <c r="D25" s="244"/>
      <c r="E25" s="244"/>
      <c r="F25" s="259"/>
      <c r="G25" s="257"/>
      <c r="H25" s="258">
        <f>'DOE25'!L252+'DOE25'!L253+'DOE25'!L333+'DOE25'!L334</f>
        <v>3025160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455123.41999999993</v>
      </c>
      <c r="D29" s="20">
        <f>'DOE25'!L350+'DOE25'!L351+'DOE25'!L352-'DOE25'!I359-F29-G29</f>
        <v>452329.46999999991</v>
      </c>
      <c r="E29" s="244"/>
      <c r="F29" s="256">
        <f>'DOE25'!J350+'DOE25'!J351+'DOE25'!J352</f>
        <v>2721.39</v>
      </c>
      <c r="G29" s="53">
        <f>'DOE25'!K350+'DOE25'!K351+'DOE25'!K352</f>
        <v>72.56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1142324.77</v>
      </c>
      <c r="D31" s="20">
        <f>'DOE25'!L282+'DOE25'!L301+'DOE25'!L320+'DOE25'!L325+'DOE25'!L326+'DOE25'!L327-F31-G31</f>
        <v>971113.45000000007</v>
      </c>
      <c r="E31" s="244"/>
      <c r="F31" s="256">
        <f>'DOE25'!J282+'DOE25'!J301+'DOE25'!J320+'DOE25'!J325+'DOE25'!J326+'DOE25'!J327</f>
        <v>110440.33</v>
      </c>
      <c r="G31" s="53">
        <f>'DOE25'!K282+'DOE25'!K301+'DOE25'!K320+'DOE25'!K325+'DOE25'!K326+'DOE25'!K327</f>
        <v>60770.990000000005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30154154.039999995</v>
      </c>
      <c r="E33" s="247">
        <f>SUM(E5:E31)</f>
        <v>1291791.4400000002</v>
      </c>
      <c r="F33" s="247">
        <f>SUM(F5:F31)</f>
        <v>399344.55000000005</v>
      </c>
      <c r="G33" s="247">
        <f>SUM(G5:G31)</f>
        <v>110259.33</v>
      </c>
      <c r="H33" s="247">
        <f>SUM(H5:H31)</f>
        <v>3025160</v>
      </c>
    </row>
    <row r="35" spans="2:8" ht="12" thickBot="1" x14ac:dyDescent="0.25">
      <c r="B35" s="254" t="s">
        <v>878</v>
      </c>
      <c r="D35" s="255">
        <f>E33</f>
        <v>1291791.4400000002</v>
      </c>
      <c r="E35" s="250"/>
    </row>
    <row r="36" spans="2:8" ht="12" thickTop="1" x14ac:dyDescent="0.2">
      <c r="B36" t="s">
        <v>846</v>
      </c>
      <c r="D36" s="20">
        <f>D33</f>
        <v>30154154.039999995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F519-46B5-4865-8294-B6AB1F43970F}">
  <sheetPr transitionEvaluation="1" codeName="Sheet2">
    <tabColor indexed="10"/>
  </sheetPr>
  <dimension ref="A1:I156"/>
  <sheetViews>
    <sheetView zoomScale="75" workbookViewId="0">
      <pane ySplit="2" topLeftCell="A87" activePane="bottomLeft" state="frozen"/>
      <selection activeCell="L9" sqref="L9"/>
      <selection pane="bottomLeft" activeCell="L9" sqref="L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2157761.56</v>
      </c>
      <c r="D9" s="95">
        <f>'DOE25'!G9</f>
        <v>0</v>
      </c>
      <c r="E9" s="95">
        <f>'DOE25'!H9</f>
        <v>0</v>
      </c>
      <c r="F9" s="95">
        <f>'DOE25'!I9</f>
        <v>981414.28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698779.3</v>
      </c>
      <c r="D10" s="95">
        <f>'DOE25'!G10</f>
        <v>669945.82999999996</v>
      </c>
      <c r="E10" s="95">
        <f>'DOE25'!H10</f>
        <v>0</v>
      </c>
      <c r="F10" s="95">
        <f>'DOE25'!I10</f>
        <v>0</v>
      </c>
      <c r="G10" s="95">
        <f>'DOE25'!J10</f>
        <v>1594005.72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1024333.66</v>
      </c>
      <c r="D12" s="95">
        <f>'DOE25'!G12</f>
        <v>26285.64</v>
      </c>
      <c r="E12" s="95">
        <f>'DOE25'!H12</f>
        <v>163585.12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460483.92000000004</v>
      </c>
      <c r="D13" s="95">
        <f>'DOE25'!G13</f>
        <v>17880.169999999998</v>
      </c>
      <c r="E13" s="95">
        <f>'DOE25'!H13</f>
        <v>456903.36</v>
      </c>
      <c r="F13" s="95">
        <f>'DOE25'!I13</f>
        <v>335000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89370.31</v>
      </c>
      <c r="D16" s="95">
        <f>'DOE25'!G16</f>
        <v>10980.48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17376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4448104.75</v>
      </c>
      <c r="D19" s="41">
        <f>SUM(D9:D18)</f>
        <v>725092.12</v>
      </c>
      <c r="E19" s="41">
        <f>SUM(E9:E18)</f>
        <v>620488.48</v>
      </c>
      <c r="F19" s="41">
        <f>SUM(F9:F18)</f>
        <v>1316414.28</v>
      </c>
      <c r="G19" s="41">
        <f>SUM(G9:G18)</f>
        <v>1594005.72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160840.85</v>
      </c>
      <c r="D22" s="95">
        <f>'DOE25'!G23</f>
        <v>691755.96</v>
      </c>
      <c r="E22" s="95">
        <f>'DOE25'!H23</f>
        <v>294062.77</v>
      </c>
      <c r="F22" s="95">
        <f>'DOE25'!I23</f>
        <v>67544.84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136860.38</v>
      </c>
      <c r="D24" s="95">
        <f>'DOE25'!G25</f>
        <v>51.41</v>
      </c>
      <c r="E24" s="95">
        <f>'DOE25'!H25</f>
        <v>755</v>
      </c>
      <c r="F24" s="95">
        <f>'DOE25'!I25</f>
        <v>3060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1432313.19</v>
      </c>
      <c r="D28" s="95">
        <f>'DOE25'!G29</f>
        <v>6488.54</v>
      </c>
      <c r="E28" s="95">
        <f>'DOE25'!H29</f>
        <v>70080.31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97204.959999999992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1043306.74</v>
      </c>
      <c r="D30" s="95">
        <f>'DOE25'!G31</f>
        <v>15815.73</v>
      </c>
      <c r="E30" s="95">
        <f>'DOE25'!H31</f>
        <v>93283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2870526.12</v>
      </c>
      <c r="D32" s="41">
        <f>SUM(D22:D31)</f>
        <v>714111.64</v>
      </c>
      <c r="E32" s="41">
        <f>SUM(E22:E31)</f>
        <v>458181.08</v>
      </c>
      <c r="F32" s="41">
        <f>SUM(F22:F31)</f>
        <v>70604.84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89370.31</v>
      </c>
      <c r="D34" s="95">
        <f>'DOE25'!G35</f>
        <v>10980.48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573894.52</v>
      </c>
      <c r="D36" s="95">
        <f>'DOE25'!G37</f>
        <v>0</v>
      </c>
      <c r="E36" s="95">
        <f>'DOE25'!H37</f>
        <v>162307.4</v>
      </c>
      <c r="F36" s="95">
        <f>'DOE25'!I37</f>
        <v>1135138.3999999999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110671.04000000004</v>
      </c>
      <c r="G40" s="95">
        <f>'DOE25'!J41</f>
        <v>1594005.72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864313.8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1577578.6300000001</v>
      </c>
      <c r="D42" s="41">
        <f>SUM(D34:D41)</f>
        <v>10980.48</v>
      </c>
      <c r="E42" s="41">
        <f>SUM(E34:E41)</f>
        <v>162307.4</v>
      </c>
      <c r="F42" s="41">
        <f>SUM(F34:F41)</f>
        <v>1245809.44</v>
      </c>
      <c r="G42" s="41">
        <f>SUM(G34:G41)</f>
        <v>1594005.72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4448104.75</v>
      </c>
      <c r="D43" s="41">
        <f>D42+D32</f>
        <v>725092.12</v>
      </c>
      <c r="E43" s="41">
        <f>E42+E32</f>
        <v>620488.48</v>
      </c>
      <c r="F43" s="41">
        <f>F42+F32</f>
        <v>1316414.28</v>
      </c>
      <c r="G43" s="41">
        <f>G42+G32</f>
        <v>1594005.72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21070071.989999998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87299.199999999983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6172.68</v>
      </c>
      <c r="D51" s="95">
        <f>'DOE25'!G88</f>
        <v>372.83</v>
      </c>
      <c r="E51" s="95">
        <f>'DOE25'!H88</f>
        <v>0</v>
      </c>
      <c r="F51" s="95">
        <f>'DOE25'!I88</f>
        <v>630.16000000000008</v>
      </c>
      <c r="G51" s="95">
        <f>'DOE25'!J88</f>
        <v>27666.359999999997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442317.38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80647.179999999993</v>
      </c>
      <c r="D53" s="95">
        <f>SUM('DOE25'!G90:G102)</f>
        <v>42528.39</v>
      </c>
      <c r="E53" s="95">
        <f>SUM('DOE25'!H90:H102)</f>
        <v>103517.54000000001</v>
      </c>
      <c r="F53" s="95">
        <f>SUM('DOE25'!I90:I102)</f>
        <v>0</v>
      </c>
      <c r="G53" s="95">
        <f>SUM('DOE25'!J90:J102)</f>
        <v>17158.46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174119.05999999997</v>
      </c>
      <c r="D54" s="130">
        <f>SUM(D49:D53)</f>
        <v>485218.60000000003</v>
      </c>
      <c r="E54" s="130">
        <f>SUM(E49:E53)</f>
        <v>103517.54000000001</v>
      </c>
      <c r="F54" s="130">
        <f>SUM(F49:F53)</f>
        <v>630.16000000000008</v>
      </c>
      <c r="G54" s="130">
        <f>SUM(G49:G53)</f>
        <v>44824.819999999992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21244191.049999997</v>
      </c>
      <c r="D55" s="22">
        <f>D48+D54</f>
        <v>485218.60000000003</v>
      </c>
      <c r="E55" s="22">
        <f>E48+E54</f>
        <v>103517.54000000001</v>
      </c>
      <c r="F55" s="22">
        <f>F48+F54</f>
        <v>630.16000000000008</v>
      </c>
      <c r="G55" s="22">
        <f>G48+G54</f>
        <v>44824.819999999992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2732489.38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6970500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99106.62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9802095.9999999981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1484238.24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432052.41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39777.279999999999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5236.13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1956067.93</v>
      </c>
      <c r="D70" s="130">
        <f>SUM(D64:D69)</f>
        <v>5236.13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11758163.929999998</v>
      </c>
      <c r="D73" s="130">
        <f>SUM(D71:D72)+D70+D62</f>
        <v>5236.13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335000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198827.69</v>
      </c>
      <c r="D80" s="95">
        <f>SUM('DOE25'!G145:G153)</f>
        <v>174320.65</v>
      </c>
      <c r="E80" s="95">
        <f>SUM('DOE25'!H145:H153)</f>
        <v>1112367.54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198827.69</v>
      </c>
      <c r="D83" s="131">
        <f>SUM(D77:D82)</f>
        <v>174320.65</v>
      </c>
      <c r="E83" s="131">
        <f>SUM(E77:E82)</f>
        <v>1112367.54</v>
      </c>
      <c r="F83" s="131">
        <f>SUM(F77:F82)</f>
        <v>335000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2231283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127846.19</v>
      </c>
      <c r="E88" s="95">
        <f>'DOE25'!H171</f>
        <v>0</v>
      </c>
      <c r="F88" s="95">
        <f>'DOE25'!I171</f>
        <v>0</v>
      </c>
      <c r="G88" s="95">
        <f>'DOE25'!J171</f>
        <v>75000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127846.19</v>
      </c>
      <c r="E95" s="86">
        <f>SUM(E85:E94)</f>
        <v>0</v>
      </c>
      <c r="F95" s="86">
        <f>SUM(F85:F94)</f>
        <v>2231283</v>
      </c>
      <c r="G95" s="86">
        <f>SUM(G85:G94)</f>
        <v>75000</v>
      </c>
    </row>
    <row r="96" spans="1:7" ht="12.75" thickTop="1" thickBot="1" x14ac:dyDescent="0.25">
      <c r="A96" s="33" t="s">
        <v>796</v>
      </c>
      <c r="C96" s="86">
        <f>C55+C73+C83+C95</f>
        <v>33201182.669999998</v>
      </c>
      <c r="D96" s="86">
        <f>D55+D73+D83+D95</f>
        <v>792621.57000000007</v>
      </c>
      <c r="E96" s="86">
        <f>E55+E73+E83+E95</f>
        <v>1215885.08</v>
      </c>
      <c r="F96" s="86">
        <f>F55+F73+F83+F95</f>
        <v>2566913.16</v>
      </c>
      <c r="G96" s="86">
        <f>G55+G73+G95</f>
        <v>119824.81999999999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13448088.100000001</v>
      </c>
      <c r="D101" s="24" t="s">
        <v>312</v>
      </c>
      <c r="E101" s="95">
        <f>('DOE25'!L268)+('DOE25'!L287)+('DOE25'!L306)</f>
        <v>411389.39999999991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5568274.5600000005</v>
      </c>
      <c r="D102" s="24" t="s">
        <v>312</v>
      </c>
      <c r="E102" s="95">
        <f>('DOE25'!L269)+('DOE25'!L288)+('DOE25'!L307)</f>
        <v>375245.37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25307.84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446729.97000000003</v>
      </c>
      <c r="D104" s="24" t="s">
        <v>312</v>
      </c>
      <c r="E104" s="95">
        <f>+('DOE25'!L271)+('DOE25'!L290)+('DOE25'!L309)</f>
        <v>8056.96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8585.74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19496986.210000001</v>
      </c>
      <c r="D107" s="86">
        <f>SUM(D101:D106)</f>
        <v>0</v>
      </c>
      <c r="E107" s="86">
        <f>SUM(E101:E106)</f>
        <v>794691.72999999986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1338120.46</v>
      </c>
      <c r="D110" s="24" t="s">
        <v>312</v>
      </c>
      <c r="E110" s="95">
        <f>+('DOE25'!L273)+('DOE25'!L292)+('DOE25'!L311)</f>
        <v>174970.72000000003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623022.06999999995</v>
      </c>
      <c r="D111" s="24" t="s">
        <v>312</v>
      </c>
      <c r="E111" s="95">
        <f>+('DOE25'!L274)+('DOE25'!L293)+('DOE25'!L312)</f>
        <v>115410.31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1741988.38</v>
      </c>
      <c r="D112" s="24" t="s">
        <v>312</v>
      </c>
      <c r="E112" s="95">
        <f>+('DOE25'!L275)+('DOE25'!L294)+('DOE25'!L313)</f>
        <v>8260.5299999999988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1711572.1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2921366.4499999997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2488045.5</v>
      </c>
      <c r="D116" s="24" t="s">
        <v>312</v>
      </c>
      <c r="E116" s="95">
        <f>+('DOE25'!L279)+('DOE25'!L298)+('DOE25'!L317)</f>
        <v>707.17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48284.31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789291.46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10824114.959999999</v>
      </c>
      <c r="D120" s="86">
        <f>SUM(D110:D119)</f>
        <v>789291.46</v>
      </c>
      <c r="E120" s="86">
        <f>SUM(E110:E119)</f>
        <v>347633.04000000004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1425495.84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2525008.1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500151.9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127846.19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119824.82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-44824.820000000007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3228006.19</v>
      </c>
      <c r="D136" s="141">
        <f>SUM(D122:D135)</f>
        <v>0</v>
      </c>
      <c r="E136" s="141">
        <f>SUM(E122:E135)</f>
        <v>0</v>
      </c>
      <c r="F136" s="141">
        <f>SUM(F122:F135)</f>
        <v>1425495.84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33549107.360000003</v>
      </c>
      <c r="D137" s="86">
        <f>(D107+D120+D136)</f>
        <v>789291.46</v>
      </c>
      <c r="E137" s="86">
        <f>(E107+E120+E136)</f>
        <v>1142324.77</v>
      </c>
      <c r="F137" s="86">
        <f>(F107+F120+F136)</f>
        <v>1425495.84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10</v>
      </c>
      <c r="D143" s="153">
        <f>'DOE25'!H480</f>
        <v>10</v>
      </c>
      <c r="E143" s="153">
        <f>'DOE25'!I480</f>
        <v>20</v>
      </c>
      <c r="F143" s="153">
        <f>'DOE25'!J480</f>
        <v>15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7/96</v>
      </c>
      <c r="C144" s="152" t="str">
        <f>'DOE25'!G481</f>
        <v>8/02</v>
      </c>
      <c r="D144" s="152" t="str">
        <f>'DOE25'!H481</f>
        <v>8/04</v>
      </c>
      <c r="E144" s="152" t="str">
        <f>'DOE25'!I481</f>
        <v>08/06</v>
      </c>
      <c r="F144" s="152" t="str">
        <f>'DOE25'!J481</f>
        <v>11/10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8/11</v>
      </c>
      <c r="C145" s="152" t="str">
        <f>'DOE25'!G482</f>
        <v>8/12</v>
      </c>
      <c r="D145" s="152" t="str">
        <f>'DOE25'!H482</f>
        <v>8/14</v>
      </c>
      <c r="E145" s="152" t="str">
        <f>'DOE25'!I482</f>
        <v>08/26</v>
      </c>
      <c r="F145" s="152" t="str">
        <f>'DOE25'!J482</f>
        <v>7/25</v>
      </c>
      <c r="G145" s="24" t="s">
        <v>312</v>
      </c>
    </row>
    <row r="146" spans="1:7" x14ac:dyDescent="0.2">
      <c r="A146" s="136" t="s">
        <v>30</v>
      </c>
      <c r="B146" s="137">
        <f>'DOE25'!F483</f>
        <v>6838167</v>
      </c>
      <c r="C146" s="137">
        <f>'DOE25'!G483</f>
        <v>667500</v>
      </c>
      <c r="D146" s="137">
        <f>'DOE25'!H483</f>
        <v>3259044</v>
      </c>
      <c r="E146" s="137">
        <f>'DOE25'!I483</f>
        <v>24450150</v>
      </c>
      <c r="F146" s="137">
        <f>'DOE25'!J483</f>
        <v>2231283</v>
      </c>
      <c r="G146" s="24" t="s">
        <v>312</v>
      </c>
    </row>
    <row r="147" spans="1:7" x14ac:dyDescent="0.2">
      <c r="A147" s="136" t="s">
        <v>31</v>
      </c>
      <c r="B147" s="137">
        <f>'DOE25'!F484</f>
        <v>5.75</v>
      </c>
      <c r="C147" s="137">
        <f>'DOE25'!G484</f>
        <v>3.8</v>
      </c>
      <c r="D147" s="137">
        <f>'DOE25'!H484</f>
        <v>3.69</v>
      </c>
      <c r="E147" s="137">
        <f>'DOE25'!I484</f>
        <v>4.6100000000000003</v>
      </c>
      <c r="F147" s="137">
        <f>'DOE25'!J484</f>
        <v>4.375</v>
      </c>
      <c r="G147" s="24" t="s">
        <v>312</v>
      </c>
    </row>
    <row r="148" spans="1:7" x14ac:dyDescent="0.2">
      <c r="A148" s="22" t="s">
        <v>32</v>
      </c>
      <c r="B148" s="137">
        <f>'DOE25'!F485</f>
        <v>1275000</v>
      </c>
      <c r="C148" s="137">
        <f>'DOE25'!G485</f>
        <v>195000</v>
      </c>
      <c r="D148" s="137">
        <f>'DOE25'!H485</f>
        <v>1306748.4099999999</v>
      </c>
      <c r="E148" s="137">
        <f>'DOE25'!I485</f>
        <v>18682047.420000002</v>
      </c>
      <c r="F148" s="137">
        <f>'DOE25'!J485</f>
        <v>2231283</v>
      </c>
      <c r="G148" s="138">
        <f>SUM(B148:F148)</f>
        <v>23690078.830000002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2231283</v>
      </c>
      <c r="G149" s="138">
        <f t="shared" ref="G149:G156" si="0">SUM(B149:F149)</f>
        <v>2231283</v>
      </c>
    </row>
    <row r="150" spans="1:7" x14ac:dyDescent="0.2">
      <c r="A150" s="22" t="s">
        <v>34</v>
      </c>
      <c r="B150" s="137">
        <f>'DOE25'!F487</f>
        <v>620000</v>
      </c>
      <c r="C150" s="137">
        <f>'DOE25'!G487</f>
        <v>65000</v>
      </c>
      <c r="D150" s="137">
        <f>'DOE25'!H487</f>
        <v>287137.46000000002</v>
      </c>
      <c r="E150" s="137">
        <f>'DOE25'!I487</f>
        <v>1552870.64</v>
      </c>
      <c r="F150" s="137">
        <f>'DOE25'!J487</f>
        <v>0</v>
      </c>
      <c r="G150" s="138">
        <f t="shared" si="0"/>
        <v>2525008.0999999996</v>
      </c>
    </row>
    <row r="151" spans="1:7" x14ac:dyDescent="0.2">
      <c r="A151" s="22" t="s">
        <v>35</v>
      </c>
      <c r="B151" s="137">
        <f>'DOE25'!F488</f>
        <v>655000</v>
      </c>
      <c r="C151" s="137">
        <f>'DOE25'!G488</f>
        <v>130000</v>
      </c>
      <c r="D151" s="137">
        <f>'DOE25'!H488</f>
        <v>1019610.95</v>
      </c>
      <c r="E151" s="137">
        <f>'DOE25'!I488</f>
        <v>17129176.780000001</v>
      </c>
      <c r="F151" s="137">
        <f>'DOE25'!J488</f>
        <v>2231283</v>
      </c>
      <c r="G151" s="138">
        <f t="shared" si="0"/>
        <v>21165070.73</v>
      </c>
    </row>
    <row r="152" spans="1:7" x14ac:dyDescent="0.2">
      <c r="A152" s="22" t="s">
        <v>36</v>
      </c>
      <c r="B152" s="137">
        <f>'DOE25'!F489</f>
        <v>18831.25</v>
      </c>
      <c r="C152" s="137">
        <f>'DOE25'!G489</f>
        <v>5200</v>
      </c>
      <c r="D152" s="137">
        <f>'DOE25'!H489</f>
        <v>535889.05000000005</v>
      </c>
      <c r="E152" s="137">
        <f>'DOE25'!I489</f>
        <v>13133708.25</v>
      </c>
      <c r="F152" s="137">
        <f>'DOE25'!J489</f>
        <v>744076.85</v>
      </c>
      <c r="G152" s="138">
        <f t="shared" si="0"/>
        <v>14437705.4</v>
      </c>
    </row>
    <row r="153" spans="1:7" x14ac:dyDescent="0.2">
      <c r="A153" s="22" t="s">
        <v>37</v>
      </c>
      <c r="B153" s="137">
        <f>'DOE25'!F490</f>
        <v>673831.25</v>
      </c>
      <c r="C153" s="137">
        <f>'DOE25'!G490</f>
        <v>135200</v>
      </c>
      <c r="D153" s="137">
        <f>'DOE25'!H490</f>
        <v>1555500</v>
      </c>
      <c r="E153" s="137">
        <f>'DOE25'!I490</f>
        <v>30262885.030000001</v>
      </c>
      <c r="F153" s="137">
        <f>'DOE25'!J490</f>
        <v>2975359.85</v>
      </c>
      <c r="G153" s="138">
        <f t="shared" si="0"/>
        <v>35602776.130000003</v>
      </c>
    </row>
    <row r="154" spans="1:7" x14ac:dyDescent="0.2">
      <c r="A154" s="22" t="s">
        <v>38</v>
      </c>
      <c r="B154" s="137">
        <f>'DOE25'!F491</f>
        <v>655000</v>
      </c>
      <c r="C154" s="137">
        <f>'DOE25'!G491</f>
        <v>65000</v>
      </c>
      <c r="D154" s="137">
        <f>'DOE25'!H491</f>
        <v>272822.64</v>
      </c>
      <c r="E154" s="137">
        <f>'DOE25'!I491</f>
        <v>1482036.92</v>
      </c>
      <c r="F154" s="137">
        <f>'DOE25'!J491</f>
        <v>148752</v>
      </c>
      <c r="G154" s="138">
        <f t="shared" si="0"/>
        <v>2623611.56</v>
      </c>
    </row>
    <row r="155" spans="1:7" x14ac:dyDescent="0.2">
      <c r="A155" s="22" t="s">
        <v>39</v>
      </c>
      <c r="B155" s="137">
        <f>'DOE25'!F492</f>
        <v>18831.25</v>
      </c>
      <c r="C155" s="137">
        <f>'DOE25'!G492</f>
        <v>3900</v>
      </c>
      <c r="D155" s="137">
        <f>'DOE25'!H492</f>
        <v>114552.36</v>
      </c>
      <c r="E155" s="137">
        <f>'DOE25'!I492</f>
        <v>407585.58</v>
      </c>
      <c r="F155" s="137">
        <f>'DOE25'!J492</f>
        <v>60175.87</v>
      </c>
      <c r="G155" s="138">
        <f t="shared" si="0"/>
        <v>605045.05999999994</v>
      </c>
    </row>
    <row r="156" spans="1:7" x14ac:dyDescent="0.2">
      <c r="A156" s="22" t="s">
        <v>269</v>
      </c>
      <c r="B156" s="137">
        <f>'DOE25'!F493</f>
        <v>673831.25</v>
      </c>
      <c r="C156" s="137">
        <f>'DOE25'!G493</f>
        <v>68900</v>
      </c>
      <c r="D156" s="137">
        <f>'DOE25'!H493</f>
        <v>387375</v>
      </c>
      <c r="E156" s="137">
        <f>'DOE25'!I493</f>
        <v>1889622.5</v>
      </c>
      <c r="F156" s="137">
        <f>'DOE25'!J493</f>
        <v>208927.87</v>
      </c>
      <c r="G156" s="138">
        <f t="shared" si="0"/>
        <v>3228656.62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BEE1-F42E-4659-B0F5-6C6E31E3ED70}">
  <sheetPr codeName="Sheet3">
    <tabColor indexed="43"/>
  </sheetPr>
  <dimension ref="A1:D42"/>
  <sheetViews>
    <sheetView topLeftCell="A22" workbookViewId="0">
      <selection activeCell="L9" sqref="L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771</v>
      </c>
      <c r="B1" s="285"/>
      <c r="C1" s="285"/>
      <c r="D1" s="285"/>
    </row>
    <row r="2" spans="1:4" x14ac:dyDescent="0.2">
      <c r="A2" s="187" t="s">
        <v>748</v>
      </c>
      <c r="B2" s="186" t="str">
        <f>'DOE25'!A2</f>
        <v>Kearsarge Regional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14529</v>
      </c>
    </row>
    <row r="5" spans="1:4" x14ac:dyDescent="0.2">
      <c r="B5" t="s">
        <v>735</v>
      </c>
      <c r="C5" s="179">
        <f>IF('DOE25'!G655+'DOE25'!G660=0,0,ROUND('DOE25'!G662,0))</f>
        <v>16178</v>
      </c>
    </row>
    <row r="6" spans="1:4" x14ac:dyDescent="0.2">
      <c r="B6" t="s">
        <v>62</v>
      </c>
      <c r="C6" s="179">
        <f>IF('DOE25'!H655+'DOE25'!H660=0,0,ROUND('DOE25'!H662,0))</f>
        <v>14055</v>
      </c>
    </row>
    <row r="7" spans="1:4" x14ac:dyDescent="0.2">
      <c r="B7" t="s">
        <v>736</v>
      </c>
      <c r="C7" s="179">
        <f>IF('DOE25'!I655+'DOE25'!I660=0,0,ROUND('DOE25'!I662,0))</f>
        <v>14778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13859478</v>
      </c>
      <c r="D10" s="182">
        <f>ROUND((C10/$C$28)*100,1)</f>
        <v>43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5943520</v>
      </c>
      <c r="D11" s="182">
        <f>ROUND((C11/$C$28)*100,1)</f>
        <v>18.399999999999999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25308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454787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1513091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738432</v>
      </c>
      <c r="D16" s="182">
        <f t="shared" si="0"/>
        <v>2.2999999999999998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1798533</v>
      </c>
      <c r="D17" s="182">
        <f t="shared" si="0"/>
        <v>5.6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1711572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2921366</v>
      </c>
      <c r="D20" s="182">
        <f t="shared" si="0"/>
        <v>9.1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2488753</v>
      </c>
      <c r="D21" s="182">
        <f t="shared" si="0"/>
        <v>7.7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8586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500152</v>
      </c>
      <c r="D25" s="182">
        <f t="shared" si="0"/>
        <v>1.5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304445.23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32268023.23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1425496</v>
      </c>
    </row>
    <row r="30" spans="1:4" x14ac:dyDescent="0.2">
      <c r="B30" s="187" t="s">
        <v>760</v>
      </c>
      <c r="C30" s="180">
        <f>SUM(C28:C29)</f>
        <v>33693519.230000004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2525008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21070072</v>
      </c>
      <c r="D35" s="182">
        <f t="shared" ref="D35:D40" si="1">ROUND((C35/$C$41)*100,1)</f>
        <v>60.2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323464.39999999851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9802096</v>
      </c>
      <c r="D37" s="182">
        <f t="shared" si="1"/>
        <v>28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1961304</v>
      </c>
      <c r="D38" s="182">
        <f t="shared" si="1"/>
        <v>5.6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1820516</v>
      </c>
      <c r="D39" s="182">
        <f t="shared" si="1"/>
        <v>5.2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34977452.399999999</v>
      </c>
      <c r="D41" s="184">
        <f>SUM(D35:D40)</f>
        <v>99.899999999999991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2231283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D021-E0CB-4547-8751-BD1432ABDAC9}">
  <sheetPr>
    <tabColor indexed="17"/>
  </sheetPr>
  <dimension ref="A1:IV90"/>
  <sheetViews>
    <sheetView workbookViewId="0">
      <pane ySplit="3" topLeftCell="A4" activePane="bottomLeft" state="frozen"/>
      <selection activeCell="L9" sqref="L9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801</v>
      </c>
      <c r="B1" s="295"/>
      <c r="C1" s="295"/>
      <c r="D1" s="295"/>
      <c r="E1" s="295"/>
      <c r="F1" s="295"/>
      <c r="G1" s="295"/>
      <c r="H1" s="295"/>
      <c r="I1" s="295"/>
      <c r="J1" s="214"/>
      <c r="K1" s="214"/>
      <c r="L1" s="214"/>
      <c r="M1" s="215"/>
    </row>
    <row r="2" spans="1:26" ht="12.75" x14ac:dyDescent="0.2">
      <c r="A2" s="292" t="s">
        <v>798</v>
      </c>
      <c r="B2" s="293"/>
      <c r="C2" s="293"/>
      <c r="D2" s="293"/>
      <c r="E2" s="293"/>
      <c r="F2" s="298" t="str">
        <f>'DOE25'!A2</f>
        <v>Kearsarge Regional SD</v>
      </c>
      <c r="G2" s="299"/>
      <c r="H2" s="299"/>
      <c r="I2" s="299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6" t="s">
        <v>802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9"/>
      <c r="B4" s="220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2"/>
      <c r="O29" s="212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8"/>
      <c r="AB29" s="20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8"/>
      <c r="AO29" s="20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8"/>
      <c r="BB29" s="208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8"/>
      <c r="BO29" s="208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8"/>
      <c r="CB29" s="208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8"/>
      <c r="CO29" s="208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8"/>
      <c r="DB29" s="208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8"/>
      <c r="DO29" s="208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8"/>
      <c r="EB29" s="208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8"/>
      <c r="EO29" s="208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8"/>
      <c r="FB29" s="208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8"/>
      <c r="FO29" s="208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8"/>
      <c r="GB29" s="208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8"/>
      <c r="GO29" s="208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8"/>
      <c r="HB29" s="208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8"/>
      <c r="HO29" s="208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8"/>
      <c r="IB29" s="208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8"/>
      <c r="IO29" s="208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9"/>
      <c r="B30" s="220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2"/>
      <c r="O30" s="212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8"/>
      <c r="AB30" s="20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8"/>
      <c r="AO30" s="20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8"/>
      <c r="BB30" s="208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8"/>
      <c r="BO30" s="208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8"/>
      <c r="CB30" s="208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8"/>
      <c r="CO30" s="208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8"/>
      <c r="DB30" s="208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8"/>
      <c r="DO30" s="208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8"/>
      <c r="EB30" s="208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8"/>
      <c r="EO30" s="208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8"/>
      <c r="FB30" s="208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8"/>
      <c r="FO30" s="208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8"/>
      <c r="GB30" s="208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8"/>
      <c r="GO30" s="208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8"/>
      <c r="HB30" s="208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8"/>
      <c r="HO30" s="208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8"/>
      <c r="IB30" s="208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8"/>
      <c r="IO30" s="208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9"/>
      <c r="B31" s="220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2"/>
      <c r="O31" s="212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8"/>
      <c r="AB31" s="20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8"/>
      <c r="AO31" s="20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8"/>
      <c r="BB31" s="208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8"/>
      <c r="BO31" s="208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8"/>
      <c r="CB31" s="208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8"/>
      <c r="CO31" s="208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8"/>
      <c r="DB31" s="208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8"/>
      <c r="DO31" s="208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8"/>
      <c r="EB31" s="208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8"/>
      <c r="EO31" s="208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8"/>
      <c r="FB31" s="208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8"/>
      <c r="FO31" s="208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8"/>
      <c r="GB31" s="208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8"/>
      <c r="GO31" s="208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8"/>
      <c r="HB31" s="208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8"/>
      <c r="HO31" s="208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8"/>
      <c r="IB31" s="208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8"/>
      <c r="IO31" s="208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9"/>
      <c r="B32" s="220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9"/>
      <c r="AO32" s="220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9"/>
      <c r="BB32" s="220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9"/>
      <c r="BO32" s="220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9"/>
      <c r="CB32" s="220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9"/>
      <c r="CO32" s="220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9"/>
      <c r="DB32" s="220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9"/>
      <c r="DO32" s="220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9"/>
      <c r="EB32" s="220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9"/>
      <c r="EO32" s="220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9"/>
      <c r="FB32" s="220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9"/>
      <c r="FO32" s="220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9"/>
      <c r="GB32" s="220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9"/>
      <c r="GO32" s="220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9"/>
      <c r="HB32" s="220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9"/>
      <c r="HO32" s="220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9"/>
      <c r="IB32" s="220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9"/>
      <c r="IO32" s="220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9"/>
      <c r="B33" s="220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2"/>
      <c r="O38" s="212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8"/>
      <c r="AB38" s="20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8"/>
      <c r="AO38" s="20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8"/>
      <c r="BB38" s="208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8"/>
      <c r="BO38" s="208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8"/>
      <c r="CB38" s="208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8"/>
      <c r="CO38" s="208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8"/>
      <c r="DB38" s="208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8"/>
      <c r="DO38" s="208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8"/>
      <c r="EB38" s="208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8"/>
      <c r="EO38" s="208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8"/>
      <c r="FB38" s="208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8"/>
      <c r="FO38" s="208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8"/>
      <c r="GB38" s="208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8"/>
      <c r="GO38" s="208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8"/>
      <c r="HB38" s="208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8"/>
      <c r="HO38" s="208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8"/>
      <c r="IB38" s="208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8"/>
      <c r="IO38" s="208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9"/>
      <c r="B39" s="220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2"/>
      <c r="O39" s="212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8"/>
      <c r="AB39" s="20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8"/>
      <c r="AO39" s="20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8"/>
      <c r="BB39" s="208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8"/>
      <c r="BO39" s="208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8"/>
      <c r="CB39" s="208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8"/>
      <c r="CO39" s="208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8"/>
      <c r="DB39" s="208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8"/>
      <c r="DO39" s="208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8"/>
      <c r="EB39" s="208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8"/>
      <c r="EO39" s="208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8"/>
      <c r="FB39" s="208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8"/>
      <c r="FO39" s="208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8"/>
      <c r="GB39" s="208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8"/>
      <c r="GO39" s="208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8"/>
      <c r="HB39" s="208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8"/>
      <c r="HO39" s="208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8"/>
      <c r="IB39" s="208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8"/>
      <c r="IO39" s="208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9"/>
      <c r="B40" s="220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2"/>
      <c r="O40" s="212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8"/>
      <c r="AB40" s="20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8"/>
      <c r="AO40" s="20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8"/>
      <c r="BB40" s="208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8"/>
      <c r="BO40" s="208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8"/>
      <c r="CB40" s="208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8"/>
      <c r="CO40" s="208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8"/>
      <c r="DB40" s="208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8"/>
      <c r="DO40" s="208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8"/>
      <c r="EB40" s="208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8"/>
      <c r="EO40" s="208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8"/>
      <c r="FB40" s="208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8"/>
      <c r="FO40" s="208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8"/>
      <c r="GB40" s="208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8"/>
      <c r="GO40" s="208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8"/>
      <c r="HB40" s="208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8"/>
      <c r="HO40" s="208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8"/>
      <c r="IB40" s="208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8"/>
      <c r="IO40" s="208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9"/>
      <c r="B41" s="220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9"/>
      <c r="B60" s="220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9"/>
      <c r="B61" s="220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9"/>
      <c r="B62" s="220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9"/>
      <c r="B63" s="220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9"/>
      <c r="B64" s="220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9"/>
      <c r="B65" s="220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9"/>
      <c r="B66" s="220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9"/>
      <c r="B67" s="220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9"/>
      <c r="B68" s="220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9"/>
      <c r="B69" s="220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1"/>
      <c r="B70" s="222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302" t="s">
        <v>879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</row>
    <row r="74" spans="1:13" x14ac:dyDescent="0.2">
      <c r="A74" s="212"/>
      <c r="B74" s="212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</row>
    <row r="75" spans="1:13" x14ac:dyDescent="0.2">
      <c r="A75" s="212"/>
      <c r="B75" s="212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</row>
    <row r="76" spans="1:13" x14ac:dyDescent="0.2">
      <c r="A76" s="212"/>
      <c r="B76" s="212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</row>
    <row r="77" spans="1:13" x14ac:dyDescent="0.2">
      <c r="A77" s="212"/>
      <c r="B77" s="212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</row>
    <row r="78" spans="1:13" x14ac:dyDescent="0.2">
      <c r="A78" s="212"/>
      <c r="B78" s="212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</row>
    <row r="79" spans="1:13" x14ac:dyDescent="0.2">
      <c r="A79" s="212"/>
      <c r="B79" s="212"/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</row>
    <row r="80" spans="1:13" x14ac:dyDescent="0.2">
      <c r="A80" s="212"/>
      <c r="B80" s="212"/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</row>
    <row r="81" spans="1:13" x14ac:dyDescent="0.2">
      <c r="A81" s="212"/>
      <c r="B81" s="212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</row>
    <row r="82" spans="1:13" x14ac:dyDescent="0.2">
      <c r="A82" s="212"/>
      <c r="B82" s="212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</row>
    <row r="83" spans="1:13" x14ac:dyDescent="0.2">
      <c r="A83" s="212"/>
      <c r="B83" s="212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</row>
    <row r="84" spans="1:13" x14ac:dyDescent="0.2">
      <c r="A84" s="212"/>
      <c r="B84" s="212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</row>
    <row r="85" spans="1:13" x14ac:dyDescent="0.2">
      <c r="A85" s="212"/>
      <c r="B85" s="212"/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</row>
    <row r="86" spans="1:13" x14ac:dyDescent="0.2">
      <c r="A86" s="212"/>
      <c r="B86" s="212"/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</row>
    <row r="87" spans="1:13" x14ac:dyDescent="0.2">
      <c r="A87" s="212"/>
      <c r="B87" s="212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</row>
    <row r="88" spans="1:13" x14ac:dyDescent="0.2">
      <c r="A88" s="212"/>
      <c r="B88" s="212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</row>
    <row r="89" spans="1:13" x14ac:dyDescent="0.2">
      <c r="A89" s="212"/>
      <c r="B89" s="212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</row>
    <row r="90" spans="1:13" x14ac:dyDescent="0.2">
      <c r="A90" s="212"/>
      <c r="B90" s="212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</row>
  </sheetData>
  <sheetProtection password="B30A" sheet="1" objects="1" scenarios="1"/>
  <mergeCells count="223"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3:M73"/>
    <mergeCell ref="C74:M74"/>
    <mergeCell ref="C66:M66"/>
    <mergeCell ref="C67:M67"/>
    <mergeCell ref="C68:M68"/>
    <mergeCell ref="C69:M69"/>
    <mergeCell ref="C20:M20"/>
    <mergeCell ref="C29:M29"/>
    <mergeCell ref="C25:M25"/>
    <mergeCell ref="C26:M26"/>
    <mergeCell ref="C70:M70"/>
    <mergeCell ref="A72:E72"/>
    <mergeCell ref="C27:M27"/>
    <mergeCell ref="C28:M28"/>
    <mergeCell ref="C21:M21"/>
    <mergeCell ref="C22:M2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42:M42"/>
    <mergeCell ref="P30:Z30"/>
    <mergeCell ref="AC30:AM30"/>
    <mergeCell ref="AP30:AZ30"/>
    <mergeCell ref="C41:M41"/>
    <mergeCell ref="C33:M33"/>
    <mergeCell ref="AC38:AM38"/>
    <mergeCell ref="AP38:AZ38"/>
    <mergeCell ref="HC29:HM29"/>
    <mergeCell ref="HP29:HZ29"/>
    <mergeCell ref="IC29:IM29"/>
    <mergeCell ref="IP29:IV29"/>
    <mergeCell ref="FC29:FM29"/>
    <mergeCell ref="FP29:FZ29"/>
    <mergeCell ref="BC30:BM30"/>
    <mergeCell ref="BP30:BZ30"/>
    <mergeCell ref="C37:M37"/>
    <mergeCell ref="C38:M38"/>
    <mergeCell ref="C39:M39"/>
    <mergeCell ref="C40:M40"/>
    <mergeCell ref="BP32:BZ32"/>
    <mergeCell ref="BC38:BM38"/>
    <mergeCell ref="P32:Z32"/>
    <mergeCell ref="AC32:AM32"/>
    <mergeCell ref="AP32:AZ32"/>
    <mergeCell ref="P38:Z38"/>
    <mergeCell ref="FC30:FM30"/>
    <mergeCell ref="CC30:CM30"/>
    <mergeCell ref="CP30:CZ30"/>
    <mergeCell ref="DC30:DM30"/>
    <mergeCell ref="DP30:DZ30"/>
    <mergeCell ref="EC30:EM30"/>
    <mergeCell ref="EP30:E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IC31:I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EC31:EM31"/>
    <mergeCell ref="EP31:EZ31"/>
    <mergeCell ref="FC31:FM31"/>
    <mergeCell ref="FC32:FM32"/>
    <mergeCell ref="GP32:GZ32"/>
    <mergeCell ref="HC32:HM32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DP31:DZ31"/>
    <mergeCell ref="CP38:CZ38"/>
    <mergeCell ref="DC38:DM38"/>
    <mergeCell ref="DP38:DZ38"/>
    <mergeCell ref="GC38:GM38"/>
    <mergeCell ref="EP32:EZ32"/>
    <mergeCell ref="FP32:FZ32"/>
    <mergeCell ref="GC32:GM32"/>
    <mergeCell ref="HP39:HZ39"/>
    <mergeCell ref="GC39:GM39"/>
    <mergeCell ref="GP39:GZ39"/>
    <mergeCell ref="GP38:GZ38"/>
    <mergeCell ref="BP38:BZ38"/>
    <mergeCell ref="CC38:CM38"/>
    <mergeCell ref="EC38:EM38"/>
    <mergeCell ref="EP38:EZ38"/>
    <mergeCell ref="FC38:FM38"/>
    <mergeCell ref="FP38:FZ38"/>
    <mergeCell ref="HC38:HM38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P39:Z39"/>
    <mergeCell ref="AC39:AM39"/>
    <mergeCell ref="AP39:AZ39"/>
    <mergeCell ref="CC39:CM39"/>
    <mergeCell ref="CP39:CZ39"/>
    <mergeCell ref="BP39:BZ39"/>
    <mergeCell ref="DP40:DZ40"/>
    <mergeCell ref="BC40:BM40"/>
    <mergeCell ref="BP40:BZ40"/>
    <mergeCell ref="DC39:DM39"/>
    <mergeCell ref="DP39:DZ39"/>
    <mergeCell ref="EC39:EM39"/>
    <mergeCell ref="P40:Z40"/>
    <mergeCell ref="AC40:AM40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2011-09-27T16:49:34Z</cp:lastPrinted>
  <dcterms:created xsi:type="dcterms:W3CDTF">1997-12-04T19:04:30Z</dcterms:created>
  <dcterms:modified xsi:type="dcterms:W3CDTF">2025-01-10T20:08:10Z</dcterms:modified>
</cp:coreProperties>
</file>