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3DD44F9-FF55-4D72-B3AE-7BA6224BDE49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B1BFFD8-4E5A-424B-9902-DCCC2566E0F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2" i="1" l="1"/>
  <c r="J491" i="1"/>
  <c r="I492" i="1"/>
  <c r="I491" i="1"/>
  <c r="J458" i="1"/>
  <c r="K315" i="1"/>
  <c r="K277" i="1"/>
  <c r="L277" i="1" s="1"/>
  <c r="E114" i="2" s="1"/>
  <c r="I274" i="1"/>
  <c r="H462" i="1"/>
  <c r="G603" i="1"/>
  <c r="L603" i="1" s="1"/>
  <c r="H653" i="1" s="1"/>
  <c r="G602" i="1"/>
  <c r="H601" i="1"/>
  <c r="L601" i="1" s="1"/>
  <c r="G601" i="1"/>
  <c r="J594" i="1"/>
  <c r="I594" i="1"/>
  <c r="H594" i="1"/>
  <c r="J585" i="1"/>
  <c r="J582" i="1"/>
  <c r="I585" i="1"/>
  <c r="I582" i="1"/>
  <c r="H585" i="1"/>
  <c r="H582" i="1"/>
  <c r="K582" i="1" s="1"/>
  <c r="K588" i="1" s="1"/>
  <c r="G637" i="1" s="1"/>
  <c r="G552" i="1"/>
  <c r="I518" i="1"/>
  <c r="I519" i="1" s="1"/>
  <c r="I517" i="1"/>
  <c r="I516" i="1"/>
  <c r="H533" i="1"/>
  <c r="H518" i="1"/>
  <c r="H532" i="1"/>
  <c r="H517" i="1"/>
  <c r="H531" i="1"/>
  <c r="H516" i="1"/>
  <c r="H511" i="1"/>
  <c r="G518" i="1"/>
  <c r="L518" i="1" s="1"/>
  <c r="G541" i="1" s="1"/>
  <c r="K541" i="1" s="1"/>
  <c r="G517" i="1"/>
  <c r="G516" i="1"/>
  <c r="G519" i="1" s="1"/>
  <c r="F518" i="1"/>
  <c r="F517" i="1"/>
  <c r="F516" i="1"/>
  <c r="H102" i="1"/>
  <c r="H103" i="1" s="1"/>
  <c r="H458" i="1"/>
  <c r="H460" i="1" s="1"/>
  <c r="H466" i="1" s="1"/>
  <c r="H614" i="1" s="1"/>
  <c r="J614" i="1" s="1"/>
  <c r="H359" i="1"/>
  <c r="G359" i="1"/>
  <c r="F360" i="1"/>
  <c r="H312" i="1"/>
  <c r="G312" i="1"/>
  <c r="L312" i="1" s="1"/>
  <c r="E111" i="2" s="1"/>
  <c r="F312" i="1"/>
  <c r="H306" i="1"/>
  <c r="L306" i="1" s="1"/>
  <c r="J275" i="1"/>
  <c r="H275" i="1"/>
  <c r="J274" i="1"/>
  <c r="H274" i="1"/>
  <c r="G274" i="1"/>
  <c r="F274" i="1"/>
  <c r="J268" i="1"/>
  <c r="I268" i="1"/>
  <c r="H268" i="1"/>
  <c r="K312" i="1"/>
  <c r="K320" i="1" s="1"/>
  <c r="I311" i="1"/>
  <c r="G311" i="1"/>
  <c r="G320" i="1" s="1"/>
  <c r="F311" i="1"/>
  <c r="I269" i="1"/>
  <c r="H273" i="1"/>
  <c r="H324" i="1"/>
  <c r="G273" i="1"/>
  <c r="F273" i="1"/>
  <c r="K232" i="1"/>
  <c r="G8" i="13" s="1"/>
  <c r="K231" i="1"/>
  <c r="K230" i="1"/>
  <c r="J235" i="1"/>
  <c r="L235" i="1" s="1"/>
  <c r="J230" i="1"/>
  <c r="F6" i="13" s="1"/>
  <c r="F33" i="13" s="1"/>
  <c r="I237" i="1"/>
  <c r="L237" i="1" s="1"/>
  <c r="I235" i="1"/>
  <c r="I233" i="1"/>
  <c r="I231" i="1"/>
  <c r="I230" i="1"/>
  <c r="I228" i="1"/>
  <c r="H237" i="1"/>
  <c r="H235" i="1"/>
  <c r="H236" i="1"/>
  <c r="H232" i="1"/>
  <c r="H231" i="1"/>
  <c r="H230" i="1"/>
  <c r="H228" i="1"/>
  <c r="H239" i="1" s="1"/>
  <c r="G237" i="1"/>
  <c r="G235" i="1"/>
  <c r="G232" i="1"/>
  <c r="G231" i="1"/>
  <c r="G230" i="1"/>
  <c r="G228" i="1"/>
  <c r="C36" i="12" s="1"/>
  <c r="F237" i="1"/>
  <c r="F235" i="1"/>
  <c r="F232" i="1"/>
  <c r="F231" i="1"/>
  <c r="L231" i="1" s="1"/>
  <c r="F230" i="1"/>
  <c r="F228" i="1"/>
  <c r="L228" i="1" s="1"/>
  <c r="K255" i="1"/>
  <c r="K214" i="1"/>
  <c r="K213" i="1"/>
  <c r="K212" i="1"/>
  <c r="G6" i="13" s="1"/>
  <c r="I219" i="1"/>
  <c r="I213" i="1"/>
  <c r="I212" i="1"/>
  <c r="I210" i="1"/>
  <c r="H219" i="1"/>
  <c r="H218" i="1"/>
  <c r="L218" i="1" s="1"/>
  <c r="H215" i="1"/>
  <c r="H214" i="1"/>
  <c r="H221" i="1" s="1"/>
  <c r="H213" i="1"/>
  <c r="H212" i="1"/>
  <c r="H210" i="1"/>
  <c r="G219" i="1"/>
  <c r="G214" i="1"/>
  <c r="G213" i="1"/>
  <c r="G212" i="1"/>
  <c r="G210" i="1"/>
  <c r="F219" i="1"/>
  <c r="F214" i="1"/>
  <c r="L214" i="1" s="1"/>
  <c r="F213" i="1"/>
  <c r="F212" i="1"/>
  <c r="F221" i="1" s="1"/>
  <c r="F210" i="1"/>
  <c r="K196" i="1"/>
  <c r="J190" i="1"/>
  <c r="I201" i="1"/>
  <c r="L201" i="1" s="1"/>
  <c r="I196" i="1"/>
  <c r="I195" i="1"/>
  <c r="I194" i="1"/>
  <c r="I190" i="1"/>
  <c r="H201" i="1"/>
  <c r="H200" i="1"/>
  <c r="L200" i="1" s="1"/>
  <c r="H199" i="1"/>
  <c r="L199" i="1" s="1"/>
  <c r="H196" i="1"/>
  <c r="H203" i="1" s="1"/>
  <c r="H249" i="1" s="1"/>
  <c r="H263" i="1" s="1"/>
  <c r="H195" i="1"/>
  <c r="H194" i="1"/>
  <c r="G201" i="1"/>
  <c r="G196" i="1"/>
  <c r="L196" i="1" s="1"/>
  <c r="G195" i="1"/>
  <c r="G194" i="1"/>
  <c r="G190" i="1"/>
  <c r="F201" i="1"/>
  <c r="F196" i="1"/>
  <c r="F195" i="1"/>
  <c r="L195" i="1" s="1"/>
  <c r="F194" i="1"/>
  <c r="F190" i="1"/>
  <c r="F203" i="1" s="1"/>
  <c r="H55" i="1"/>
  <c r="G89" i="1"/>
  <c r="F102" i="1"/>
  <c r="H41" i="1"/>
  <c r="E40" i="2" s="1"/>
  <c r="H37" i="1"/>
  <c r="H31" i="1"/>
  <c r="H29" i="1"/>
  <c r="H25" i="1"/>
  <c r="H24" i="1"/>
  <c r="H23" i="1"/>
  <c r="E22" i="2" s="1"/>
  <c r="E32" i="2" s="1"/>
  <c r="H17" i="1"/>
  <c r="H14" i="1"/>
  <c r="H19" i="1" s="1"/>
  <c r="G609" i="1" s="1"/>
  <c r="H13" i="1"/>
  <c r="H9" i="1"/>
  <c r="G9" i="1"/>
  <c r="F9" i="1"/>
  <c r="C9" i="2" s="1"/>
  <c r="C19" i="2" s="1"/>
  <c r="I459" i="1"/>
  <c r="H459" i="1"/>
  <c r="H464" i="1"/>
  <c r="C37" i="10"/>
  <c r="C60" i="2"/>
  <c r="C62" i="2" s="1"/>
  <c r="B2" i="13"/>
  <c r="F8" i="13"/>
  <c r="D39" i="13"/>
  <c r="F13" i="13"/>
  <c r="G13" i="13"/>
  <c r="L198" i="1"/>
  <c r="L216" i="1"/>
  <c r="C19" i="10" s="1"/>
  <c r="L234" i="1"/>
  <c r="F16" i="13"/>
  <c r="G16" i="13"/>
  <c r="L219" i="1"/>
  <c r="F5" i="13"/>
  <c r="G5" i="13"/>
  <c r="L189" i="1"/>
  <c r="L191" i="1"/>
  <c r="C12" i="10" s="1"/>
  <c r="L192" i="1"/>
  <c r="L207" i="1"/>
  <c r="L208" i="1"/>
  <c r="L209" i="1"/>
  <c r="L210" i="1"/>
  <c r="L225" i="1"/>
  <c r="L226" i="1"/>
  <c r="L227" i="1"/>
  <c r="L194" i="1"/>
  <c r="L230" i="1"/>
  <c r="F7" i="13"/>
  <c r="G7" i="13"/>
  <c r="L213" i="1"/>
  <c r="F12" i="13"/>
  <c r="G12" i="13"/>
  <c r="L197" i="1"/>
  <c r="L215" i="1"/>
  <c r="C113" i="2" s="1"/>
  <c r="L233" i="1"/>
  <c r="F14" i="13"/>
  <c r="G14" i="13"/>
  <c r="L217" i="1"/>
  <c r="F15" i="13"/>
  <c r="G15" i="13"/>
  <c r="L236" i="1"/>
  <c r="G641" i="1"/>
  <c r="F17" i="13"/>
  <c r="G17" i="13"/>
  <c r="D17" i="13" s="1"/>
  <c r="C17" i="13" s="1"/>
  <c r="L243" i="1"/>
  <c r="F18" i="13"/>
  <c r="G18" i="13"/>
  <c r="L244" i="1"/>
  <c r="D18" i="13" s="1"/>
  <c r="C18" i="13" s="1"/>
  <c r="F19" i="13"/>
  <c r="G19" i="13"/>
  <c r="L245" i="1"/>
  <c r="D19" i="13"/>
  <c r="C19" i="13" s="1"/>
  <c r="F29" i="13"/>
  <c r="D29" i="13" s="1"/>
  <c r="C29" i="13" s="1"/>
  <c r="G29" i="13"/>
  <c r="L350" i="1"/>
  <c r="L351" i="1"/>
  <c r="L352" i="1"/>
  <c r="I359" i="1"/>
  <c r="J282" i="1"/>
  <c r="J301" i="1"/>
  <c r="J320" i="1"/>
  <c r="K301" i="1"/>
  <c r="L268" i="1"/>
  <c r="L269" i="1"/>
  <c r="L270" i="1"/>
  <c r="L271" i="1"/>
  <c r="L273" i="1"/>
  <c r="L274" i="1"/>
  <c r="L275" i="1"/>
  <c r="L276" i="1"/>
  <c r="E113" i="2" s="1"/>
  <c r="L278" i="1"/>
  <c r="L279" i="1"/>
  <c r="E116" i="2" s="1"/>
  <c r="L280" i="1"/>
  <c r="L287" i="1"/>
  <c r="L288" i="1"/>
  <c r="L289" i="1"/>
  <c r="L290" i="1"/>
  <c r="L292" i="1"/>
  <c r="L293" i="1"/>
  <c r="L294" i="1"/>
  <c r="L295" i="1"/>
  <c r="L296" i="1"/>
  <c r="L297" i="1"/>
  <c r="E115" i="2" s="1"/>
  <c r="L298" i="1"/>
  <c r="L299" i="1"/>
  <c r="E117" i="2" s="1"/>
  <c r="L307" i="1"/>
  <c r="L308" i="1"/>
  <c r="L309" i="1"/>
  <c r="L313" i="1"/>
  <c r="L314" i="1"/>
  <c r="L315" i="1"/>
  <c r="L316" i="1"/>
  <c r="L317" i="1"/>
  <c r="L318" i="1"/>
  <c r="L325" i="1"/>
  <c r="L326" i="1"/>
  <c r="L327" i="1"/>
  <c r="L252" i="1"/>
  <c r="L253" i="1"/>
  <c r="C25" i="10" s="1"/>
  <c r="L333" i="1"/>
  <c r="L334" i="1"/>
  <c r="E124" i="2" s="1"/>
  <c r="L247" i="1"/>
  <c r="F22" i="13"/>
  <c r="C22" i="13" s="1"/>
  <c r="L328" i="1"/>
  <c r="C11" i="13"/>
  <c r="C10" i="13"/>
  <c r="C9" i="13"/>
  <c r="L353" i="1"/>
  <c r="B4" i="12"/>
  <c r="B40" i="12"/>
  <c r="C40" i="12"/>
  <c r="B27" i="12"/>
  <c r="A31" i="12" s="1"/>
  <c r="C27" i="12"/>
  <c r="B31" i="12"/>
  <c r="C31" i="12"/>
  <c r="B9" i="12"/>
  <c r="B13" i="12"/>
  <c r="C9" i="12"/>
  <c r="C13" i="12"/>
  <c r="B22" i="12"/>
  <c r="C18" i="12"/>
  <c r="C22" i="12"/>
  <c r="B1" i="12"/>
  <c r="L379" i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5" i="2" s="1"/>
  <c r="G96" i="2" s="1"/>
  <c r="G51" i="2"/>
  <c r="G54" i="2" s="1"/>
  <c r="G53" i="2"/>
  <c r="F2" i="11"/>
  <c r="L602" i="1"/>
  <c r="G653" i="1" s="1"/>
  <c r="C40" i="10"/>
  <c r="F52" i="1"/>
  <c r="F104" i="1" s="1"/>
  <c r="F185" i="1" s="1"/>
  <c r="G617" i="1" s="1"/>
  <c r="J617" i="1" s="1"/>
  <c r="G52" i="1"/>
  <c r="G104" i="1" s="1"/>
  <c r="H52" i="1"/>
  <c r="I52" i="1"/>
  <c r="F71" i="1"/>
  <c r="F86" i="1"/>
  <c r="F103" i="1"/>
  <c r="G103" i="1"/>
  <c r="H71" i="1"/>
  <c r="E49" i="2" s="1"/>
  <c r="E54" i="2" s="1"/>
  <c r="E55" i="2" s="1"/>
  <c r="H86" i="1"/>
  <c r="E50" i="2"/>
  <c r="I103" i="1"/>
  <c r="I104" i="1" s="1"/>
  <c r="J103" i="1"/>
  <c r="F113" i="1"/>
  <c r="F128" i="1"/>
  <c r="G113" i="1"/>
  <c r="G132" i="1" s="1"/>
  <c r="G128" i="1"/>
  <c r="H113" i="1"/>
  <c r="H128" i="1"/>
  <c r="I113" i="1"/>
  <c r="I132" i="1" s="1"/>
  <c r="I128" i="1"/>
  <c r="J113" i="1"/>
  <c r="J128" i="1"/>
  <c r="J132" i="1" s="1"/>
  <c r="F139" i="1"/>
  <c r="C77" i="2"/>
  <c r="F154" i="1"/>
  <c r="G139" i="1"/>
  <c r="G154" i="1"/>
  <c r="G161" i="1" s="1"/>
  <c r="H139" i="1"/>
  <c r="H161" i="1" s="1"/>
  <c r="H154" i="1"/>
  <c r="I139" i="1"/>
  <c r="I161" i="1"/>
  <c r="I154" i="1"/>
  <c r="L242" i="1"/>
  <c r="C105" i="2" s="1"/>
  <c r="L324" i="1"/>
  <c r="L246" i="1"/>
  <c r="L260" i="1"/>
  <c r="L261" i="1"/>
  <c r="C26" i="10" s="1"/>
  <c r="L341" i="1"/>
  <c r="E134" i="2" s="1"/>
  <c r="L342" i="1"/>
  <c r="E135" i="2" s="1"/>
  <c r="I655" i="1"/>
  <c r="I660" i="1"/>
  <c r="I659" i="1"/>
  <c r="C42" i="10"/>
  <c r="L366" i="1"/>
  <c r="L367" i="1"/>
  <c r="L368" i="1"/>
  <c r="L369" i="1"/>
  <c r="L374" i="1" s="1"/>
  <c r="G626" i="1" s="1"/>
  <c r="J626" i="1" s="1"/>
  <c r="L370" i="1"/>
  <c r="L371" i="1"/>
  <c r="L372" i="1"/>
  <c r="B2" i="10"/>
  <c r="L336" i="1"/>
  <c r="E126" i="2"/>
  <c r="L337" i="1"/>
  <c r="E127" i="2"/>
  <c r="L338" i="1"/>
  <c r="E129" i="2" s="1"/>
  <c r="L339" i="1"/>
  <c r="K343" i="1"/>
  <c r="L511" i="1"/>
  <c r="F539" i="1"/>
  <c r="L512" i="1"/>
  <c r="F540" i="1"/>
  <c r="L513" i="1"/>
  <c r="F541" i="1"/>
  <c r="L517" i="1"/>
  <c r="G540" i="1" s="1"/>
  <c r="K540" i="1" s="1"/>
  <c r="L521" i="1"/>
  <c r="H539" i="1"/>
  <c r="H542" i="1" s="1"/>
  <c r="L522" i="1"/>
  <c r="L523" i="1"/>
  <c r="H541" i="1" s="1"/>
  <c r="L526" i="1"/>
  <c r="I539" i="1" s="1"/>
  <c r="L527" i="1"/>
  <c r="I540" i="1" s="1"/>
  <c r="L528" i="1"/>
  <c r="I541" i="1"/>
  <c r="L531" i="1"/>
  <c r="J539" i="1" s="1"/>
  <c r="J542" i="1" s="1"/>
  <c r="L532" i="1"/>
  <c r="J540" i="1"/>
  <c r="L533" i="1"/>
  <c r="K262" i="1"/>
  <c r="J262" i="1"/>
  <c r="I262" i="1"/>
  <c r="H262" i="1"/>
  <c r="G262" i="1"/>
  <c r="F262" i="1"/>
  <c r="C123" i="2"/>
  <c r="A1" i="2"/>
  <c r="A2" i="2"/>
  <c r="D9" i="2"/>
  <c r="E9" i="2"/>
  <c r="F9" i="2"/>
  <c r="I431" i="1"/>
  <c r="J9" i="1"/>
  <c r="G9" i="2" s="1"/>
  <c r="C10" i="2"/>
  <c r="D10" i="2"/>
  <c r="E10" i="2"/>
  <c r="F10" i="2"/>
  <c r="I432" i="1"/>
  <c r="J10" i="1" s="1"/>
  <c r="C11" i="2"/>
  <c r="C12" i="2"/>
  <c r="D12" i="2"/>
  <c r="E12" i="2"/>
  <c r="F12" i="2"/>
  <c r="I433" i="1"/>
  <c r="J12" i="1"/>
  <c r="G12" i="2"/>
  <c r="C13" i="2"/>
  <c r="D13" i="2"/>
  <c r="D19" i="2" s="1"/>
  <c r="E13" i="2"/>
  <c r="F13" i="2"/>
  <c r="I434" i="1"/>
  <c r="J13" i="1"/>
  <c r="G13" i="2" s="1"/>
  <c r="C14" i="2"/>
  <c r="D14" i="2"/>
  <c r="F14" i="2"/>
  <c r="I435" i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F22" i="2"/>
  <c r="I440" i="1"/>
  <c r="J23" i="1" s="1"/>
  <c r="C23" i="2"/>
  <c r="D23" i="2"/>
  <c r="D32" i="2" s="1"/>
  <c r="E23" i="2"/>
  <c r="F23" i="2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F32" i="2" s="1"/>
  <c r="F43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E35" i="2"/>
  <c r="F35" i="2"/>
  <c r="C36" i="2"/>
  <c r="C42" i="2" s="1"/>
  <c r="C43" i="2" s="1"/>
  <c r="D36" i="2"/>
  <c r="E36" i="2"/>
  <c r="F36" i="2"/>
  <c r="I446" i="1"/>
  <c r="C37" i="2"/>
  <c r="D37" i="2"/>
  <c r="E37" i="2"/>
  <c r="F37" i="2"/>
  <c r="I447" i="1"/>
  <c r="I450" i="1" s="1"/>
  <c r="C38" i="2"/>
  <c r="D38" i="2"/>
  <c r="D42" i="2" s="1"/>
  <c r="D43" i="2" s="1"/>
  <c r="E38" i="2"/>
  <c r="F38" i="2"/>
  <c r="I448" i="1"/>
  <c r="J40" i="1"/>
  <c r="G39" i="2" s="1"/>
  <c r="C40" i="2"/>
  <c r="D40" i="2"/>
  <c r="F40" i="2"/>
  <c r="I449" i="1"/>
  <c r="J41" i="1" s="1"/>
  <c r="G40" i="2" s="1"/>
  <c r="C41" i="2"/>
  <c r="D41" i="2"/>
  <c r="E41" i="2"/>
  <c r="F41" i="2"/>
  <c r="F48" i="2"/>
  <c r="C50" i="2"/>
  <c r="C51" i="2"/>
  <c r="D51" i="2"/>
  <c r="E51" i="2"/>
  <c r="F51" i="2"/>
  <c r="D52" i="2"/>
  <c r="D54" i="2" s="1"/>
  <c r="D55" i="2" s="1"/>
  <c r="C53" i="2"/>
  <c r="D53" i="2"/>
  <c r="E53" i="2"/>
  <c r="F53" i="2"/>
  <c r="C58" i="2"/>
  <c r="C59" i="2"/>
  <c r="C61" i="2"/>
  <c r="D61" i="2"/>
  <c r="D62" i="2"/>
  <c r="E61" i="2"/>
  <c r="E62" i="2" s="1"/>
  <c r="F61" i="2"/>
  <c r="F62" i="2" s="1"/>
  <c r="G61" i="2"/>
  <c r="G62" i="2"/>
  <c r="C64" i="2"/>
  <c r="F64" i="2"/>
  <c r="C65" i="2"/>
  <c r="F65" i="2"/>
  <c r="C66" i="2"/>
  <c r="C67" i="2"/>
  <c r="C68" i="2"/>
  <c r="C70" i="2" s="1"/>
  <c r="C73" i="2" s="1"/>
  <c r="E68" i="2"/>
  <c r="E70" i="2" s="1"/>
  <c r="F68" i="2"/>
  <c r="F70" i="2" s="1"/>
  <c r="F73" i="2" s="1"/>
  <c r="C69" i="2"/>
  <c r="D69" i="2"/>
  <c r="D70" i="2"/>
  <c r="D71" i="2"/>
  <c r="D73" i="2" s="1"/>
  <c r="E69" i="2"/>
  <c r="E71" i="2"/>
  <c r="E72" i="2"/>
  <c r="F69" i="2"/>
  <c r="G69" i="2"/>
  <c r="G70" i="2" s="1"/>
  <c r="G73" i="2" s="1"/>
  <c r="C71" i="2"/>
  <c r="C72" i="2"/>
  <c r="D77" i="2"/>
  <c r="D83" i="2" s="1"/>
  <c r="C79" i="2"/>
  <c r="E79" i="2"/>
  <c r="F79" i="2"/>
  <c r="C80" i="2"/>
  <c r="D80" i="2"/>
  <c r="E80" i="2"/>
  <c r="E81" i="2"/>
  <c r="F80" i="2"/>
  <c r="C81" i="2"/>
  <c r="D81" i="2"/>
  <c r="F81" i="2"/>
  <c r="C82" i="2"/>
  <c r="C85" i="2"/>
  <c r="F85" i="2"/>
  <c r="C86" i="2"/>
  <c r="C95" i="2" s="1"/>
  <c r="F86" i="2"/>
  <c r="D88" i="2"/>
  <c r="D95" i="2" s="1"/>
  <c r="E88" i="2"/>
  <c r="F88" i="2"/>
  <c r="G88" i="2"/>
  <c r="G89" i="2"/>
  <c r="G95" i="2" s="1"/>
  <c r="G90" i="2"/>
  <c r="C89" i="2"/>
  <c r="D89" i="2"/>
  <c r="E89" i="2"/>
  <c r="F89" i="2"/>
  <c r="F95" i="2" s="1"/>
  <c r="C90" i="2"/>
  <c r="D90" i="2"/>
  <c r="E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F120" i="2"/>
  <c r="G120" i="2"/>
  <c r="D126" i="2"/>
  <c r="D136" i="2"/>
  <c r="F126" i="2"/>
  <c r="K411" i="1"/>
  <c r="K419" i="1"/>
  <c r="K425" i="1"/>
  <c r="L255" i="1"/>
  <c r="C127" i="2"/>
  <c r="L256" i="1"/>
  <c r="C128" i="2" s="1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F490" i="1"/>
  <c r="B153" i="2" s="1"/>
  <c r="G490" i="1"/>
  <c r="C153" i="2"/>
  <c r="H490" i="1"/>
  <c r="K490" i="1" s="1"/>
  <c r="I490" i="1"/>
  <c r="E153" i="2" s="1"/>
  <c r="J490" i="1"/>
  <c r="F153" i="2" s="1"/>
  <c r="B154" i="2"/>
  <c r="C154" i="2"/>
  <c r="D154" i="2"/>
  <c r="G154" i="2" s="1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 s="1"/>
  <c r="I493" i="1"/>
  <c r="E156" i="2"/>
  <c r="J493" i="1"/>
  <c r="F156" i="2" s="1"/>
  <c r="F19" i="1"/>
  <c r="G607" i="1" s="1"/>
  <c r="G19" i="1"/>
  <c r="I19" i="1"/>
  <c r="F33" i="1"/>
  <c r="G33" i="1"/>
  <c r="I33" i="1"/>
  <c r="F43" i="1"/>
  <c r="F44" i="1" s="1"/>
  <c r="H607" i="1" s="1"/>
  <c r="G43" i="1"/>
  <c r="G44" i="1" s="1"/>
  <c r="H608" i="1" s="1"/>
  <c r="J608" i="1" s="1"/>
  <c r="H43" i="1"/>
  <c r="I43" i="1"/>
  <c r="F169" i="1"/>
  <c r="I169" i="1"/>
  <c r="F175" i="1"/>
  <c r="G175" i="1"/>
  <c r="H175" i="1"/>
  <c r="H184" i="1" s="1"/>
  <c r="I175" i="1"/>
  <c r="I184" i="1" s="1"/>
  <c r="J175" i="1"/>
  <c r="J184" i="1"/>
  <c r="F180" i="1"/>
  <c r="G180" i="1"/>
  <c r="G184" i="1" s="1"/>
  <c r="H180" i="1"/>
  <c r="I180" i="1"/>
  <c r="G203" i="1"/>
  <c r="I203" i="1"/>
  <c r="J203" i="1"/>
  <c r="K203" i="1"/>
  <c r="K249" i="1" s="1"/>
  <c r="K263" i="1" s="1"/>
  <c r="G221" i="1"/>
  <c r="I221" i="1"/>
  <c r="J221" i="1"/>
  <c r="K221" i="1"/>
  <c r="G239" i="1"/>
  <c r="I239" i="1"/>
  <c r="K239" i="1"/>
  <c r="F248" i="1"/>
  <c r="G248" i="1"/>
  <c r="H248" i="1"/>
  <c r="I248" i="1"/>
  <c r="J248" i="1"/>
  <c r="K248" i="1"/>
  <c r="F282" i="1"/>
  <c r="G282" i="1"/>
  <c r="H282" i="1"/>
  <c r="I282" i="1"/>
  <c r="I330" i="1" s="1"/>
  <c r="I344" i="1" s="1"/>
  <c r="F301" i="1"/>
  <c r="G301" i="1"/>
  <c r="H301" i="1"/>
  <c r="I301" i="1"/>
  <c r="F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 s="1"/>
  <c r="J624" i="1" s="1"/>
  <c r="J354" i="1"/>
  <c r="K354" i="1"/>
  <c r="I360" i="1"/>
  <c r="I361" i="1"/>
  <c r="H624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I385" i="1"/>
  <c r="I400" i="1" s="1"/>
  <c r="F393" i="1"/>
  <c r="G393" i="1"/>
  <c r="H393" i="1"/>
  <c r="I393" i="1"/>
  <c r="F399" i="1"/>
  <c r="F400" i="1" s="1"/>
  <c r="H633" i="1" s="1"/>
  <c r="J633" i="1" s="1"/>
  <c r="G399" i="1"/>
  <c r="H399" i="1"/>
  <c r="I399" i="1"/>
  <c r="H400" i="1"/>
  <c r="H634" i="1" s="1"/>
  <c r="J634" i="1" s="1"/>
  <c r="L405" i="1"/>
  <c r="L406" i="1"/>
  <c r="L407" i="1"/>
  <c r="L411" i="1" s="1"/>
  <c r="L408" i="1"/>
  <c r="L409" i="1"/>
  <c r="L410" i="1"/>
  <c r="F411" i="1"/>
  <c r="G411" i="1"/>
  <c r="H411" i="1"/>
  <c r="H426" i="1" s="1"/>
  <c r="I411" i="1"/>
  <c r="J411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J426" i="1" s="1"/>
  <c r="L421" i="1"/>
  <c r="L422" i="1"/>
  <c r="L425" i="1"/>
  <c r="L423" i="1"/>
  <c r="L424" i="1"/>
  <c r="F425" i="1"/>
  <c r="F426" i="1" s="1"/>
  <c r="G425" i="1"/>
  <c r="G426" i="1"/>
  <c r="H425" i="1"/>
  <c r="I425" i="1"/>
  <c r="I426" i="1" s="1"/>
  <c r="J425" i="1"/>
  <c r="F438" i="1"/>
  <c r="G438" i="1"/>
  <c r="G630" i="1"/>
  <c r="J630" i="1" s="1"/>
  <c r="H438" i="1"/>
  <c r="G631" i="1"/>
  <c r="F444" i="1"/>
  <c r="F451" i="1" s="1"/>
  <c r="H629" i="1" s="1"/>
  <c r="G444" i="1"/>
  <c r="H444" i="1"/>
  <c r="F450" i="1"/>
  <c r="G450" i="1"/>
  <c r="G451" i="1" s="1"/>
  <c r="H630" i="1" s="1"/>
  <c r="H450" i="1"/>
  <c r="H451" i="1" s="1"/>
  <c r="H631" i="1" s="1"/>
  <c r="J631" i="1" s="1"/>
  <c r="F460" i="1"/>
  <c r="F466" i="1" s="1"/>
  <c r="H612" i="1" s="1"/>
  <c r="G460" i="1"/>
  <c r="I460" i="1"/>
  <c r="I466" i="1" s="1"/>
  <c r="H615" i="1" s="1"/>
  <c r="J460" i="1"/>
  <c r="F464" i="1"/>
  <c r="G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K514" i="1"/>
  <c r="F519" i="1"/>
  <c r="H519" i="1"/>
  <c r="J519" i="1"/>
  <c r="K519" i="1"/>
  <c r="F524" i="1"/>
  <c r="G524" i="1"/>
  <c r="H524" i="1"/>
  <c r="I524" i="1"/>
  <c r="J524" i="1"/>
  <c r="K524" i="1"/>
  <c r="F529" i="1"/>
  <c r="F535" i="1" s="1"/>
  <c r="G529" i="1"/>
  <c r="H529" i="1"/>
  <c r="I529" i="1"/>
  <c r="J529" i="1"/>
  <c r="K529" i="1"/>
  <c r="K535" i="1" s="1"/>
  <c r="F534" i="1"/>
  <c r="G534" i="1"/>
  <c r="H534" i="1"/>
  <c r="H535" i="1" s="1"/>
  <c r="I534" i="1"/>
  <c r="J534" i="1"/>
  <c r="K534" i="1"/>
  <c r="L547" i="1"/>
  <c r="L548" i="1"/>
  <c r="L549" i="1"/>
  <c r="F550" i="1"/>
  <c r="F561" i="1" s="1"/>
  <c r="G550" i="1"/>
  <c r="H550" i="1"/>
  <c r="H561" i="1"/>
  <c r="I550" i="1"/>
  <c r="I561" i="1"/>
  <c r="J550" i="1"/>
  <c r="K550" i="1"/>
  <c r="L552" i="1"/>
  <c r="L553" i="1"/>
  <c r="L554" i="1"/>
  <c r="L555" i="1" s="1"/>
  <c r="F555" i="1"/>
  <c r="G555" i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I588" i="1"/>
  <c r="H640" i="1" s="1"/>
  <c r="J588" i="1"/>
  <c r="H641" i="1" s="1"/>
  <c r="J641" i="1" s="1"/>
  <c r="K592" i="1"/>
  <c r="K593" i="1"/>
  <c r="K594" i="1"/>
  <c r="K595" i="1" s="1"/>
  <c r="G638" i="1" s="1"/>
  <c r="H595" i="1"/>
  <c r="I595" i="1"/>
  <c r="J595" i="1"/>
  <c r="F604" i="1"/>
  <c r="H604" i="1"/>
  <c r="I604" i="1"/>
  <c r="J604" i="1"/>
  <c r="K604" i="1"/>
  <c r="G608" i="1"/>
  <c r="G610" i="1"/>
  <c r="G614" i="1"/>
  <c r="H617" i="1"/>
  <c r="H618" i="1"/>
  <c r="H620" i="1"/>
  <c r="H621" i="1"/>
  <c r="H622" i="1"/>
  <c r="H625" i="1"/>
  <c r="H626" i="1"/>
  <c r="H627" i="1"/>
  <c r="H628" i="1"/>
  <c r="G629" i="1"/>
  <c r="G633" i="1"/>
  <c r="G634" i="1"/>
  <c r="G642" i="1"/>
  <c r="J642" i="1" s="1"/>
  <c r="H642" i="1"/>
  <c r="G643" i="1"/>
  <c r="J643" i="1"/>
  <c r="H643" i="1"/>
  <c r="G644" i="1"/>
  <c r="H644" i="1"/>
  <c r="J644" i="1"/>
  <c r="G645" i="1"/>
  <c r="H645" i="1"/>
  <c r="F54" i="2"/>
  <c r="F55" i="2" s="1"/>
  <c r="J37" i="1"/>
  <c r="D48" i="2"/>
  <c r="L248" i="1"/>
  <c r="C49" i="2"/>
  <c r="C134" i="2"/>
  <c r="H132" i="1"/>
  <c r="G613" i="1"/>
  <c r="J613" i="1" s="1"/>
  <c r="E122" i="2"/>
  <c r="G36" i="2"/>
  <c r="J561" i="1"/>
  <c r="L529" i="1"/>
  <c r="L524" i="1"/>
  <c r="H540" i="1"/>
  <c r="L514" i="1"/>
  <c r="G152" i="2"/>
  <c r="G635" i="1"/>
  <c r="J466" i="1"/>
  <c r="H616" i="1" s="1"/>
  <c r="K426" i="1"/>
  <c r="G126" i="2"/>
  <c r="G136" i="2" s="1"/>
  <c r="G137" i="2" s="1"/>
  <c r="D119" i="2"/>
  <c r="D120" i="2"/>
  <c r="D137" i="2"/>
  <c r="E112" i="2"/>
  <c r="F31" i="13"/>
  <c r="E103" i="2"/>
  <c r="E104" i="2"/>
  <c r="F330" i="1"/>
  <c r="F344" i="1" s="1"/>
  <c r="A13" i="12"/>
  <c r="C122" i="2"/>
  <c r="H652" i="1"/>
  <c r="I249" i="1"/>
  <c r="I263" i="1" s="1"/>
  <c r="G249" i="1"/>
  <c r="G263" i="1" s="1"/>
  <c r="L262" i="1"/>
  <c r="F184" i="1"/>
  <c r="C83" i="2"/>
  <c r="F132" i="1"/>
  <c r="C38" i="10" s="1"/>
  <c r="C54" i="2"/>
  <c r="C32" i="2"/>
  <c r="I44" i="1"/>
  <c r="H610" i="1"/>
  <c r="J610" i="1" s="1"/>
  <c r="G615" i="1"/>
  <c r="J615" i="1" s="1"/>
  <c r="F542" i="1"/>
  <c r="F651" i="1"/>
  <c r="L354" i="1"/>
  <c r="H651" i="1"/>
  <c r="G561" i="1"/>
  <c r="F42" i="2"/>
  <c r="E105" i="2"/>
  <c r="C23" i="10"/>
  <c r="E102" i="2"/>
  <c r="J330" i="1"/>
  <c r="J344" i="1" s="1"/>
  <c r="H623" i="1"/>
  <c r="H619" i="1"/>
  <c r="J535" i="1"/>
  <c r="G150" i="2"/>
  <c r="F77" i="2"/>
  <c r="F83" i="2"/>
  <c r="J14" i="1"/>
  <c r="G14" i="2" s="1"/>
  <c r="J541" i="1"/>
  <c r="C106" i="2"/>
  <c r="F161" i="1"/>
  <c r="C39" i="10" s="1"/>
  <c r="K493" i="1"/>
  <c r="G148" i="2"/>
  <c r="F19" i="2"/>
  <c r="L385" i="1"/>
  <c r="C130" i="2" s="1"/>
  <c r="E123" i="2"/>
  <c r="C32" i="10"/>
  <c r="G651" i="1"/>
  <c r="C24" i="10"/>
  <c r="E95" i="2"/>
  <c r="E106" i="2"/>
  <c r="J645" i="1"/>
  <c r="L550" i="1"/>
  <c r="E48" i="2"/>
  <c r="J104" i="1"/>
  <c r="J185" i="1" s="1"/>
  <c r="G466" i="1"/>
  <c r="H613" i="1"/>
  <c r="G625" i="1"/>
  <c r="J625" i="1" s="1"/>
  <c r="C27" i="10"/>
  <c r="I651" i="1"/>
  <c r="C13" i="10" l="1"/>
  <c r="L239" i="1"/>
  <c r="C104" i="2"/>
  <c r="L604" i="1"/>
  <c r="F653" i="1"/>
  <c r="I653" i="1" s="1"/>
  <c r="E136" i="2"/>
  <c r="G156" i="2"/>
  <c r="G185" i="1"/>
  <c r="G618" i="1" s="1"/>
  <c r="J618" i="1" s="1"/>
  <c r="I185" i="1"/>
  <c r="G620" i="1" s="1"/>
  <c r="J620" i="1" s="1"/>
  <c r="G621" i="1"/>
  <c r="J621" i="1" s="1"/>
  <c r="G636" i="1"/>
  <c r="E19" i="2"/>
  <c r="I542" i="1"/>
  <c r="C20" i="10"/>
  <c r="D14" i="13"/>
  <c r="C14" i="13" s="1"/>
  <c r="C115" i="2"/>
  <c r="E101" i="2"/>
  <c r="E107" i="2" s="1"/>
  <c r="D7" i="13"/>
  <c r="C7" i="13" s="1"/>
  <c r="C16" i="10"/>
  <c r="C111" i="2"/>
  <c r="C21" i="10"/>
  <c r="C116" i="2"/>
  <c r="H637" i="1"/>
  <c r="F652" i="1"/>
  <c r="G639" i="1"/>
  <c r="D15" i="13"/>
  <c r="C15" i="13" s="1"/>
  <c r="J637" i="1"/>
  <c r="C133" i="2"/>
  <c r="L426" i="1"/>
  <c r="G628" i="1" s="1"/>
  <c r="J628" i="1" s="1"/>
  <c r="G10" i="2"/>
  <c r="G19" i="2" s="1"/>
  <c r="J19" i="1"/>
  <c r="G611" i="1" s="1"/>
  <c r="L561" i="1"/>
  <c r="D96" i="2"/>
  <c r="F96" i="2"/>
  <c r="J607" i="1"/>
  <c r="G652" i="1"/>
  <c r="G640" i="1"/>
  <c r="J640" i="1" s="1"/>
  <c r="J629" i="1"/>
  <c r="C112" i="2"/>
  <c r="E8" i="13"/>
  <c r="E16" i="13"/>
  <c r="C16" i="13" s="1"/>
  <c r="C117" i="2"/>
  <c r="E73" i="2"/>
  <c r="E96" i="2" s="1"/>
  <c r="I535" i="1"/>
  <c r="E42" i="2"/>
  <c r="E43" i="2" s="1"/>
  <c r="J33" i="1"/>
  <c r="G22" i="2"/>
  <c r="G32" i="2" s="1"/>
  <c r="G330" i="1"/>
  <c r="G344" i="1" s="1"/>
  <c r="C29" i="10"/>
  <c r="L282" i="1"/>
  <c r="C18" i="10"/>
  <c r="L343" i="1"/>
  <c r="G604" i="1"/>
  <c r="J239" i="1"/>
  <c r="J249" i="1" s="1"/>
  <c r="G612" i="1"/>
  <c r="J612" i="1" s="1"/>
  <c r="D153" i="2"/>
  <c r="G153" i="2" s="1"/>
  <c r="C135" i="2"/>
  <c r="L212" i="1"/>
  <c r="C110" i="2" s="1"/>
  <c r="C120" i="2" s="1"/>
  <c r="C114" i="2"/>
  <c r="L400" i="1"/>
  <c r="C35" i="10"/>
  <c r="I444" i="1"/>
  <c r="I451" i="1" s="1"/>
  <c r="H632" i="1" s="1"/>
  <c r="H25" i="13"/>
  <c r="C103" i="2"/>
  <c r="J38" i="1"/>
  <c r="C124" i="2"/>
  <c r="C136" i="2" s="1"/>
  <c r="K282" i="1"/>
  <c r="L190" i="1"/>
  <c r="H104" i="1"/>
  <c r="H185" i="1" s="1"/>
  <c r="G619" i="1" s="1"/>
  <c r="J619" i="1" s="1"/>
  <c r="D12" i="13"/>
  <c r="C12" i="13" s="1"/>
  <c r="H588" i="1"/>
  <c r="H639" i="1" s="1"/>
  <c r="H33" i="1"/>
  <c r="H44" i="1" s="1"/>
  <c r="H609" i="1" s="1"/>
  <c r="J609" i="1" s="1"/>
  <c r="E14" i="2"/>
  <c r="B18" i="12"/>
  <c r="A22" i="12" s="1"/>
  <c r="B36" i="12"/>
  <c r="A40" i="12" s="1"/>
  <c r="C10" i="10"/>
  <c r="L534" i="1"/>
  <c r="F239" i="1"/>
  <c r="F249" i="1" s="1"/>
  <c r="F263" i="1" s="1"/>
  <c r="C101" i="2"/>
  <c r="E13" i="13"/>
  <c r="C13" i="13" s="1"/>
  <c r="C48" i="2"/>
  <c r="C55" i="2" s="1"/>
  <c r="C96" i="2" s="1"/>
  <c r="F122" i="2"/>
  <c r="F136" i="2" s="1"/>
  <c r="F137" i="2" s="1"/>
  <c r="L301" i="1"/>
  <c r="H320" i="1"/>
  <c r="H330" i="1" s="1"/>
  <c r="H344" i="1" s="1"/>
  <c r="E77" i="2"/>
  <c r="E83" i="2" s="1"/>
  <c r="L516" i="1"/>
  <c r="L311" i="1"/>
  <c r="E110" i="2" s="1"/>
  <c r="E120" i="2" s="1"/>
  <c r="L232" i="1"/>
  <c r="C17" i="10" s="1"/>
  <c r="D6" i="13"/>
  <c r="C6" i="13" s="1"/>
  <c r="I438" i="1"/>
  <c r="G632" i="1" s="1"/>
  <c r="J632" i="1" s="1"/>
  <c r="C15" i="10"/>
  <c r="L221" i="1" l="1"/>
  <c r="G650" i="1" s="1"/>
  <c r="G654" i="1" s="1"/>
  <c r="J639" i="1"/>
  <c r="H636" i="1"/>
  <c r="J636" i="1" s="1"/>
  <c r="G627" i="1"/>
  <c r="J627" i="1" s="1"/>
  <c r="I652" i="1"/>
  <c r="C8" i="13"/>
  <c r="E33" i="13"/>
  <c r="D35" i="13" s="1"/>
  <c r="C36" i="10"/>
  <c r="C41" i="10"/>
  <c r="C11" i="10"/>
  <c r="L203" i="1"/>
  <c r="C102" i="2"/>
  <c r="D5" i="13"/>
  <c r="C107" i="2"/>
  <c r="C137" i="2" s="1"/>
  <c r="J263" i="1"/>
  <c r="H638" i="1"/>
  <c r="J638" i="1" s="1"/>
  <c r="G37" i="2"/>
  <c r="G42" i="2" s="1"/>
  <c r="G43" i="2" s="1"/>
  <c r="J43" i="1"/>
  <c r="C25" i="13"/>
  <c r="H33" i="13"/>
  <c r="E137" i="2"/>
  <c r="G31" i="13"/>
  <c r="G33" i="13" s="1"/>
  <c r="K330" i="1"/>
  <c r="K344" i="1" s="1"/>
  <c r="G539" i="1"/>
  <c r="L519" i="1"/>
  <c r="L535" i="1" s="1"/>
  <c r="L320" i="1"/>
  <c r="L330" i="1" s="1"/>
  <c r="L344" i="1" s="1"/>
  <c r="G623" i="1" s="1"/>
  <c r="J623" i="1" s="1"/>
  <c r="H650" i="1" l="1"/>
  <c r="H654" i="1" s="1"/>
  <c r="J44" i="1"/>
  <c r="H611" i="1" s="1"/>
  <c r="J611" i="1" s="1"/>
  <c r="G616" i="1"/>
  <c r="D31" i="13"/>
  <c r="C31" i="13" s="1"/>
  <c r="D37" i="10"/>
  <c r="D40" i="10"/>
  <c r="D39" i="10"/>
  <c r="D38" i="10"/>
  <c r="G662" i="1"/>
  <c r="C5" i="10" s="1"/>
  <c r="G657" i="1"/>
  <c r="G542" i="1"/>
  <c r="K539" i="1"/>
  <c r="K542" i="1" s="1"/>
  <c r="D36" i="10"/>
  <c r="C5" i="13"/>
  <c r="D33" i="13"/>
  <c r="D36" i="13" s="1"/>
  <c r="F650" i="1"/>
  <c r="L249" i="1"/>
  <c r="L263" i="1" s="1"/>
  <c r="G622" i="1" s="1"/>
  <c r="J622" i="1" s="1"/>
  <c r="C28" i="10"/>
  <c r="D35" i="10"/>
  <c r="D41" i="10" s="1"/>
  <c r="D24" i="10" l="1"/>
  <c r="C30" i="10"/>
  <c r="D22" i="10"/>
  <c r="D25" i="10"/>
  <c r="D27" i="10"/>
  <c r="D12" i="10"/>
  <c r="D19" i="10"/>
  <c r="D23" i="10"/>
  <c r="D26" i="10"/>
  <c r="D17" i="10"/>
  <c r="D15" i="10"/>
  <c r="D10" i="10"/>
  <c r="D28" i="10" s="1"/>
  <c r="D20" i="10"/>
  <c r="D16" i="10"/>
  <c r="D18" i="10"/>
  <c r="D13" i="10"/>
  <c r="D21" i="10"/>
  <c r="J616" i="1"/>
  <c r="H646" i="1"/>
  <c r="F654" i="1"/>
  <c r="I650" i="1"/>
  <c r="I654" i="1" s="1"/>
  <c r="D11" i="10"/>
  <c r="H662" i="1"/>
  <c r="C6" i="10" s="1"/>
  <c r="H657" i="1"/>
  <c r="I657" i="1" l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CE90BDD-548D-4906-95BC-7276867922FC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652A9A0-95B2-4635-AB9C-C417193E053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82353B2-2461-4E74-931D-2FBA89545732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CEA748D-5703-45BA-A5AF-3FE9740CB40F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DE36F1EB-941A-479A-832A-C9DF137C170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CBE0CDA-ADC4-4DF5-B62E-8AD65920E963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55210295-E8AE-4F63-8B4B-BA0F2E01DCD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5EADD4C-3478-468E-BBFB-F2C7EF3F7DE6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3477618-05A0-4C1A-B45E-6CC88E4A731D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C59EAAEF-DDA7-458B-BC9A-80A15C2ACA89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8B2DD911-A742-42AB-96CA-D1D71CF719B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457369A-125A-47A7-86D0-4B53C2BA922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<sst xmlns="http://schemas.openxmlformats.org/spreadsheetml/2006/main" count="3868" uniqueCount="903">
  <si>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</si>
  <si>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</si>
  <si>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</si>
  <si>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</si>
  <si>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</si>
  <si>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</si>
  <si>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</si>
  <si>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</si>
  <si>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</si>
  <si>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</si>
  <si>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</si>
  <si>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</si>
  <si>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</si>
  <si>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</si>
  <si>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</si>
  <si>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</si>
  <si>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</si>
  <si>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</si>
  <si>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</si>
  <si>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</si>
  <si>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</si>
  <si>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</si>
  <si>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</si>
  <si>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</si>
  <si>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</si>
  <si>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</si>
  <si>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</si>
  <si>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</si>
  <si>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</si>
  <si>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</si>
  <si>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</si>
  <si>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</si>
  <si>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</si>
  <si>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</si>
  <si>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</si>
  <si>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</si>
  <si>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</si>
  <si>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</si>
  <si>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</si>
  <si>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</si>
  <si>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</si>
  <si>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</si>
  <si>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</si>
  <si>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</si>
  <si>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</si>
  <si>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</si>
  <si>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</si>
  <si>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</si>
  <si>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</si>
  <si>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</si>
  <si>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</si>
  <si>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</si>
  <si>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</si>
  <si>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</si>
  <si>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</si>
  <si>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</si>
  <si>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</si>
  <si>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</si>
  <si>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</si>
  <si>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</si>
  <si>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</si>
  <si>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</si>
  <si>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</si>
  <si>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</si>
  <si>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</si>
  <si>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</si>
  <si>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</si>
  <si>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</si>
  <si>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</si>
  <si>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</si>
  <si>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</si>
  <si>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</si>
  <si>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</si>
  <si>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</si>
  <si>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</si>
  <si>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</si>
  <si>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</si>
  <si>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</si>
  <si>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</si>
  <si>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</si>
  <si>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</si>
  <si>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</si>
  <si>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</si>
  <si>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</si>
  <si>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</si>
  <si>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</si>
  <si>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</si>
  <si>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</si>
  <si>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</si>
  <si>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</si>
  <si>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</si>
  <si>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</si>
  <si>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</si>
  <si>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</si>
  <si>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</si>
  <si>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</si>
  <si>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</si>
  <si>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</si>
  <si>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</si>
  <si>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</si>
  <si>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</si>
  <si>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</si>
  <si>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</si>
  <si>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</si>
  <si>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</si>
  <si>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</si>
  <si>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</si>
  <si>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</si>
  <si>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</si>
  <si>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</si>
  <si>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</si>
  <si>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</si>
  <si>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</si>
  <si>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</si>
  <si>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</si>
  <si>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</si>
  <si>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</si>
  <si>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</si>
  <si>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</si>
  <si>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</si>
  <si>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</si>
  <si>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</si>
  <si>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</si>
  <si>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</si>
  <si>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</si>
  <si>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</si>
  <si>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</si>
  <si>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</si>
  <si>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</si>
  <si>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</si>
  <si>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</si>
  <si>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</si>
  <si>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</si>
  <si>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</si>
  <si>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</si>
  <si>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</si>
  <si>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</si>
  <si>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</si>
  <si>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</si>
  <si>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</si>
  <si>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</si>
  <si>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</si>
  <si>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</si>
  <si>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</si>
  <si>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</si>
  <si>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</si>
  <si>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</si>
  <si>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</si>
  <si>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</si>
  <si>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</si>
  <si>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</si>
  <si>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</si>
  <si>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</si>
  <si>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</si>
  <si>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</si>
  <si>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</si>
  <si>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</si>
  <si>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</si>
  <si>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</si>
  <si>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</si>
  <si>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</si>
  <si>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</si>
  <si>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</si>
  <si>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</si>
  <si>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</si>
  <si>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</si>
  <si>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</si>
  <si>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</si>
  <si>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</si>
  <si>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</si>
  <si>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</si>
  <si>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</si>
  <si>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</si>
  <si>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</si>
  <si>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</si>
  <si>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</si>
  <si>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</si>
  <si>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</si>
  <si>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</si>
  <si>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</si>
  <si>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</si>
  <si>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</si>
  <si>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</si>
  <si>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</si>
  <si>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</si>
  <si>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</si>
  <si>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</si>
  <si>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</si>
  <si>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</si>
  <si>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</si>
  <si>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</si>
  <si>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</si>
  <si>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</si>
  <si>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</si>
  <si>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</si>
  <si>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</si>
  <si>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</si>
  <si>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</si>
  <si>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</si>
  <si>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</si>
  <si>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</si>
  <si>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</si>
  <si>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</si>
  <si>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</si>
  <si>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</si>
  <si>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</si>
  <si>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</si>
  <si>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</si>
  <si>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</si>
  <si>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</si>
  <si>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</si>
  <si>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</si>
  <si>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</si>
  <si>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</si>
  <si>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</si>
  <si>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</si>
  <si>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</si>
  <si>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</si>
  <si>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</si>
  <si>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</si>
  <si>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</si>
  <si>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</si>
  <si>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</si>
  <si>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</si>
  <si>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</si>
  <si>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</si>
  <si>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</si>
  <si>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</si>
  <si>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</si>
  <si>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</si>
  <si>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</si>
  <si>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</si>
  <si>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</si>
  <si>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</si>
  <si>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</si>
  <si>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</si>
  <si>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</si>
  <si>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</si>
  <si>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</si>
  <si>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</si>
  <si>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</si>
  <si>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</si>
  <si>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</si>
  <si>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</si>
  <si>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</si>
  <si>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</si>
  <si>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</si>
  <si>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</si>
  <si>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</si>
  <si>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</si>
  <si>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</si>
  <si>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</si>
  <si>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</si>
  <si>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</si>
  <si>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</si>
  <si>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</si>
  <si>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</si>
  <si>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</si>
  <si>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</si>
  <si>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</si>
  <si>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</si>
  <si>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</si>
  <si>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</si>
  <si>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</si>
  <si>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</si>
  <si>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</si>
  <si>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</si>
  <si>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</si>
  <si>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</si>
  <si>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</si>
  <si>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</si>
  <si>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</si>
  <si>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</si>
  <si>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</si>
  <si>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</si>
  <si>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</si>
  <si>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</si>
  <si>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</si>
  <si>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</si>
  <si>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</si>
  <si>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</si>
  <si>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</si>
  <si>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</si>
  <si>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</si>
  <si>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</si>
  <si>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</si>
  <si>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</si>
  <si>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</si>
  <si>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</si>
  <si>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</si>
  <si>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</si>
  <si>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</si>
  <si>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</si>
  <si>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</si>
  <si>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</si>
  <si>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</si>
  <si>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</si>
  <si>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</si>
  <si>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</si>
  <si>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</si>
  <si>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</si>
  <si>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</si>
  <si>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</si>
  <si>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</si>
  <si>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</si>
  <si>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</si>
  <si>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</si>
  <si>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</si>
  <si>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</si>
  <si>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</si>
  <si>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</si>
  <si>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</si>
  <si>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</si>
  <si>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</si>
  <si>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</si>
  <si>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</si>
  <si>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</si>
  <si>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</si>
  <si>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</si>
  <si>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</si>
  <si>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</si>
  <si>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</si>
  <si>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</si>
  <si>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</si>
  <si>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</si>
  <si>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</si>
  <si>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</si>
  <si>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</si>
  <si>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</si>
  <si>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</si>
  <si>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</si>
  <si>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</si>
  <si>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</si>
  <si>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</si>
  <si>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</si>
  <si>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</si>
  <si>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</si>
  <si>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</si>
  <si>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</si>
  <si>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</si>
  <si>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</si>
  <si>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</si>
  <si>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</si>
  <si>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</si>
  <si>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</si>
  <si>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</si>
  <si>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</si>
  <si>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</si>
  <si>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</si>
  <si>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</si>
  <si>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</si>
  <si>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</si>
  <si>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</si>
  <si>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</si>
  <si>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</si>
  <si>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</si>
  <si>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</si>
  <si>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</si>
  <si>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</si>
  <si>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</si>
  <si>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</si>
  <si>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</si>
  <si>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</si>
  <si>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</si>
  <si>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</si>
  <si>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</si>
  <si>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</si>
  <si>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</si>
  <si>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</si>
  <si>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</si>
  <si>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</si>
  <si>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</si>
  <si>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</si>
  <si>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</si>
  <si>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</si>
  <si>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</si>
  <si>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</si>
  <si>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</si>
  <si>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</si>
  <si>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</si>
  <si>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</si>
  <si>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</si>
  <si>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</si>
  <si>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</si>
  <si>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</si>
  <si>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</si>
  <si>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</si>
  <si>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</si>
  <si>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</si>
  <si>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</si>
  <si>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</si>
  <si>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</si>
  <si>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</si>
  <si>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</si>
  <si>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</si>
  <si>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</si>
  <si>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</si>
  <si>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</si>
  <si>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</si>
  <si>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</si>
  <si>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</si>
  <si>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</si>
  <si>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</si>
  <si>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</si>
  <si>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</si>
  <si>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</si>
  <si>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</si>
  <si>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</si>
  <si>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</si>
  <si>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</si>
  <si>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</si>
  <si>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</si>
  <si>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</si>
  <si>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</si>
  <si>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</si>
  <si>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</si>
  <si>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</si>
  <si>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</si>
  <si>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</si>
  <si>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</si>
  <si>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</si>
  <si>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</si>
  <si>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</si>
  <si>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</si>
  <si>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</si>
  <si>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</si>
  <si>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</si>
  <si>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</si>
  <si>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</si>
  <si>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</si>
  <si>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</si>
  <si>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</si>
  <si>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</si>
  <si>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</si>
  <si>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</si>
  <si>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</si>
  <si>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</si>
  <si>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</si>
  <si>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</si>
  <si>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</si>
  <si>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</si>
  <si>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</si>
  <si>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</si>
  <si>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</si>
  <si>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</si>
  <si>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</si>
  <si>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</si>
  <si>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</si>
  <si>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</si>
  <si>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</si>
  <si>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</si>
  <si>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</si>
  <si>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</si>
  <si>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</si>
  <si>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</si>
  <si>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</si>
  <si>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</si>
  <si>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</si>
  <si>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</si>
  <si>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</si>
  <si>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</si>
  <si>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</si>
  <si>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</si>
  <si>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</si>
  <si>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</si>
  <si>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</si>
  <si>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</si>
  <si>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</si>
  <si>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</si>
  <si>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</si>
  <si>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</si>
  <si>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</si>
  <si>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</si>
  <si>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</si>
  <si>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</si>
  <si>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</si>
  <si>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</si>
  <si>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</si>
  <si>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</si>
  <si>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</si>
  <si>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</si>
  <si>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</si>
  <si>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</si>
  <si>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</si>
  <si>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</si>
  <si>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</si>
  <si>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</si>
  <si>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</si>
  <si>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</si>
  <si>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</si>
  <si>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</si>
  <si>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</si>
  <si>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</si>
  <si>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</si>
  <si>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</si>
  <si>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</si>
  <si>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</si>
  <si>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</si>
  <si>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</si>
  <si>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</si>
  <si>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</si>
  <si>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</si>
  <si>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</si>
  <si>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</si>
  <si>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</si>
  <si>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</si>
  <si>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</si>
  <si>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</si>
  <si>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</si>
  <si>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</si>
  <si>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</si>
  <si>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</si>
  <si>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</si>
  <si>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</si>
  <si>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</si>
  <si>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</si>
  <si>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</si>
  <si>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</si>
  <si>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</si>
  <si>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</si>
  <si>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</si>
  <si>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</si>
  <si>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</si>
  <si>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</si>
  <si>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</si>
  <si>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</si>
  <si>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</si>
  <si>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</si>
  <si>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</si>
  <si>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</si>
  <si>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</si>
  <si>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</si>
  <si>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</si>
  <si>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</si>
  <si>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</si>
  <si>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</si>
  <si>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</si>
  <si>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</si>
  <si>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</si>
  <si>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</si>
  <si>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</si>
  <si>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</si>
  <si>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</si>
  <si>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</si>
  <si>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</si>
  <si>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</si>
  <si>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</si>
  <si>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</si>
  <si>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</si>
  <si>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</si>
  <si>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</si>
  <si>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</si>
  <si>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</si>
  <si>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</si>
  <si>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</si>
  <si>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</si>
  <si>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</si>
  <si>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</si>
  <si>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</si>
  <si>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</si>
  <si>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</si>
  <si>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</si>
  <si>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</si>
  <si>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</si>
  <si>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</si>
  <si>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</si>
  <si>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</si>
  <si>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</si>
  <si>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</si>
  <si>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</si>
  <si>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</si>
  <si>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</si>
  <si>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</si>
  <si>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</si>
  <si>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</si>
  <si>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</si>
  <si>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</si>
  <si>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</si>
  <si>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</si>
  <si>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</si>
  <si>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</si>
  <si>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</si>
  <si>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</si>
  <si>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</si>
  <si>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</si>
  <si>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</si>
  <si>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</si>
  <si>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</si>
  <si>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</si>
  <si>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</si>
  <si>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</si>
  <si>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</si>
  <si>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</si>
  <si>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</si>
  <si>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</si>
  <si>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</si>
  <si>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</si>
  <si>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</si>
  <si>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</si>
  <si>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</si>
  <si>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</si>
  <si>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</si>
  <si>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</si>
  <si>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</si>
  <si>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</si>
  <si>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</si>
  <si>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</si>
  <si>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</si>
  <si>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</si>
  <si>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</si>
  <si>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</si>
  <si>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</si>
  <si>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</si>
  <si>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</si>
  <si>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</si>
  <si>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</si>
  <si>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</si>
  <si>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</si>
  <si>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</si>
  <si>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</si>
  <si>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</si>
  <si>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</si>
  <si>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</si>
  <si>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</si>
  <si>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</si>
  <si>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</si>
  <si>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</si>
  <si>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</si>
  <si>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</si>
  <si>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</si>
  <si>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</si>
  <si>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</si>
  <si>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</si>
  <si>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</si>
  <si>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</si>
  <si>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</si>
  <si>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</si>
  <si>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</si>
  <si>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</si>
  <si>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</si>
  <si>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</si>
  <si>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</si>
  <si>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</si>
  <si>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</si>
  <si>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</si>
  <si>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</si>
  <si>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</si>
  <si>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</si>
  <si>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</si>
  <si>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</si>
  <si>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</si>
  <si>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</si>
  <si>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</si>
  <si>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</si>
  <si>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</si>
  <si>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</si>
  <si>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</si>
  <si>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</si>
  <si>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</si>
  <si>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</si>
  <si>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</si>
  <si>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</si>
  <si>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</si>
  <si>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</si>
  <si>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</si>
  <si>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</si>
  <si>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</si>
  <si>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</si>
  <si>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</si>
  <si>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</si>
  <si>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</si>
  <si>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</si>
  <si>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</si>
  <si>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</si>
  <si>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</si>
  <si>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</si>
  <si>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</si>
  <si>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</si>
  <si>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</si>
  <si>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</si>
  <si>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</si>
  <si>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</si>
  <si>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</si>
  <si>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</si>
  <si>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</si>
  <si>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</si>
  <si>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</si>
  <si>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</si>
  <si>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</si>
  <si>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</si>
  <si>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</si>
  <si>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</si>
  <si>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</si>
  <si>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</si>
  <si>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</si>
  <si>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</si>
  <si>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</si>
  <si>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</si>
  <si>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</si>
  <si>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</si>
  <si>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</si>
  <si>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</si>
  <si>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</si>
  <si>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</si>
  <si>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</si>
  <si>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</si>
  <si>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</si>
  <si>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</si>
  <si>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</si>
  <si>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</si>
  <si>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</si>
  <si>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</si>
  <si>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</si>
  <si>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</si>
  <si>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</si>
  <si>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</si>
  <si>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</si>
  <si>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</si>
  <si>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</si>
  <si>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</si>
  <si>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</si>
  <si>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</si>
  <si>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</si>
  <si>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</si>
  <si>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</si>
  <si>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</si>
  <si>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</si>
  <si>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</si>
  <si>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</si>
  <si>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</si>
  <si>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</si>
  <si>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</si>
  <si>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</si>
  <si>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</si>
  <si>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</si>
  <si>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</si>
  <si>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</si>
  <si>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</si>
  <si>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</si>
  <si>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</si>
  <si>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</si>
  <si>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</si>
  <si>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</si>
  <si>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</si>
  <si>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</si>
  <si>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</si>
  <si>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</si>
  <si>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</si>
  <si>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</si>
  <si>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</si>
  <si>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</si>
  <si>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</si>
  <si>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</si>
  <si>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</si>
  <si>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</si>
  <si>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</si>
  <si>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</si>
  <si>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</si>
  <si>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</si>
  <si>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</si>
  <si>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</si>
  <si>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</si>
  <si>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</si>
  <si>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</si>
  <si>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</si>
  <si>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</si>
  <si>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</si>
  <si>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</si>
  <si>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</si>
  <si>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</si>
  <si>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</si>
  <si>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</si>
  <si>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</si>
  <si>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</si>
  <si>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</si>
  <si>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</si>
  <si>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</si>
  <si>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</si>
  <si>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</si>
  <si>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</si>
  <si>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</si>
  <si>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</si>
  <si>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</si>
  <si>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</si>
  <si>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</si>
  <si>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</si>
  <si>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</si>
  <si>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</si>
  <si>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</si>
  <si>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</si>
  <si>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</si>
  <si>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</si>
  <si>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</si>
  <si>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</si>
  <si>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</si>
  <si>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</si>
  <si>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</si>
  <si>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</si>
  <si>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</si>
  <si>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</si>
  <si>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</si>
  <si>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</si>
  <si>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</si>
  <si>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</si>
  <si>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</si>
  <si>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</si>
  <si>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</si>
  <si>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</si>
  <si>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</si>
  <si>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</si>
  <si>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</si>
  <si>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</si>
  <si>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</si>
  <si>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</si>
  <si>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</si>
  <si>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</si>
  <si>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</si>
  <si>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</si>
  <si>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</si>
  <si>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</si>
  <si>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</si>
  <si>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</si>
  <si>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</si>
  <si>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</si>
  <si>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</si>
  <si>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</si>
  <si>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</si>
  <si>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</si>
  <si>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</si>
  <si>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</si>
  <si>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</si>
  <si>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</si>
  <si>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</si>
  <si>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</si>
  <si>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</si>
  <si>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</si>
  <si>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</si>
  <si>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</si>
  <si>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</si>
  <si>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</si>
  <si>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</si>
  <si>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</si>
  <si>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</si>
  <si>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</si>
  <si>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</si>
  <si>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</si>
  <si>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</si>
  <si>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</si>
  <si>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</si>
  <si>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</si>
  <si>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</si>
  <si>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</si>
  <si>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</si>
  <si>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</si>
  <si>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</si>
  <si>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</si>
  <si>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</si>
  <si>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</si>
  <si>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</si>
  <si>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</si>
  <si>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</si>
  <si>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</si>
  <si>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</si>
  <si>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</si>
  <si>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</si>
  <si>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</si>
  <si>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</si>
  <si>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</si>
  <si>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</si>
  <si>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</si>
  <si>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</si>
  <si>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</si>
  <si>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</si>
  <si>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</si>
  <si>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</si>
  <si>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</si>
  <si>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</si>
  <si>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</si>
  <si>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</si>
  <si>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</si>
  <si>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</si>
  <si>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</si>
  <si>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</si>
  <si>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</si>
  <si>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</si>
  <si>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</si>
  <si>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</si>
  <si>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</si>
  <si>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</si>
  <si>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</si>
  <si>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</si>
  <si>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</si>
  <si>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</si>
  <si>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</si>
  <si>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07/99</t>
  </si>
  <si>
    <t>08/19</t>
  </si>
  <si>
    <t>08/02</t>
  </si>
  <si>
    <t>08/12</t>
  </si>
  <si>
    <t>08/06</t>
  </si>
  <si>
    <t>0/16</t>
  </si>
  <si>
    <t>8/39</t>
  </si>
  <si>
    <t>7/10</t>
  </si>
  <si>
    <t>Keene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</si>
</sst>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389D-F242-49CA-87AB-0C447712770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279</v>
      </c>
      <c r="C2" s="21">
        <v>279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4113343.02+1000-717964.36</f>
        <v>3396378.66</v>
      </c>
      <c r="G9" s="18">
        <f>248790.28+300</f>
        <v>249090.28</v>
      </c>
      <c r="H9" s="18">
        <f>29837.46+206862.98+1550.49+50354.62</f>
        <v>288605.55</v>
      </c>
      <c r="I9" s="18">
        <v>11493546.41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932693.95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127415.67999999999</v>
      </c>
      <c r="G13" s="18">
        <v>2318.4</v>
      </c>
      <c r="H13" s="18">
        <f>998931.19+7500</f>
        <v>1006431.19</v>
      </c>
      <c r="I13" s="18"/>
      <c r="J13" s="67">
        <f>SUM(I434)</f>
        <v>100000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8004.23</v>
      </c>
      <c r="G14" s="18">
        <v>7153.73</v>
      </c>
      <c r="H14" s="18">
        <f>2891.15</f>
        <v>2891.15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20873.59</v>
      </c>
      <c r="G17" s="18">
        <v>90</v>
      </c>
      <c r="H17" s="18">
        <f>1150</f>
        <v>1150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4485366.1100000003</v>
      </c>
      <c r="G19" s="41">
        <f>SUM(G9:G18)</f>
        <v>258652.41</v>
      </c>
      <c r="H19" s="41">
        <f>SUM(H9:H18)</f>
        <v>1299077.8899999999</v>
      </c>
      <c r="I19" s="41">
        <f>SUM(I9:I18)</f>
        <v>11493546.41</v>
      </c>
      <c r="J19" s="41">
        <f>SUM(J9:J18)</f>
        <v>100000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932693.95</f>
        <v>932693.95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119774.43</v>
      </c>
      <c r="G24" s="18"/>
      <c r="H24" s="18">
        <f>0.02</f>
        <v>0.02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229604</v>
      </c>
      <c r="G25" s="18">
        <v>48.9</v>
      </c>
      <c r="H25" s="18">
        <f>45800.72+639.52+1015.37</f>
        <v>47455.61</v>
      </c>
      <c r="I25" s="18">
        <v>1435238.25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>
        <v>1414813.41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304328.61</v>
      </c>
      <c r="G29" s="18">
        <v>19189.71</v>
      </c>
      <c r="H29" s="18">
        <f>20436.5+6490.66</f>
        <v>26927.16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105759.09</v>
      </c>
      <c r="G31" s="18">
        <v>19793.18</v>
      </c>
      <c r="H31" s="18">
        <f>32089.09+68565.37</f>
        <v>100654.45999999999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759466.13</v>
      </c>
      <c r="G33" s="41">
        <f>SUM(G23:G32)</f>
        <v>39031.79</v>
      </c>
      <c r="H33" s="41">
        <f>SUM(H23:H32)</f>
        <v>1107731.2</v>
      </c>
      <c r="I33" s="41">
        <f>SUM(I23:I32)</f>
        <v>2850051.66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366833.15</v>
      </c>
      <c r="G37" s="18"/>
      <c r="H37" s="18">
        <f>360</f>
        <v>360</v>
      </c>
      <c r="I37" s="18">
        <v>2151304.58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250000</v>
      </c>
      <c r="G41" s="18">
        <v>219620.62</v>
      </c>
      <c r="H41" s="18">
        <f>140632.07+50354.62</f>
        <v>190986.69</v>
      </c>
      <c r="I41" s="18">
        <v>6492190.1699999999</v>
      </c>
      <c r="J41" s="13">
        <f>SUM(I449)</f>
        <v>100000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3109066.83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3725899.98</v>
      </c>
      <c r="G43" s="41">
        <f>SUM(G35:G42)</f>
        <v>219620.62</v>
      </c>
      <c r="H43" s="41">
        <f>SUM(H35:H42)</f>
        <v>191346.69</v>
      </c>
      <c r="I43" s="41">
        <f>SUM(I35:I42)</f>
        <v>8643494.75</v>
      </c>
      <c r="J43" s="41">
        <f>SUM(J35:J42)</f>
        <v>100000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4485366.1100000003</v>
      </c>
      <c r="G44" s="41">
        <f>G43+G33</f>
        <v>258652.41</v>
      </c>
      <c r="H44" s="41">
        <f>H43+H33</f>
        <v>1299077.8899999999</v>
      </c>
      <c r="I44" s="41">
        <f>I43+I33</f>
        <v>11493546.41</v>
      </c>
      <c r="J44" s="41">
        <f>J43+J33</f>
        <v>100000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25772178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25772178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69954.600000000006</v>
      </c>
      <c r="G55" s="24" t="s">
        <v>312</v>
      </c>
      <c r="H55" s="18">
        <f>119070.02+196</f>
        <v>119266.02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5405</v>
      </c>
      <c r="G56" s="24" t="s">
        <v>312</v>
      </c>
      <c r="H56" s="18">
        <v>7899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167665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93148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6509570.6699999999</v>
      </c>
      <c r="G60" s="24" t="s">
        <v>312</v>
      </c>
      <c r="H60" s="18">
        <v>662.5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4035912.83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54566.559999999998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10675409.66</v>
      </c>
      <c r="G71" s="45" t="s">
        <v>312</v>
      </c>
      <c r="H71" s="41">
        <f>SUM(H55:H70)</f>
        <v>388640.52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13058.53</v>
      </c>
      <c r="G88" s="18">
        <v>349.19</v>
      </c>
      <c r="H88" s="18"/>
      <c r="I88" s="18"/>
      <c r="J88" s="18">
        <v>0.92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357552.64+40384.5+448722.06+30190.56+16957.27</f>
        <v>893807.03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61568.83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107368.38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>
        <v>8759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32690.720000000001</v>
      </c>
      <c r="G97" s="18"/>
      <c r="H97" s="18">
        <v>63257.1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21018.6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134320.71+67951.83</f>
        <v>202272.53999999998</v>
      </c>
      <c r="G102" s="18">
        <v>18135</v>
      </c>
      <c r="H102" s="18">
        <f>894+212.5</f>
        <v>1106.5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330609.21999999997</v>
      </c>
      <c r="G103" s="41">
        <f>SUM(G88:G102)</f>
        <v>912291.22</v>
      </c>
      <c r="H103" s="41">
        <f>SUM(H88:H102)</f>
        <v>180490.98</v>
      </c>
      <c r="I103" s="41">
        <f>SUM(I88:I102)</f>
        <v>0</v>
      </c>
      <c r="J103" s="41">
        <f>SUM(J88:J102)</f>
        <v>0.92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36778196.879999995</v>
      </c>
      <c r="G104" s="41">
        <f>G52+G103</f>
        <v>912291.22</v>
      </c>
      <c r="H104" s="41">
        <f>H52+H71+H86+H103</f>
        <v>569131.5</v>
      </c>
      <c r="I104" s="41">
        <f>I52+I103</f>
        <v>0</v>
      </c>
      <c r="J104" s="41">
        <f>J52+J103</f>
        <v>0.92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10183420.23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4211715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369349.77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14764485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1411950.45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562847.15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140162.62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12325.28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40950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2114960.2200000002</v>
      </c>
      <c r="G128" s="41">
        <f>SUM(G115:G127)</f>
        <v>12325.28</v>
      </c>
      <c r="H128" s="41">
        <f>SUM(H115:H127)</f>
        <v>40950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16879445.219999999</v>
      </c>
      <c r="G132" s="41">
        <f>G113+SUM(G128:G129)</f>
        <v>12325.28</v>
      </c>
      <c r="H132" s="41">
        <f>H113+SUM(H128:H131)</f>
        <v>40950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720086.33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370153.18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188574.27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173983.97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505050.08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1298737.48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557599.69999999995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557599.69999999995</v>
      </c>
      <c r="G154" s="41">
        <f>SUM(G142:G153)</f>
        <v>505050.08</v>
      </c>
      <c r="H154" s="41">
        <f>SUM(H142:H153)</f>
        <v>2751535.23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557599.69999999995</v>
      </c>
      <c r="G161" s="41">
        <f>G139+G154+SUM(G155:G160)</f>
        <v>505050.08</v>
      </c>
      <c r="H161" s="41">
        <f>H139+H154+SUM(H155:H160)</f>
        <v>2751535.23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29100000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>
        <v>216227.91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29316227.91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7153.73</v>
      </c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7153.73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2308.6799999999998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2308.6799999999998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2250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4558.68</v>
      </c>
      <c r="G184" s="41">
        <f>G175+SUM(G180:G183)</f>
        <v>7153.73</v>
      </c>
      <c r="H184" s="41">
        <f>+H175+SUM(H180:H183)</f>
        <v>0</v>
      </c>
      <c r="I184" s="41">
        <f>I169+I175+SUM(I180:I183)</f>
        <v>29316227.91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54219800.479999997</v>
      </c>
      <c r="G185" s="47">
        <f>G104+G132+G161+G184</f>
        <v>1436820.31</v>
      </c>
      <c r="H185" s="47">
        <f>H104+H132+H161+H184</f>
        <v>3361616.73</v>
      </c>
      <c r="I185" s="47">
        <f>I104+I132+I161+I184</f>
        <v>29316227.91</v>
      </c>
      <c r="J185" s="47">
        <f>J104+J132+J184</f>
        <v>100000.92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5244256.3499999996</v>
      </c>
      <c r="G189" s="18">
        <v>1912047.54</v>
      </c>
      <c r="H189" s="18">
        <v>101275.32</v>
      </c>
      <c r="I189" s="18">
        <v>177265.35</v>
      </c>
      <c r="J189" s="18">
        <v>21660.639999999999</v>
      </c>
      <c r="K189" s="18">
        <v>15997.52</v>
      </c>
      <c r="L189" s="19">
        <f>SUM(F189:K189)</f>
        <v>7472502.7199999988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2726572.35+103520.98</f>
        <v>2830093.33</v>
      </c>
      <c r="G190" s="18">
        <f>957948.81+46448.22</f>
        <v>1004397.03</v>
      </c>
      <c r="H190" s="18">
        <v>272843.06</v>
      </c>
      <c r="I190" s="18">
        <f>18363.19+754.98</f>
        <v>19118.169999999998</v>
      </c>
      <c r="J190" s="18">
        <f>4238.76+499</f>
        <v>4737.76</v>
      </c>
      <c r="K190" s="18"/>
      <c r="L190" s="19">
        <f>SUM(F190:K190)</f>
        <v>4131189.35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8414</v>
      </c>
      <c r="G192" s="18">
        <v>1318.24</v>
      </c>
      <c r="H192" s="18"/>
      <c r="I192" s="18">
        <v>924.88</v>
      </c>
      <c r="J192" s="18"/>
      <c r="K192" s="18"/>
      <c r="L192" s="19">
        <f>SUM(F192:K192)</f>
        <v>10657.119999999999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6809.03+304673.14+182735.86+270806.9+611039.34+181304.09</f>
        <v>1557368.36</v>
      </c>
      <c r="G194" s="18">
        <f>542.48+121874.17+64335.98+91861.23+229919.53+89629.01</f>
        <v>598162.4</v>
      </c>
      <c r="H194" s="18">
        <f>900+4450.9+1781.75+39681+111.5+58325+47228.75</f>
        <v>152478.9</v>
      </c>
      <c r="I194" s="18">
        <f>471.31+2609.75+5254.19+1901.8+342.29+2114.12+1575.32</f>
        <v>14268.779999999999</v>
      </c>
      <c r="J194" s="18"/>
      <c r="K194" s="18"/>
      <c r="L194" s="19">
        <f t="shared" ref="L194:L200" si="0">SUM(F194:K194)</f>
        <v>2322278.44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3150+1500+1000+269200.08</f>
        <v>274850.08</v>
      </c>
      <c r="G195" s="18">
        <f>503.75+324+19846.5+159.9+109036.2</f>
        <v>129870.35</v>
      </c>
      <c r="H195" s="18">
        <f>2424+38916.78+3846.43</f>
        <v>45187.21</v>
      </c>
      <c r="I195" s="18">
        <f>282.87+23336.66+9158.06</f>
        <v>32777.589999999997</v>
      </c>
      <c r="J195" s="18">
        <v>3491.97</v>
      </c>
      <c r="K195" s="18"/>
      <c r="L195" s="19">
        <f t="shared" si="0"/>
        <v>486177.20000000007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5684.21+500+1650+1800+168209.27</f>
        <v>177843.47999999998</v>
      </c>
      <c r="G196" s="18">
        <f>13227.97+456.92+39.85+131.5+143.46+57899.45+9229.41</f>
        <v>81128.56</v>
      </c>
      <c r="H196" s="18">
        <f>11423.3+11340+23685.64+408999+2055.3</f>
        <v>457503.24</v>
      </c>
      <c r="I196" s="18">
        <f>18763.12+2460.4</f>
        <v>21223.52</v>
      </c>
      <c r="J196" s="18"/>
      <c r="K196" s="18">
        <f>10541.05+5777.37</f>
        <v>16318.419999999998</v>
      </c>
      <c r="L196" s="19">
        <f t="shared" si="0"/>
        <v>754017.22000000009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755835.31</v>
      </c>
      <c r="G197" s="18">
        <v>236816.8</v>
      </c>
      <c r="H197" s="18">
        <v>34748.089999999997</v>
      </c>
      <c r="I197" s="18">
        <v>3981.65</v>
      </c>
      <c r="J197" s="18">
        <v>5673.14</v>
      </c>
      <c r="K197" s="18">
        <v>3414</v>
      </c>
      <c r="L197" s="19">
        <f t="shared" si="0"/>
        <v>1040468.9900000001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8136</v>
      </c>
      <c r="I198" s="18"/>
      <c r="J198" s="18"/>
      <c r="K198" s="18">
        <v>588.79999999999995</v>
      </c>
      <c r="L198" s="19">
        <f t="shared" si="0"/>
        <v>8724.7999999999993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500247.14</v>
      </c>
      <c r="G199" s="18">
        <v>237098.61</v>
      </c>
      <c r="H199" s="18">
        <f>194589.79+22462.08+258032</f>
        <v>475083.87</v>
      </c>
      <c r="I199" s="18">
        <v>422694.76</v>
      </c>
      <c r="J199" s="18">
        <v>11546.93</v>
      </c>
      <c r="K199" s="18">
        <v>1921.1</v>
      </c>
      <c r="L199" s="19">
        <f t="shared" si="0"/>
        <v>1648592.4100000001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231374+384025.05+19030.43</f>
        <v>634429.4800000001</v>
      </c>
      <c r="I200" s="18"/>
      <c r="J200" s="18"/>
      <c r="K200" s="18"/>
      <c r="L200" s="19">
        <f t="shared" si="0"/>
        <v>634429.4800000001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11766.26+122367.14</f>
        <v>134133.4</v>
      </c>
      <c r="G201" s="18">
        <f>7901.71+48538.87</f>
        <v>56440.58</v>
      </c>
      <c r="H201" s="18">
        <f>2061.26+3507.43+21169.48</f>
        <v>26738.17</v>
      </c>
      <c r="I201" s="18">
        <f>27.71+27697.72</f>
        <v>27725.43</v>
      </c>
      <c r="J201" s="18">
        <v>106628.04</v>
      </c>
      <c r="K201" s="18"/>
      <c r="L201" s="19">
        <f>SUM(F201:K201)</f>
        <v>351665.61999999994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11483041.450000001</v>
      </c>
      <c r="G203" s="41">
        <f t="shared" si="1"/>
        <v>4257280.1100000003</v>
      </c>
      <c r="H203" s="41">
        <f t="shared" si="1"/>
        <v>2208423.34</v>
      </c>
      <c r="I203" s="41">
        <f t="shared" si="1"/>
        <v>719980.13000000012</v>
      </c>
      <c r="J203" s="41">
        <f t="shared" si="1"/>
        <v>153738.47999999998</v>
      </c>
      <c r="K203" s="41">
        <f t="shared" si="1"/>
        <v>38239.840000000004</v>
      </c>
      <c r="L203" s="41">
        <f t="shared" si="1"/>
        <v>18860703.350000001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2946641.34</v>
      </c>
      <c r="G207" s="18">
        <v>1096578.3799999999</v>
      </c>
      <c r="H207" s="18">
        <v>1192.24</v>
      </c>
      <c r="I207" s="18">
        <v>74472.179999999993</v>
      </c>
      <c r="J207" s="18">
        <v>26294.03</v>
      </c>
      <c r="K207" s="18">
        <v>7691.38</v>
      </c>
      <c r="L207" s="19">
        <f>SUM(F207:K207)</f>
        <v>4152869.55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1046502.5</v>
      </c>
      <c r="G208" s="18">
        <v>466955.51</v>
      </c>
      <c r="H208" s="18">
        <v>909930.19</v>
      </c>
      <c r="I208" s="18">
        <v>7569.47</v>
      </c>
      <c r="J208" s="18">
        <v>3184.43</v>
      </c>
      <c r="K208" s="18"/>
      <c r="L208" s="19">
        <f>SUM(F208:K208)</f>
        <v>2434142.1000000006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44060.59+30323+6004.43+5974.5</f>
        <v>86362.51999999999</v>
      </c>
      <c r="G210" s="18">
        <f>6248.3+4500.76+922.78+942.33</f>
        <v>12614.170000000002</v>
      </c>
      <c r="H210" s="18">
        <f>4499.81+7531.3</f>
        <v>12031.11</v>
      </c>
      <c r="I210" s="18">
        <f>2126.61+10741.72</f>
        <v>12868.33</v>
      </c>
      <c r="J210" s="18"/>
      <c r="K210" s="18">
        <v>1766</v>
      </c>
      <c r="L210" s="19">
        <f>SUM(F210:K210)</f>
        <v>125642.12999999999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4539.19+176746.62+89010.99+124042.1+46273.06+17599.95+94883.57</f>
        <v>553095.48</v>
      </c>
      <c r="G212" s="18">
        <f>361.85+79379.98+46089.19+43712.36+11578.95+9603.03+42964.39</f>
        <v>233689.75</v>
      </c>
      <c r="H212" s="18">
        <f>510+4591.03+100+38857.5+175+3550+55662.5</f>
        <v>103446.03</v>
      </c>
      <c r="I212" s="18">
        <f>156.1+1908.57+1664.8+850.25+262.3</f>
        <v>4842.0200000000004</v>
      </c>
      <c r="J212" s="18">
        <v>565.21</v>
      </c>
      <c r="K212" s="18">
        <f>120+135</f>
        <v>255</v>
      </c>
      <c r="L212" s="19">
        <f t="shared" ref="L212:L218" si="2">SUM(F212:K212)</f>
        <v>895893.49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1050+1125+5632.93+105504.32</f>
        <v>113312.25</v>
      </c>
      <c r="G213" s="18">
        <f>167.9+243+14138.3+51470.2</f>
        <v>66019.399999999994</v>
      </c>
      <c r="H213" s="18">
        <f>1616+20684.26+1421.06+2021.25</f>
        <v>25742.57</v>
      </c>
      <c r="I213" s="18">
        <f>14038.69+4546.46+639.77</f>
        <v>19224.920000000002</v>
      </c>
      <c r="J213" s="18">
        <v>4587.93</v>
      </c>
      <c r="K213" s="18">
        <f>1567+270</f>
        <v>1837</v>
      </c>
      <c r="L213" s="19">
        <f t="shared" si="2"/>
        <v>230724.07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3789.63+1100+1200+90786.69</f>
        <v>96876.32</v>
      </c>
      <c r="G214" s="18">
        <f>8406.14+305+87.68+95.64+31635.61+6152.95</f>
        <v>46683.02</v>
      </c>
      <c r="H214" s="18">
        <f>78.66+7560+15844.09+272666</f>
        <v>296148.75</v>
      </c>
      <c r="I214" s="18">
        <v>7951.87</v>
      </c>
      <c r="J214" s="18"/>
      <c r="K214" s="18">
        <f>7320.7+3851.91</f>
        <v>11172.61</v>
      </c>
      <c r="L214" s="19">
        <f t="shared" si="2"/>
        <v>458832.56999999995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481236.77</v>
      </c>
      <c r="G215" s="18">
        <v>171098.18</v>
      </c>
      <c r="H215" s="18">
        <f>28754.29+313</f>
        <v>29067.29</v>
      </c>
      <c r="I215" s="18">
        <v>571.83000000000004</v>
      </c>
      <c r="J215" s="18">
        <v>20.56</v>
      </c>
      <c r="K215" s="18">
        <v>4888.6899999999996</v>
      </c>
      <c r="L215" s="19">
        <f t="shared" si="2"/>
        <v>686883.32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5424</v>
      </c>
      <c r="I216" s="18"/>
      <c r="J216" s="18"/>
      <c r="K216" s="18"/>
      <c r="L216" s="19">
        <f t="shared" si="2"/>
        <v>5424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277903.94</v>
      </c>
      <c r="G217" s="18">
        <v>127472.51</v>
      </c>
      <c r="H217" s="18">
        <v>108152.19</v>
      </c>
      <c r="I217" s="18">
        <v>290744.01</v>
      </c>
      <c r="J217" s="18">
        <v>7170.11</v>
      </c>
      <c r="K217" s="18">
        <v>1183.74</v>
      </c>
      <c r="L217" s="19">
        <f t="shared" si="2"/>
        <v>812626.5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4040.75</v>
      </c>
      <c r="G218" s="18">
        <v>525.16999999999996</v>
      </c>
      <c r="H218" s="18">
        <f>154249.01+172272.14+16000+6595.08</f>
        <v>349116.23000000004</v>
      </c>
      <c r="I218" s="18"/>
      <c r="J218" s="18"/>
      <c r="K218" s="18"/>
      <c r="L218" s="19">
        <f t="shared" si="2"/>
        <v>353682.15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7844.17+61571.69</f>
        <v>69415.86</v>
      </c>
      <c r="G219" s="18">
        <f>5292.15+30363.15</f>
        <v>35655.300000000003</v>
      </c>
      <c r="H219" s="18">
        <f>1331.58+2338.51+14993.27</f>
        <v>18663.36</v>
      </c>
      <c r="I219" s="18">
        <f>18.48+18322.15</f>
        <v>18340.63</v>
      </c>
      <c r="J219" s="18">
        <v>66583.600000000006</v>
      </c>
      <c r="K219" s="18"/>
      <c r="L219" s="19">
        <f>SUM(F219:K219)</f>
        <v>208658.75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5675387.7300000004</v>
      </c>
      <c r="G221" s="41">
        <f>SUM(G207:G220)</f>
        <v>2257291.3899999992</v>
      </c>
      <c r="H221" s="41">
        <f>SUM(H207:H220)</f>
        <v>1858913.96</v>
      </c>
      <c r="I221" s="41">
        <f>SUM(I207:I220)</f>
        <v>436585.26</v>
      </c>
      <c r="J221" s="41">
        <f>SUM(J207:J220)</f>
        <v>108405.87</v>
      </c>
      <c r="K221" s="41">
        <f t="shared" si="3"/>
        <v>28794.420000000002</v>
      </c>
      <c r="L221" s="41">
        <f t="shared" si="3"/>
        <v>10365378.630000001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5846290.4500000002</v>
      </c>
      <c r="G225" s="18">
        <v>2223208.52</v>
      </c>
      <c r="H225" s="18">
        <v>36180.1</v>
      </c>
      <c r="I225" s="18">
        <v>243645.37</v>
      </c>
      <c r="J225" s="18">
        <v>42316.19</v>
      </c>
      <c r="K225" s="18">
        <v>2346.85</v>
      </c>
      <c r="L225" s="19">
        <f>SUM(F225:K225)</f>
        <v>8393987.4800000004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1592280.35</v>
      </c>
      <c r="G226" s="18">
        <v>642679.53</v>
      </c>
      <c r="H226" s="18">
        <v>912577.94</v>
      </c>
      <c r="I226" s="18">
        <v>13212.15</v>
      </c>
      <c r="J226" s="18">
        <v>6641.26</v>
      </c>
      <c r="K226" s="18"/>
      <c r="L226" s="19">
        <f>SUM(F226:K226)</f>
        <v>3167391.2299999995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844619.12</v>
      </c>
      <c r="G227" s="18">
        <v>359653.56</v>
      </c>
      <c r="H227" s="18">
        <v>36348.39</v>
      </c>
      <c r="I227" s="18">
        <v>42095.46</v>
      </c>
      <c r="J227" s="18">
        <v>1762</v>
      </c>
      <c r="K227" s="18">
        <v>720.64</v>
      </c>
      <c r="L227" s="19">
        <f>SUM(F227:K227)</f>
        <v>1285199.1699999997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58920.56+240073.83+5837.98</f>
        <v>304832.37</v>
      </c>
      <c r="G228" s="18">
        <f>8914.02+46539.35+845.7</f>
        <v>56299.069999999992</v>
      </c>
      <c r="H228" s="18">
        <f>9575.52+89783.66</f>
        <v>99359.180000000008</v>
      </c>
      <c r="I228" s="18">
        <f>1949+22168.03</f>
        <v>24117.03</v>
      </c>
      <c r="J228" s="18">
        <v>6402.69</v>
      </c>
      <c r="K228" s="18">
        <v>6513</v>
      </c>
      <c r="L228" s="19">
        <f>SUM(F228:K228)</f>
        <v>497523.34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11348.23+494623.8+134239.87+72563.23+10201.06+189000.14</f>
        <v>911976.33</v>
      </c>
      <c r="G230" s="18">
        <f>904.62+205413.77+59016.07+18519.29+2993.69+65464.52</f>
        <v>352311.95999999996</v>
      </c>
      <c r="H230" s="18">
        <f>968.5+5783+1799.03+16093.36+4154.11+5175+14832+254672.5</f>
        <v>303477.5</v>
      </c>
      <c r="I230" s="18">
        <f>624.58+2444.16+1750.31+358.38</f>
        <v>5177.4299999999994</v>
      </c>
      <c r="J230" s="18">
        <f>213.53+1073.45</f>
        <v>1286.98</v>
      </c>
      <c r="K230" s="18">
        <f>405+70</f>
        <v>475</v>
      </c>
      <c r="L230" s="19">
        <f t="shared" ref="L230:L236" si="4">SUM(F230:K230)</f>
        <v>1574705.2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2450+1965+1800+106780.86</f>
        <v>112995.86</v>
      </c>
      <c r="G231" s="18">
        <f>391.84+386.82+33384.77+73901.15</f>
        <v>108064.57999999999</v>
      </c>
      <c r="H231" s="18">
        <f>4040+24260.14+1325</f>
        <v>29625.14</v>
      </c>
      <c r="I231" s="18">
        <f>649.66+59160.63+97.04</f>
        <v>59907.33</v>
      </c>
      <c r="J231" s="18">
        <v>11641.62</v>
      </c>
      <c r="K231" s="18">
        <f>1688.54+230</f>
        <v>1918.54</v>
      </c>
      <c r="L231" s="19">
        <f t="shared" si="4"/>
        <v>324153.07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9474.18+2750+3000+147564.34</f>
        <v>162788.51999999999</v>
      </c>
      <c r="G232" s="18">
        <f>11747+762.61+219.18+239.1+58709.13+15382.51</f>
        <v>87059.53</v>
      </c>
      <c r="H232" s="18">
        <f>18900+88801.74+681664</f>
        <v>789365.74</v>
      </c>
      <c r="I232" s="18">
        <v>34840.68</v>
      </c>
      <c r="J232" s="18"/>
      <c r="K232" s="18">
        <f>17518.43+11146.55</f>
        <v>28664.98</v>
      </c>
      <c r="L232" s="19">
        <f t="shared" si="4"/>
        <v>1102719.45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901441.45</v>
      </c>
      <c r="G233" s="18">
        <v>343487.62</v>
      </c>
      <c r="H233" s="18">
        <v>65600.740000000005</v>
      </c>
      <c r="I233" s="18">
        <f>22188.33+12295.92</f>
        <v>34484.25</v>
      </c>
      <c r="J233" s="18">
        <v>5047.5</v>
      </c>
      <c r="K233" s="18">
        <v>9984</v>
      </c>
      <c r="L233" s="19">
        <f t="shared" si="4"/>
        <v>1360045.5599999998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11440</v>
      </c>
      <c r="I234" s="18"/>
      <c r="J234" s="18"/>
      <c r="K234" s="18">
        <v>6500</v>
      </c>
      <c r="L234" s="19">
        <f t="shared" si="4"/>
        <v>17940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634760.11+92697.74+47.13+9830.25</f>
        <v>737335.23</v>
      </c>
      <c r="G235" s="18">
        <f>294857.98+63518.21+3.61+1728.93</f>
        <v>360108.73</v>
      </c>
      <c r="H235" s="18">
        <f>283787.39+50853.21+63803+1900.75+382979.2</f>
        <v>783323.55</v>
      </c>
      <c r="I235" s="18">
        <f>778077.63+25188.18</f>
        <v>803265.81</v>
      </c>
      <c r="J235" s="18">
        <f>18568.94+6316.62</f>
        <v>24885.559999999998</v>
      </c>
      <c r="K235" s="18">
        <v>3236.11</v>
      </c>
      <c r="L235" s="19">
        <f t="shared" si="4"/>
        <v>2712154.99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385623.99+186623.09+2327.79+126152+19873.22</f>
        <v>720600.09</v>
      </c>
      <c r="I236" s="18"/>
      <c r="J236" s="18"/>
      <c r="K236" s="18"/>
      <c r="L236" s="19">
        <f t="shared" si="4"/>
        <v>720600.09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19610.46+59620.19</f>
        <v>79230.649999999994</v>
      </c>
      <c r="G237" s="18">
        <f>13230.9+30262.24</f>
        <v>43493.14</v>
      </c>
      <c r="H237" s="18">
        <f>3328.64+5845.59+28593.75</f>
        <v>37767.979999999996</v>
      </c>
      <c r="I237" s="18">
        <f>46.2+44828.63</f>
        <v>44874.829999999994</v>
      </c>
      <c r="J237" s="18">
        <v>182303.02</v>
      </c>
      <c r="K237" s="18"/>
      <c r="L237" s="19">
        <f>SUM(F237:K237)</f>
        <v>387669.62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11493790.33</v>
      </c>
      <c r="G239" s="41">
        <f t="shared" si="5"/>
        <v>4576366.2399999993</v>
      </c>
      <c r="H239" s="41">
        <f t="shared" si="5"/>
        <v>3825666.35</v>
      </c>
      <c r="I239" s="41">
        <f t="shared" si="5"/>
        <v>1305620.3400000001</v>
      </c>
      <c r="J239" s="41">
        <f t="shared" si="5"/>
        <v>282286.82</v>
      </c>
      <c r="K239" s="41">
        <f t="shared" si="5"/>
        <v>60359.119999999995</v>
      </c>
      <c r="L239" s="41">
        <f t="shared" si="5"/>
        <v>21544089.200000003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160000</v>
      </c>
      <c r="I247" s="18"/>
      <c r="J247" s="18"/>
      <c r="K247" s="18">
        <v>4279.45</v>
      </c>
      <c r="L247" s="19">
        <f t="shared" si="6"/>
        <v>164279.45000000001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160000</v>
      </c>
      <c r="I248" s="41">
        <f t="shared" si="7"/>
        <v>0</v>
      </c>
      <c r="J248" s="41">
        <f t="shared" si="7"/>
        <v>0</v>
      </c>
      <c r="K248" s="41">
        <f t="shared" si="7"/>
        <v>4279.45</v>
      </c>
      <c r="L248" s="41">
        <f>SUM(F248:K248)</f>
        <v>164279.45000000001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28652219.509999998</v>
      </c>
      <c r="G249" s="41">
        <f t="shared" si="8"/>
        <v>11090937.739999998</v>
      </c>
      <c r="H249" s="41">
        <f t="shared" si="8"/>
        <v>8053003.6500000004</v>
      </c>
      <c r="I249" s="41">
        <f t="shared" si="8"/>
        <v>2462185.7300000004</v>
      </c>
      <c r="J249" s="41">
        <f t="shared" si="8"/>
        <v>544431.16999999993</v>
      </c>
      <c r="K249" s="41">
        <f t="shared" si="8"/>
        <v>131672.83000000002</v>
      </c>
      <c r="L249" s="41">
        <f t="shared" si="8"/>
        <v>50934450.63000001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2098241.84</v>
      </c>
      <c r="L252" s="19">
        <f>SUM(F252:K252)</f>
        <v>2098241.84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492929.29</v>
      </c>
      <c r="L253" s="19">
        <f>SUM(F253:K253)</f>
        <v>492929.29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2724.96+1476.18+2952.59</f>
        <v>7153.7300000000005</v>
      </c>
      <c r="L255" s="19">
        <f>SUM(F255:K255)</f>
        <v>7153.7300000000005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2698324.86</v>
      </c>
      <c r="L262" s="41">
        <f t="shared" si="9"/>
        <v>2698324.86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28652219.509999998</v>
      </c>
      <c r="G263" s="42">
        <f t="shared" si="11"/>
        <v>11090937.739999998</v>
      </c>
      <c r="H263" s="42">
        <f t="shared" si="11"/>
        <v>8053003.6500000004</v>
      </c>
      <c r="I263" s="42">
        <f t="shared" si="11"/>
        <v>2462185.7300000004</v>
      </c>
      <c r="J263" s="42">
        <f t="shared" si="11"/>
        <v>544431.16999999993</v>
      </c>
      <c r="K263" s="42">
        <f t="shared" si="11"/>
        <v>2829997.69</v>
      </c>
      <c r="L263" s="42">
        <f t="shared" si="11"/>
        <v>53632775.49000001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468271.1</v>
      </c>
      <c r="G268" s="18">
        <v>181066.12</v>
      </c>
      <c r="H268" s="18">
        <f>3684.33+5444.7</f>
        <v>9129.0299999999988</v>
      </c>
      <c r="I268" s="18">
        <f>98832.98+4729.2</f>
        <v>103562.18</v>
      </c>
      <c r="J268" s="18">
        <f>108856.98+18924.25</f>
        <v>127781.23</v>
      </c>
      <c r="K268" s="18"/>
      <c r="L268" s="19">
        <f>SUM(F268:K268)</f>
        <v>889809.65999999992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321065.59999999998</v>
      </c>
      <c r="G269" s="18">
        <v>126894.89</v>
      </c>
      <c r="H269" s="18">
        <v>2893</v>
      </c>
      <c r="I269" s="18">
        <f>22049.49+2128.84</f>
        <v>24178.33</v>
      </c>
      <c r="J269" s="18">
        <v>37804.400000000001</v>
      </c>
      <c r="K269" s="18"/>
      <c r="L269" s="19">
        <f>SUM(F269:K269)</f>
        <v>512836.22000000003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12057</v>
      </c>
      <c r="G271" s="18">
        <v>1808.34</v>
      </c>
      <c r="H271" s="18">
        <v>2726</v>
      </c>
      <c r="I271" s="18">
        <v>632.29999999999995</v>
      </c>
      <c r="J271" s="18"/>
      <c r="K271" s="18">
        <v>446.85</v>
      </c>
      <c r="L271" s="19">
        <f>SUM(F271:K271)</f>
        <v>17670.489999999998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13437.68+25358+29200</f>
        <v>67995.679999999993</v>
      </c>
      <c r="G273" s="18">
        <f>1070.62+11673.44+2327.1</f>
        <v>15071.160000000002</v>
      </c>
      <c r="H273" s="18">
        <f>54022.88+17943+13025</f>
        <v>84990.88</v>
      </c>
      <c r="I273" s="18">
        <v>1490.27</v>
      </c>
      <c r="J273" s="18"/>
      <c r="K273" s="18">
        <v>5987.55</v>
      </c>
      <c r="L273" s="19">
        <f t="shared" ref="L273:L279" si="12">SUM(F273:K273)</f>
        <v>175535.53999999998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2715+10500+138559.74+1998</f>
        <v>153772.74</v>
      </c>
      <c r="G274" s="18">
        <f>437.49+1679.04+64959.39+331.11</f>
        <v>67407.03</v>
      </c>
      <c r="H274" s="18">
        <f>1701.05+118407.88+18937.5+22840+67968.75+43932.78</f>
        <v>273787.95999999996</v>
      </c>
      <c r="I274" s="18">
        <f>12206.15+1824+174.47</f>
        <v>14204.619999999999</v>
      </c>
      <c r="J274" s="18">
        <f>676.8</f>
        <v>676.8</v>
      </c>
      <c r="K274" s="18"/>
      <c r="L274" s="19">
        <f t="shared" si="12"/>
        <v>509849.14999999997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36836.54</v>
      </c>
      <c r="G275" s="18">
        <v>13731.83</v>
      </c>
      <c r="H275" s="18">
        <f>434.5+12805.23</f>
        <v>13239.73</v>
      </c>
      <c r="I275" s="18">
        <v>514.34</v>
      </c>
      <c r="J275" s="18">
        <f>500+304.77</f>
        <v>804.77</v>
      </c>
      <c r="K275" s="18"/>
      <c r="L275" s="19">
        <f t="shared" si="12"/>
        <v>65127.21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>
        <v>6332.4</v>
      </c>
      <c r="I277" s="18"/>
      <c r="J277" s="18"/>
      <c r="K277" s="18">
        <f>73009.63+5217.95</f>
        <v>78227.58</v>
      </c>
      <c r="L277" s="19">
        <f t="shared" si="12"/>
        <v>84559.98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1149.3800000000001</v>
      </c>
      <c r="G278" s="18">
        <v>91.64</v>
      </c>
      <c r="H278" s="18">
        <v>10115.040000000001</v>
      </c>
      <c r="I278" s="18"/>
      <c r="J278" s="18"/>
      <c r="K278" s="18"/>
      <c r="L278" s="19">
        <f t="shared" si="12"/>
        <v>11356.060000000001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762.5</v>
      </c>
      <c r="I279" s="18"/>
      <c r="J279" s="18"/>
      <c r="K279" s="18"/>
      <c r="L279" s="19">
        <f t="shared" si="12"/>
        <v>762.5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1061148.0399999998</v>
      </c>
      <c r="G282" s="42">
        <f t="shared" si="13"/>
        <v>406071.01000000007</v>
      </c>
      <c r="H282" s="42">
        <f t="shared" si="13"/>
        <v>403976.54</v>
      </c>
      <c r="I282" s="42">
        <f t="shared" si="13"/>
        <v>144582.04</v>
      </c>
      <c r="J282" s="42">
        <f t="shared" si="13"/>
        <v>167067.19999999998</v>
      </c>
      <c r="K282" s="42">
        <f t="shared" si="13"/>
        <v>84661.98</v>
      </c>
      <c r="L282" s="41">
        <f t="shared" si="13"/>
        <v>2267506.81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v>3629.8</v>
      </c>
      <c r="I287" s="18">
        <v>3152.8</v>
      </c>
      <c r="J287" s="18">
        <v>12616.17</v>
      </c>
      <c r="K287" s="18"/>
      <c r="L287" s="19">
        <f>SUM(F287:K287)</f>
        <v>19398.77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1332</v>
      </c>
      <c r="G293" s="18">
        <v>220.74</v>
      </c>
      <c r="H293" s="18">
        <v>29288.52</v>
      </c>
      <c r="I293" s="18">
        <v>116.31</v>
      </c>
      <c r="J293" s="18">
        <v>451.2</v>
      </c>
      <c r="K293" s="18"/>
      <c r="L293" s="19">
        <f t="shared" si="14"/>
        <v>31408.770000000004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8536.82</v>
      </c>
      <c r="I294" s="18"/>
      <c r="J294" s="18">
        <v>203.18</v>
      </c>
      <c r="K294" s="18"/>
      <c r="L294" s="19">
        <f t="shared" si="14"/>
        <v>8740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>
        <v>4221.6000000000004</v>
      </c>
      <c r="I296" s="18"/>
      <c r="J296" s="18"/>
      <c r="K296" s="18">
        <v>3478.63</v>
      </c>
      <c r="L296" s="19">
        <f t="shared" si="14"/>
        <v>7700.2300000000005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766.25</v>
      </c>
      <c r="G297" s="18">
        <v>61.1</v>
      </c>
      <c r="H297" s="18">
        <v>6743.36</v>
      </c>
      <c r="I297" s="18"/>
      <c r="J297" s="18"/>
      <c r="K297" s="18"/>
      <c r="L297" s="19">
        <f t="shared" si="14"/>
        <v>7570.71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2098.25</v>
      </c>
      <c r="G301" s="42">
        <f t="shared" si="15"/>
        <v>281.84000000000003</v>
      </c>
      <c r="H301" s="42">
        <f t="shared" si="15"/>
        <v>52420.1</v>
      </c>
      <c r="I301" s="42">
        <f t="shared" si="15"/>
        <v>3269.11</v>
      </c>
      <c r="J301" s="42">
        <f t="shared" si="15"/>
        <v>13270.550000000001</v>
      </c>
      <c r="K301" s="42">
        <f t="shared" si="15"/>
        <v>3478.63</v>
      </c>
      <c r="L301" s="41">
        <f t="shared" si="15"/>
        <v>74818.48000000001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36000</v>
      </c>
      <c r="G306" s="18">
        <v>12349.39</v>
      </c>
      <c r="H306" s="18">
        <f>177835+9074.5</f>
        <v>186909.5</v>
      </c>
      <c r="I306" s="18">
        <v>7882</v>
      </c>
      <c r="J306" s="18">
        <v>31540.41</v>
      </c>
      <c r="K306" s="18"/>
      <c r="L306" s="19">
        <f>SUM(F306:K306)</f>
        <v>274681.3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88894.81</v>
      </c>
      <c r="G307" s="18">
        <v>43181.94</v>
      </c>
      <c r="H307" s="18">
        <v>373.22</v>
      </c>
      <c r="I307" s="18"/>
      <c r="J307" s="18">
        <v>474.78</v>
      </c>
      <c r="K307" s="18"/>
      <c r="L307" s="19">
        <f>SUM(F307:K307)</f>
        <v>132924.75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v>18929</v>
      </c>
      <c r="I308" s="18">
        <v>6410.65</v>
      </c>
      <c r="J308" s="18">
        <v>54402.19</v>
      </c>
      <c r="K308" s="18">
        <v>1453.71</v>
      </c>
      <c r="L308" s="19">
        <f>SUM(F308:K308)</f>
        <v>81195.55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2025</v>
      </c>
      <c r="G309" s="18">
        <v>323.81</v>
      </c>
      <c r="H309" s="18"/>
      <c r="I309" s="18">
        <v>954.02</v>
      </c>
      <c r="J309" s="18"/>
      <c r="K309" s="18"/>
      <c r="L309" s="19">
        <f>SUM(F309:K309)</f>
        <v>3302.83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1075+22224.04</f>
        <v>23299.040000000001</v>
      </c>
      <c r="G311" s="18">
        <f>86.68+13432.39</f>
        <v>13519.07</v>
      </c>
      <c r="H311" s="18"/>
      <c r="I311" s="18">
        <f>2295+1492.5</f>
        <v>3787.5</v>
      </c>
      <c r="J311" s="18"/>
      <c r="K311" s="18"/>
      <c r="L311" s="19">
        <f t="shared" ref="L311:L317" si="16">SUM(F311:K311)</f>
        <v>40605.61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6490+3330</f>
        <v>9820</v>
      </c>
      <c r="G312" s="18">
        <f>1046.86+551.84</f>
        <v>1598.6999999999998</v>
      </c>
      <c r="H312" s="18">
        <f>23109.29+73221.31</f>
        <v>96330.6</v>
      </c>
      <c r="I312" s="18">
        <v>290.77</v>
      </c>
      <c r="J312" s="18">
        <v>1128</v>
      </c>
      <c r="K312" s="18">
        <f>3864.35</f>
        <v>3864.35</v>
      </c>
      <c r="L312" s="19">
        <f t="shared" si="16"/>
        <v>113032.42000000001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21342.05</v>
      </c>
      <c r="I313" s="18"/>
      <c r="J313" s="18">
        <v>507.94</v>
      </c>
      <c r="K313" s="18"/>
      <c r="L313" s="19">
        <f t="shared" si="16"/>
        <v>21849.989999999998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>
        <v>949.53</v>
      </c>
      <c r="K314" s="18"/>
      <c r="L314" s="19">
        <f t="shared" si="16"/>
        <v>949.53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>
        <v>10554</v>
      </c>
      <c r="I315" s="18"/>
      <c r="J315" s="18"/>
      <c r="K315" s="18">
        <f>3490.64+8696.57</f>
        <v>12187.21</v>
      </c>
      <c r="L315" s="19">
        <f t="shared" si="16"/>
        <v>22741.21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1915.62</v>
      </c>
      <c r="G316" s="18">
        <v>152.74</v>
      </c>
      <c r="H316" s="18">
        <v>16858.400000000001</v>
      </c>
      <c r="I316" s="18"/>
      <c r="J316" s="18"/>
      <c r="K316" s="18"/>
      <c r="L316" s="19">
        <f t="shared" si="16"/>
        <v>18926.760000000002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161954.47</v>
      </c>
      <c r="G320" s="42">
        <f t="shared" si="17"/>
        <v>71125.649999999994</v>
      </c>
      <c r="H320" s="42">
        <f t="shared" si="17"/>
        <v>351296.77</v>
      </c>
      <c r="I320" s="42">
        <f t="shared" si="17"/>
        <v>19324.939999999999</v>
      </c>
      <c r="J320" s="42">
        <f t="shared" si="17"/>
        <v>89002.85</v>
      </c>
      <c r="K320" s="42">
        <f t="shared" si="17"/>
        <v>17505.269999999997</v>
      </c>
      <c r="L320" s="41">
        <f t="shared" si="17"/>
        <v>710209.95000000007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f>1408</f>
        <v>1408</v>
      </c>
      <c r="I324" s="18"/>
      <c r="J324" s="18"/>
      <c r="K324" s="18"/>
      <c r="L324" s="19">
        <f t="shared" ref="L324:L329" si="18">SUM(F324:K324)</f>
        <v>1408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279886.5</v>
      </c>
      <c r="G325" s="18">
        <v>74653.08</v>
      </c>
      <c r="H325" s="18">
        <v>51249.88</v>
      </c>
      <c r="I325" s="18">
        <v>14633.42</v>
      </c>
      <c r="J325" s="18">
        <v>1218.83</v>
      </c>
      <c r="K325" s="18">
        <v>9134.48</v>
      </c>
      <c r="L325" s="19">
        <f t="shared" si="18"/>
        <v>430776.19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279886.5</v>
      </c>
      <c r="G329" s="41">
        <f t="shared" si="19"/>
        <v>74653.08</v>
      </c>
      <c r="H329" s="41">
        <f t="shared" si="19"/>
        <v>52657.88</v>
      </c>
      <c r="I329" s="41">
        <f t="shared" si="19"/>
        <v>14633.42</v>
      </c>
      <c r="J329" s="41">
        <f t="shared" si="19"/>
        <v>1218.83</v>
      </c>
      <c r="K329" s="41">
        <f t="shared" si="19"/>
        <v>9134.48</v>
      </c>
      <c r="L329" s="41">
        <f t="shared" si="18"/>
        <v>432184.19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1505087.2599999998</v>
      </c>
      <c r="G330" s="41">
        <f t="shared" si="20"/>
        <v>552131.58000000007</v>
      </c>
      <c r="H330" s="41">
        <f t="shared" si="20"/>
        <v>860351.28999999992</v>
      </c>
      <c r="I330" s="41">
        <f t="shared" si="20"/>
        <v>181809.51</v>
      </c>
      <c r="J330" s="41">
        <f t="shared" si="20"/>
        <v>270559.43</v>
      </c>
      <c r="K330" s="41">
        <f t="shared" si="20"/>
        <v>114780.36</v>
      </c>
      <c r="L330" s="41">
        <f t="shared" si="20"/>
        <v>3484719.43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1505087.2599999998</v>
      </c>
      <c r="G344" s="41">
        <f>G330</f>
        <v>552131.58000000007</v>
      </c>
      <c r="H344" s="41">
        <f>H330</f>
        <v>860351.28999999992</v>
      </c>
      <c r="I344" s="41">
        <f>I330</f>
        <v>181809.51</v>
      </c>
      <c r="J344" s="41">
        <f>J330</f>
        <v>270559.43</v>
      </c>
      <c r="K344" s="47">
        <f>K330+K343</f>
        <v>114780.36</v>
      </c>
      <c r="L344" s="41">
        <f>L330+L343</f>
        <v>3484719.43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198538.15</v>
      </c>
      <c r="G350" s="18">
        <v>60993.82</v>
      </c>
      <c r="H350" s="18">
        <v>10595.01</v>
      </c>
      <c r="I350" s="18">
        <v>50326.34</v>
      </c>
      <c r="J350" s="18">
        <v>4765.07</v>
      </c>
      <c r="K350" s="18">
        <v>80</v>
      </c>
      <c r="L350" s="13">
        <f>SUM(F350:K350)</f>
        <v>325298.38999999996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63950.6</v>
      </c>
      <c r="G351" s="18">
        <v>21704.89</v>
      </c>
      <c r="H351" s="18">
        <v>677.15</v>
      </c>
      <c r="I351" s="18">
        <v>106722.65</v>
      </c>
      <c r="J351" s="18"/>
      <c r="K351" s="18">
        <v>272.25</v>
      </c>
      <c r="L351" s="19">
        <f>SUM(F351:K351)</f>
        <v>193327.53999999998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262114.56</v>
      </c>
      <c r="G352" s="18">
        <v>80389.490000000005</v>
      </c>
      <c r="H352" s="18">
        <v>27114.93</v>
      </c>
      <c r="I352" s="18">
        <v>580532.31000000006</v>
      </c>
      <c r="J352" s="18">
        <v>10337.57</v>
      </c>
      <c r="K352" s="18">
        <v>4311.97</v>
      </c>
      <c r="L352" s="19">
        <f>SUM(F352:K352)</f>
        <v>964800.83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524603.31000000006</v>
      </c>
      <c r="G354" s="47">
        <f t="shared" si="22"/>
        <v>163088.20000000001</v>
      </c>
      <c r="H354" s="47">
        <f t="shared" si="22"/>
        <v>38387.089999999997</v>
      </c>
      <c r="I354" s="47">
        <f t="shared" si="22"/>
        <v>737581.3</v>
      </c>
      <c r="J354" s="47">
        <f t="shared" si="22"/>
        <v>15102.64</v>
      </c>
      <c r="K354" s="47">
        <f t="shared" si="22"/>
        <v>4664.22</v>
      </c>
      <c r="L354" s="47">
        <f t="shared" si="22"/>
        <v>1483426.7599999998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49281.99</v>
      </c>
      <c r="G359" s="18">
        <f>101224.92+1589.5</f>
        <v>102814.42</v>
      </c>
      <c r="H359" s="18">
        <f>548328.4+4851</f>
        <v>553179.4</v>
      </c>
      <c r="I359" s="56">
        <f>SUM(F359:H359)</f>
        <v>705275.81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-96.2+1140.55</f>
        <v>1044.3499999999999</v>
      </c>
      <c r="G360" s="63">
        <v>3908.23</v>
      </c>
      <c r="H360" s="63">
        <v>27352.91</v>
      </c>
      <c r="I360" s="56">
        <f>SUM(F360:H360)</f>
        <v>32305.489999999998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50326.34</v>
      </c>
      <c r="G361" s="47">
        <f>SUM(G359:G360)</f>
        <v>106722.65</v>
      </c>
      <c r="H361" s="47">
        <f>SUM(H359:H360)</f>
        <v>580532.31000000006</v>
      </c>
      <c r="I361" s="47">
        <f>SUM(I359:I360)</f>
        <v>737581.3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402987.68</v>
      </c>
      <c r="I368" s="18"/>
      <c r="J368" s="18"/>
      <c r="K368" s="18"/>
      <c r="L368" s="13">
        <f t="shared" si="23"/>
        <v>402987.68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64790.73</v>
      </c>
      <c r="G370" s="18">
        <v>26353.52</v>
      </c>
      <c r="H370" s="18">
        <v>22081917.300000001</v>
      </c>
      <c r="I370" s="18">
        <v>6785.99</v>
      </c>
      <c r="J370" s="18">
        <v>939245.82</v>
      </c>
      <c r="K370" s="18">
        <v>166956.85999999999</v>
      </c>
      <c r="L370" s="13">
        <f t="shared" si="23"/>
        <v>23286050.219999999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11283</v>
      </c>
      <c r="I371" s="18"/>
      <c r="J371" s="18"/>
      <c r="K371" s="18"/>
      <c r="L371" s="13">
        <f t="shared" si="23"/>
        <v>11283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57102.44</v>
      </c>
      <c r="I372" s="18"/>
      <c r="J372" s="18"/>
      <c r="K372" s="18">
        <v>130854</v>
      </c>
      <c r="L372" s="13">
        <f t="shared" si="23"/>
        <v>187956.44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64790.73</v>
      </c>
      <c r="G374" s="139">
        <f t="shared" ref="G374:L374" si="24">SUM(G366:G373)</f>
        <v>26353.52</v>
      </c>
      <c r="H374" s="139">
        <f t="shared" si="24"/>
        <v>22553290.420000002</v>
      </c>
      <c r="I374" s="41">
        <f t="shared" si="24"/>
        <v>6785.99</v>
      </c>
      <c r="J374" s="47">
        <f t="shared" si="24"/>
        <v>939245.82</v>
      </c>
      <c r="K374" s="47">
        <f t="shared" si="24"/>
        <v>297810.86</v>
      </c>
      <c r="L374" s="47">
        <f t="shared" si="24"/>
        <v>23888277.34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0.92</v>
      </c>
      <c r="I384" s="18"/>
      <c r="J384" s="24" t="s">
        <v>312</v>
      </c>
      <c r="K384" s="24" t="s">
        <v>312</v>
      </c>
      <c r="L384" s="56">
        <f t="shared" si="25"/>
        <v>0.92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0.92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0.92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100000</v>
      </c>
      <c r="H388" s="18"/>
      <c r="I388" s="18"/>
      <c r="J388" s="24" t="s">
        <v>312</v>
      </c>
      <c r="K388" s="24" t="s">
        <v>312</v>
      </c>
      <c r="L388" s="56">
        <f t="shared" si="26"/>
        <v>100000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0.92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100000.92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2308.6799999999998</v>
      </c>
      <c r="L418" s="56">
        <f t="shared" si="29"/>
        <v>2308.6799999999998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2308.6799999999998</v>
      </c>
      <c r="L419" s="47">
        <f t="shared" si="30"/>
        <v>2308.6799999999998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2308.6799999999998</v>
      </c>
      <c r="L426" s="47">
        <f t="shared" si="32"/>
        <v>2308.6799999999998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100000</v>
      </c>
      <c r="H434" s="18"/>
      <c r="I434" s="56">
        <f t="shared" si="33"/>
        <v>100000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100000</v>
      </c>
      <c r="H438" s="13">
        <f>SUM(H431:H437)</f>
        <v>0</v>
      </c>
      <c r="I438" s="13">
        <f>SUM(I431:I437)</f>
        <v>100000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100000</v>
      </c>
      <c r="H449" s="18"/>
      <c r="I449" s="56">
        <f>SUM(F449:H449)</f>
        <v>100000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100000</v>
      </c>
      <c r="H450" s="83">
        <f>SUM(H446:H449)</f>
        <v>0</v>
      </c>
      <c r="I450" s="83">
        <f>SUM(I446:I449)</f>
        <v>100000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100000</v>
      </c>
      <c r="H451" s="42">
        <f>H444+H450</f>
        <v>0</v>
      </c>
      <c r="I451" s="42">
        <f>I444+I450</f>
        <v>100000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3138874.99</v>
      </c>
      <c r="G455" s="18">
        <v>265704.84000000003</v>
      </c>
      <c r="H455" s="18">
        <v>304675.89</v>
      </c>
      <c r="I455" s="18">
        <v>-30022250.120000001</v>
      </c>
      <c r="J455" s="18">
        <v>2307.7600000000002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54219800.479999997</v>
      </c>
      <c r="G458" s="18">
        <v>1436820.31</v>
      </c>
      <c r="H458" s="18">
        <f>2751535.23+107368.38+501642.12+1071</f>
        <v>3361616.73</v>
      </c>
      <c r="I458" s="18">
        <v>29316227.91</v>
      </c>
      <c r="J458" s="18">
        <f>100000+0.92</f>
        <v>100000.92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522.23</v>
      </c>
      <c r="H459" s="18">
        <f>1373.5+8400</f>
        <v>9773.5</v>
      </c>
      <c r="I459" s="18">
        <f>23644709+9500000+93085.3</f>
        <v>33237794.300000001</v>
      </c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54219800.479999997</v>
      </c>
      <c r="G460" s="53">
        <f>SUM(G458:G459)</f>
        <v>1437342.54</v>
      </c>
      <c r="H460" s="53">
        <f>SUM(H458:H459)</f>
        <v>3371390.23</v>
      </c>
      <c r="I460" s="53">
        <f>SUM(I458:I459)</f>
        <v>62554022.210000001</v>
      </c>
      <c r="J460" s="53">
        <f>SUM(J458:J459)</f>
        <v>100000.92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53632775.490000002</v>
      </c>
      <c r="G462" s="18">
        <v>1483426.76</v>
      </c>
      <c r="H462" s="18">
        <f>2751535.23+107368.38+503559.82+122256</f>
        <v>3484719.4299999997</v>
      </c>
      <c r="I462" s="18">
        <v>23888277.34</v>
      </c>
      <c r="J462" s="18">
        <v>2308.6799999999998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53632775.490000002</v>
      </c>
      <c r="G464" s="53">
        <f>SUM(G462:G463)</f>
        <v>1483426.76</v>
      </c>
      <c r="H464" s="53">
        <f>SUM(H462:H463)</f>
        <v>3484719.4299999997</v>
      </c>
      <c r="I464" s="53">
        <f>SUM(I462:I463)</f>
        <v>23888277.34</v>
      </c>
      <c r="J464" s="53">
        <f>SUM(J462:J463)</f>
        <v>2308.6799999999998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3725899.9799999967</v>
      </c>
      <c r="G466" s="53">
        <f>(G455+G460)- G464</f>
        <v>219620.62000000011</v>
      </c>
      <c r="H466" s="53">
        <f>(H455+H460)- H464</f>
        <v>191346.69000000041</v>
      </c>
      <c r="I466" s="53">
        <f>(I455+I460)- I464</f>
        <v>8643494.75</v>
      </c>
      <c r="J466" s="53">
        <f>(J455+J460)- J464</f>
        <v>100000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10</v>
      </c>
      <c r="I480" s="154">
        <v>29</v>
      </c>
      <c r="J480" s="154">
        <v>29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901</v>
      </c>
      <c r="J481" s="155" t="s">
        <v>901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900</v>
      </c>
      <c r="J482" s="155" t="s">
        <v>900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17500000</v>
      </c>
      <c r="G483" s="18">
        <v>1500000</v>
      </c>
      <c r="H483" s="18">
        <v>1225000</v>
      </c>
      <c r="I483" s="18">
        <v>35115529.659999996</v>
      </c>
      <c r="J483" s="18">
        <v>1817970.34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>
        <v>3.23</v>
      </c>
      <c r="H484" s="18">
        <v>3.79</v>
      </c>
      <c r="I484" s="18">
        <v>4.4409999999999998</v>
      </c>
      <c r="J484" s="18">
        <v>4.4400000000000004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8750000</v>
      </c>
      <c r="G485" s="18">
        <v>450000</v>
      </c>
      <c r="H485" s="18">
        <v>850000</v>
      </c>
      <c r="I485" s="18">
        <v>0</v>
      </c>
      <c r="J485" s="18">
        <v>0</v>
      </c>
      <c r="K485" s="53">
        <f>SUM(F485:J485)</f>
        <v>10050000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>
        <v>35115529.659999996</v>
      </c>
      <c r="J486" s="18">
        <v>1817970.34</v>
      </c>
      <c r="K486" s="53">
        <f t="shared" ref="K486:K493" si="34">SUM(F486:J486)</f>
        <v>36933500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875000</v>
      </c>
      <c r="G487" s="18">
        <v>150000</v>
      </c>
      <c r="H487" s="18">
        <v>125000</v>
      </c>
      <c r="I487" s="18">
        <v>901566.76</v>
      </c>
      <c r="J487" s="18">
        <v>46675.13</v>
      </c>
      <c r="K487" s="53">
        <f t="shared" si="34"/>
        <v>2098241.89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7875000</v>
      </c>
      <c r="G488" s="205">
        <v>300000</v>
      </c>
      <c r="H488" s="205">
        <v>725000</v>
      </c>
      <c r="I488" s="205">
        <v>34213962.899999999</v>
      </c>
      <c r="J488" s="205">
        <v>1771295.21</v>
      </c>
      <c r="K488" s="206">
        <f t="shared" si="34"/>
        <v>44885258.109999999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1860468.75</v>
      </c>
      <c r="G489" s="18">
        <v>10800</v>
      </c>
      <c r="H489" s="18">
        <v>82143.75</v>
      </c>
      <c r="I489" s="18">
        <v>31016935.370000001</v>
      </c>
      <c r="J489" s="18">
        <v>1607645.27</v>
      </c>
      <c r="K489" s="53">
        <f t="shared" si="34"/>
        <v>34577993.140000001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9735468.75</v>
      </c>
      <c r="G490" s="42">
        <f>SUM(G488:G489)</f>
        <v>310800</v>
      </c>
      <c r="H490" s="42">
        <f>SUM(H488:H489)</f>
        <v>807143.75</v>
      </c>
      <c r="I490" s="42">
        <f>SUM(I488:I489)</f>
        <v>65230898.269999996</v>
      </c>
      <c r="J490" s="42">
        <f>SUM(J488:J489)</f>
        <v>3378940.48</v>
      </c>
      <c r="K490" s="42">
        <f t="shared" si="34"/>
        <v>79463251.25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875000</v>
      </c>
      <c r="G491" s="205">
        <v>150000</v>
      </c>
      <c r="H491" s="205">
        <v>125000</v>
      </c>
      <c r="I491" s="205">
        <f>1372302.85+751452.89</f>
        <v>2123755.7400000002</v>
      </c>
      <c r="J491" s="205">
        <f>71045.65+38903.56</f>
        <v>109949.20999999999</v>
      </c>
      <c r="K491" s="206">
        <f t="shared" si="34"/>
        <v>3383704.95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390468.75</v>
      </c>
      <c r="G492" s="18">
        <v>8100</v>
      </c>
      <c r="H492" s="18">
        <v>25143.75</v>
      </c>
      <c r="I492" s="18">
        <f>69540.08+56630.48</f>
        <v>126170.56</v>
      </c>
      <c r="J492" s="18">
        <f>3600.17+2931.82</f>
        <v>6531.99</v>
      </c>
      <c r="K492" s="53">
        <f t="shared" si="34"/>
        <v>556415.05000000005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1265468.75</v>
      </c>
      <c r="G493" s="42">
        <f>SUM(G491:G492)</f>
        <v>158100</v>
      </c>
      <c r="H493" s="42">
        <f>SUM(H491:H492)</f>
        <v>150143.75</v>
      </c>
      <c r="I493" s="42">
        <f>SUM(I491:I492)</f>
        <v>2249926.3000000003</v>
      </c>
      <c r="J493" s="42">
        <f>SUM(J491:J492)</f>
        <v>116481.2</v>
      </c>
      <c r="K493" s="42">
        <f t="shared" si="34"/>
        <v>3940120.0000000005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3047637.95</v>
      </c>
      <c r="G511" s="18">
        <v>1084843.7</v>
      </c>
      <c r="H511" s="18">
        <f>275736.06+1408</f>
        <v>277144.06</v>
      </c>
      <c r="I511" s="18">
        <v>40412.68</v>
      </c>
      <c r="J511" s="18">
        <v>42043.16</v>
      </c>
      <c r="K511" s="18"/>
      <c r="L511" s="88">
        <f>SUM(F511:K511)</f>
        <v>4492081.55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1046502.5</v>
      </c>
      <c r="G512" s="18">
        <v>466955.51</v>
      </c>
      <c r="H512" s="18">
        <v>909930.19</v>
      </c>
      <c r="I512" s="18">
        <v>7569.47</v>
      </c>
      <c r="J512" s="18">
        <v>3184.43</v>
      </c>
      <c r="K512" s="18"/>
      <c r="L512" s="88">
        <f>SUM(F512:K512)</f>
        <v>2434142.1000000006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1681175.16</v>
      </c>
      <c r="G513" s="18">
        <v>685861.47</v>
      </c>
      <c r="H513" s="18">
        <v>912577.94</v>
      </c>
      <c r="I513" s="18">
        <v>13212.15</v>
      </c>
      <c r="J513" s="18">
        <v>6641.26</v>
      </c>
      <c r="K513" s="18"/>
      <c r="L513" s="88">
        <f>SUM(F513:K513)</f>
        <v>3299467.9799999995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5775315.6100000003</v>
      </c>
      <c r="G514" s="108">
        <f t="shared" ref="G514:L514" si="35">SUM(G511:G513)</f>
        <v>2237660.6799999997</v>
      </c>
      <c r="H514" s="108">
        <f t="shared" si="35"/>
        <v>2099652.19</v>
      </c>
      <c r="I514" s="108">
        <f t="shared" si="35"/>
        <v>61194.3</v>
      </c>
      <c r="J514" s="108">
        <f t="shared" si="35"/>
        <v>51868.850000000006</v>
      </c>
      <c r="K514" s="108">
        <f t="shared" si="35"/>
        <v>0</v>
      </c>
      <c r="L514" s="89">
        <f t="shared" si="35"/>
        <v>10225691.629999999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12522.07+270806.9+624477.02+206662.09+29200+138559.74</f>
        <v>1282227.82</v>
      </c>
      <c r="G516" s="18">
        <f>2008.79+91861.23+230990.15+101302.45+2327.1+64959.39</f>
        <v>493449.11</v>
      </c>
      <c r="H516" s="18">
        <f>3650+39681+54134.38+58325+65171.75+1100+92616.22+18937.5+22840+71815.18</f>
        <v>428271.02999999997</v>
      </c>
      <c r="I516" s="18">
        <f>5254.19+3392.07+342.29+2114.12+12206.15+1824</f>
        <v>25132.82</v>
      </c>
      <c r="J516" s="18"/>
      <c r="K516" s="18"/>
      <c r="L516" s="88">
        <f>SUM(F516:K516)</f>
        <v>2229080.7799999998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124042.1+46273.06+17599.95+94883.57</f>
        <v>282798.68000000005</v>
      </c>
      <c r="G517" s="18">
        <f>43712.36+11578.95+9603.03+42964.39</f>
        <v>107858.73</v>
      </c>
      <c r="H517" s="18">
        <f>38857.5+175+3550+55662.5+5268.1+2021.25</f>
        <v>105534.35</v>
      </c>
      <c r="I517" s="18">
        <f>1664.8+850.25+262.3+639.77</f>
        <v>3417.1200000000003</v>
      </c>
      <c r="J517" s="18">
        <v>565.21</v>
      </c>
      <c r="K517" s="18"/>
      <c r="L517" s="88">
        <f>SUM(F517:K517)</f>
        <v>500174.09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6768.05+72563.23+10201.06+144024.18</f>
        <v>233556.52</v>
      </c>
      <c r="G518" s="18">
        <f>3124.45+18519.29+2993.69+51070.7</f>
        <v>75708.13</v>
      </c>
      <c r="H518" s="18">
        <f>16093.36+4154.11+5175+14832+254672.5+2175.4</f>
        <v>297102.37</v>
      </c>
      <c r="I518" s="18">
        <f>1750.31+358.38+97.04</f>
        <v>2205.73</v>
      </c>
      <c r="J518" s="18"/>
      <c r="K518" s="18"/>
      <c r="L518" s="88">
        <f>SUM(F518:K518)</f>
        <v>608572.75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1798583.02</v>
      </c>
      <c r="G519" s="89">
        <f t="shared" ref="G519:L519" si="36">SUM(G516:G518)</f>
        <v>677015.97</v>
      </c>
      <c r="H519" s="89">
        <f t="shared" si="36"/>
        <v>830907.75</v>
      </c>
      <c r="I519" s="89">
        <f t="shared" si="36"/>
        <v>30755.67</v>
      </c>
      <c r="J519" s="89">
        <f t="shared" si="36"/>
        <v>565.21</v>
      </c>
      <c r="K519" s="89">
        <f t="shared" si="36"/>
        <v>0</v>
      </c>
      <c r="L519" s="89">
        <f t="shared" si="36"/>
        <v>3337827.6199999996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143709.15</v>
      </c>
      <c r="G521" s="18">
        <v>54185.56</v>
      </c>
      <c r="H521" s="18">
        <v>2055.3000000000002</v>
      </c>
      <c r="I521" s="18">
        <v>2460.4</v>
      </c>
      <c r="J521" s="18"/>
      <c r="K521" s="18">
        <v>46242.96</v>
      </c>
      <c r="L521" s="88">
        <f>SUM(F521:K521)</f>
        <v>248653.36999999997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64952.94</v>
      </c>
      <c r="G522" s="18">
        <v>27476.76</v>
      </c>
      <c r="H522" s="18"/>
      <c r="I522" s="18"/>
      <c r="J522" s="18"/>
      <c r="K522" s="18"/>
      <c r="L522" s="88">
        <f>SUM(F522:K522)</f>
        <v>92429.7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98797.48</v>
      </c>
      <c r="G523" s="18">
        <v>50896.3</v>
      </c>
      <c r="H523" s="18">
        <v>418</v>
      </c>
      <c r="I523" s="18">
        <v>334.25</v>
      </c>
      <c r="J523" s="18"/>
      <c r="K523" s="18"/>
      <c r="L523" s="88">
        <f>SUM(F523:K523)</f>
        <v>150446.03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307459.57</v>
      </c>
      <c r="G524" s="89">
        <f t="shared" ref="G524:L524" si="37">SUM(G521:G523)</f>
        <v>132558.62</v>
      </c>
      <c r="H524" s="89">
        <f t="shared" si="37"/>
        <v>2473.3000000000002</v>
      </c>
      <c r="I524" s="89">
        <f t="shared" si="37"/>
        <v>2794.65</v>
      </c>
      <c r="J524" s="89">
        <f t="shared" si="37"/>
        <v>0</v>
      </c>
      <c r="K524" s="89">
        <f t="shared" si="37"/>
        <v>46242.96</v>
      </c>
      <c r="L524" s="89">
        <f t="shared" si="37"/>
        <v>491529.1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49071.03</v>
      </c>
      <c r="I528" s="18"/>
      <c r="J528" s="18"/>
      <c r="K528" s="18"/>
      <c r="L528" s="88">
        <f>SUM(F528:K528)</f>
        <v>49071.03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49071.03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49071.03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384025.05+650</f>
        <v>384675.05</v>
      </c>
      <c r="I531" s="18"/>
      <c r="J531" s="18"/>
      <c r="K531" s="18"/>
      <c r="L531" s="88">
        <f>SUM(F531:K531)</f>
        <v>384675.05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172272.14+2280</f>
        <v>174552.14</v>
      </c>
      <c r="I532" s="18"/>
      <c r="J532" s="18"/>
      <c r="K532" s="18"/>
      <c r="L532" s="88">
        <f>SUM(F532:K532)</f>
        <v>174552.14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186623.09+952</f>
        <v>187575.09</v>
      </c>
      <c r="I533" s="18"/>
      <c r="J533" s="18"/>
      <c r="K533" s="18"/>
      <c r="L533" s="88">
        <f>SUM(F533:K533)</f>
        <v>187575.09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746802.27999999991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746802.27999999991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7881358.2000000011</v>
      </c>
      <c r="G535" s="89">
        <f t="shared" ref="G535:L535" si="40">G514+G519+G524+G529+G534</f>
        <v>3047235.2699999996</v>
      </c>
      <c r="H535" s="89">
        <f t="shared" si="40"/>
        <v>3728906.5499999993</v>
      </c>
      <c r="I535" s="89">
        <f t="shared" si="40"/>
        <v>94744.62</v>
      </c>
      <c r="J535" s="89">
        <f t="shared" si="40"/>
        <v>52434.060000000005</v>
      </c>
      <c r="K535" s="89">
        <f t="shared" si="40"/>
        <v>46242.96</v>
      </c>
      <c r="L535" s="89">
        <f t="shared" si="40"/>
        <v>14850921.659999996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4492081.55</v>
      </c>
      <c r="G539" s="87">
        <f>L516</f>
        <v>2229080.7799999998</v>
      </c>
      <c r="H539" s="87">
        <f>L521</f>
        <v>248653.36999999997</v>
      </c>
      <c r="I539" s="87">
        <f>L526</f>
        <v>0</v>
      </c>
      <c r="J539" s="87">
        <f>L531</f>
        <v>384675.05</v>
      </c>
      <c r="K539" s="87">
        <f>SUM(F539:J539)</f>
        <v>7354490.75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2434142.1000000006</v>
      </c>
      <c r="G540" s="87">
        <f>L517</f>
        <v>500174.09</v>
      </c>
      <c r="H540" s="87">
        <f>L522</f>
        <v>92429.7</v>
      </c>
      <c r="I540" s="87">
        <f>L527</f>
        <v>0</v>
      </c>
      <c r="J540" s="87">
        <f>L532</f>
        <v>174552.14</v>
      </c>
      <c r="K540" s="87">
        <f>SUM(F540:J540)</f>
        <v>3201298.0300000007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3299467.9799999995</v>
      </c>
      <c r="G541" s="87">
        <f>L518</f>
        <v>608572.75</v>
      </c>
      <c r="H541" s="87">
        <f>L523</f>
        <v>150446.03</v>
      </c>
      <c r="I541" s="87">
        <f>L528</f>
        <v>49071.03</v>
      </c>
      <c r="J541" s="87">
        <f>L533</f>
        <v>187575.09</v>
      </c>
      <c r="K541" s="87">
        <f>SUM(F541:J541)</f>
        <v>4295132.879999999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10225691.629999999</v>
      </c>
      <c r="G542" s="89">
        <f t="shared" si="41"/>
        <v>3337827.6199999996</v>
      </c>
      <c r="H542" s="89">
        <f t="shared" si="41"/>
        <v>491529.1</v>
      </c>
      <c r="I542" s="89">
        <f t="shared" si="41"/>
        <v>49071.03</v>
      </c>
      <c r="J542" s="89">
        <f t="shared" si="41"/>
        <v>746802.27999999991</v>
      </c>
      <c r="K542" s="89">
        <f t="shared" si="41"/>
        <v>14850921.66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103520.98</v>
      </c>
      <c r="G552" s="18">
        <f>28350+1400+251.16+384.7+7427.64+8302.41+332.31</f>
        <v>46448.22</v>
      </c>
      <c r="H552" s="18">
        <v>939</v>
      </c>
      <c r="I552" s="18">
        <v>754.98</v>
      </c>
      <c r="J552" s="18">
        <v>499</v>
      </c>
      <c r="K552" s="18"/>
      <c r="L552" s="88">
        <f>SUM(F552:K552)</f>
        <v>152162.18000000002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103520.98</v>
      </c>
      <c r="G555" s="89">
        <f t="shared" si="43"/>
        <v>46448.22</v>
      </c>
      <c r="H555" s="89">
        <f t="shared" si="43"/>
        <v>939</v>
      </c>
      <c r="I555" s="89">
        <f t="shared" si="43"/>
        <v>754.98</v>
      </c>
      <c r="J555" s="89">
        <f t="shared" si="43"/>
        <v>499</v>
      </c>
      <c r="K555" s="89">
        <f t="shared" si="43"/>
        <v>0</v>
      </c>
      <c r="L555" s="89">
        <f t="shared" si="43"/>
        <v>152162.18000000002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103520.98</v>
      </c>
      <c r="G561" s="89">
        <f t="shared" ref="G561:L561" si="45">G550+G555+G560</f>
        <v>46448.22</v>
      </c>
      <c r="H561" s="89">
        <f t="shared" si="45"/>
        <v>939</v>
      </c>
      <c r="I561" s="89">
        <f t="shared" si="45"/>
        <v>754.98</v>
      </c>
      <c r="J561" s="89">
        <f t="shared" si="45"/>
        <v>499</v>
      </c>
      <c r="K561" s="89">
        <f t="shared" si="45"/>
        <v>0</v>
      </c>
      <c r="L561" s="89">
        <f t="shared" si="45"/>
        <v>152162.18000000002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249280.53</v>
      </c>
      <c r="G569" s="18">
        <v>908068.51</v>
      </c>
      <c r="H569" s="18">
        <v>835692.98</v>
      </c>
      <c r="I569" s="87">
        <f t="shared" si="46"/>
        <v>1993042.02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231374</v>
      </c>
      <c r="I581" s="18">
        <v>154249.01</v>
      </c>
      <c r="J581" s="18">
        <v>385623.99</v>
      </c>
      <c r="K581" s="104">
        <f t="shared" ref="K581:K587" si="47">SUM(H581:J581)</f>
        <v>771247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384025.05+650</f>
        <v>384675.05</v>
      </c>
      <c r="I582" s="18">
        <f>172272.14+2280</f>
        <v>174552.14</v>
      </c>
      <c r="J582" s="18">
        <f>186623.09+477+475</f>
        <v>187575.09</v>
      </c>
      <c r="K582" s="104">
        <f t="shared" si="47"/>
        <v>746802.27999999991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2327.79</v>
      </c>
      <c r="K583" s="104">
        <f t="shared" si="47"/>
        <v>2327.79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16000</v>
      </c>
      <c r="J584" s="18">
        <v>126152</v>
      </c>
      <c r="K584" s="104">
        <f t="shared" si="47"/>
        <v>142152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19030.43-650</f>
        <v>18380.43</v>
      </c>
      <c r="I585" s="18">
        <f>6595.08-2280</f>
        <v>4315.08</v>
      </c>
      <c r="J585" s="18">
        <f>19873.22-477-475</f>
        <v>18921.22</v>
      </c>
      <c r="K585" s="104">
        <f t="shared" si="47"/>
        <v>41616.730000000003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4565.92</v>
      </c>
      <c r="J587" s="18"/>
      <c r="K587" s="104">
        <f t="shared" si="47"/>
        <v>4565.92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634429.4800000001</v>
      </c>
      <c r="I588" s="108">
        <f>SUM(I581:I587)</f>
        <v>353682.15</v>
      </c>
      <c r="J588" s="108">
        <f>SUM(J581:J587)</f>
        <v>720600.09</v>
      </c>
      <c r="K588" s="108">
        <f>SUM(K581:K587)</f>
        <v>1708711.7199999997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300899.86+12721.12+677</f>
        <v>314297.98</v>
      </c>
      <c r="I594" s="18">
        <f>108405.87+451</f>
        <v>108856.87</v>
      </c>
      <c r="J594" s="18">
        <f>338113.32+52594.43+1128</f>
        <v>391835.75</v>
      </c>
      <c r="K594" s="104">
        <f>SUM(H594:J594)</f>
        <v>814990.6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314297.98</v>
      </c>
      <c r="I595" s="108">
        <f>SUM(I592:I594)</f>
        <v>108856.87</v>
      </c>
      <c r="J595" s="108">
        <f>SUM(J592:J594)</f>
        <v>391835.75</v>
      </c>
      <c r="K595" s="108">
        <f>SUM(K592:K594)</f>
        <v>814990.6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12057</v>
      </c>
      <c r="G601" s="18">
        <f>922.38+854.28+31.68</f>
        <v>1808.34</v>
      </c>
      <c r="H601" s="18">
        <f>2726+632.3</f>
        <v>3358.3</v>
      </c>
      <c r="I601" s="18"/>
      <c r="J601" s="18"/>
      <c r="K601" s="18"/>
      <c r="L601" s="88">
        <f>SUM(F601:K601)</f>
        <v>17223.64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6004.43</v>
      </c>
      <c r="G602" s="18">
        <f>459.33+441.16+22.29</f>
        <v>922.78</v>
      </c>
      <c r="H602" s="18"/>
      <c r="I602" s="18"/>
      <c r="J602" s="18"/>
      <c r="K602" s="18"/>
      <c r="L602" s="88">
        <f>SUM(F602:K602)</f>
        <v>6927.21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7862.98</v>
      </c>
      <c r="G603" s="18">
        <f>601.54+542.82+25.15</f>
        <v>1169.5100000000002</v>
      </c>
      <c r="H603" s="18"/>
      <c r="I603" s="18">
        <v>954.02</v>
      </c>
      <c r="J603" s="18"/>
      <c r="K603" s="18"/>
      <c r="L603" s="88">
        <f>SUM(F603:K603)</f>
        <v>9986.51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25924.41</v>
      </c>
      <c r="G604" s="108">
        <f t="shared" si="48"/>
        <v>3900.63</v>
      </c>
      <c r="H604" s="108">
        <f t="shared" si="48"/>
        <v>3358.3</v>
      </c>
      <c r="I604" s="108">
        <f t="shared" si="48"/>
        <v>954.02</v>
      </c>
      <c r="J604" s="108">
        <f t="shared" si="48"/>
        <v>0</v>
      </c>
      <c r="K604" s="108">
        <f t="shared" si="48"/>
        <v>0</v>
      </c>
      <c r="L604" s="89">
        <f t="shared" si="48"/>
        <v>34137.360000000001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4485366.1100000003</v>
      </c>
      <c r="H607" s="109">
        <f>SUM(F44)</f>
        <v>4485366.1100000003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258652.41</v>
      </c>
      <c r="H608" s="109">
        <f>SUM(G44)</f>
        <v>258652.41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1299077.8899999999</v>
      </c>
      <c r="H609" s="109">
        <f>SUM(H44)</f>
        <v>1299077.8899999999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11493546.41</v>
      </c>
      <c r="H610" s="109">
        <f>SUM(I44)</f>
        <v>11493546.41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100000</v>
      </c>
      <c r="H611" s="109">
        <f>SUM(J44)</f>
        <v>100000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3725899.98</v>
      </c>
      <c r="H612" s="109">
        <f>F466</f>
        <v>3725899.9799999967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219620.62</v>
      </c>
      <c r="H613" s="109">
        <f>G466</f>
        <v>219620.62000000011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191346.69</v>
      </c>
      <c r="H614" s="109">
        <f>H466</f>
        <v>191346.69000000041</v>
      </c>
      <c r="I614" s="121" t="s">
        <v>110</v>
      </c>
      <c r="J614" s="109">
        <f t="shared" si="49"/>
        <v>-4.0745362639427185E-10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8643494.75</v>
      </c>
      <c r="H615" s="109">
        <f>I466</f>
        <v>8643494.75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100000</v>
      </c>
      <c r="H616" s="109">
        <f>J466</f>
        <v>100000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54219800.479999997</v>
      </c>
      <c r="H617" s="104">
        <f>SUM(F458)</f>
        <v>54219800.479999997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1436820.31</v>
      </c>
      <c r="H618" s="104">
        <f>SUM(G458)</f>
        <v>1436820.31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3361616.73</v>
      </c>
      <c r="H619" s="104">
        <f>SUM(H458)</f>
        <v>3361616.73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29316227.91</v>
      </c>
      <c r="H620" s="104">
        <f>SUM(I458)</f>
        <v>29316227.91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100000.92</v>
      </c>
      <c r="H621" s="104">
        <f>SUM(J458)</f>
        <v>100000.92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53632775.49000001</v>
      </c>
      <c r="H622" s="104">
        <f>SUM(F462)</f>
        <v>53632775.490000002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3484719.43</v>
      </c>
      <c r="H623" s="104">
        <f>SUM(H462)</f>
        <v>3484719.4299999997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737581.3</v>
      </c>
      <c r="H624" s="104">
        <f>I361</f>
        <v>737581.3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1483426.7599999998</v>
      </c>
      <c r="H625" s="104">
        <f>SUM(G462)</f>
        <v>1483426.76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23888277.34</v>
      </c>
      <c r="H626" s="104">
        <f>SUM(I462)</f>
        <v>23888277.34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100000.92</v>
      </c>
      <c r="H627" s="164">
        <f>SUM(J458)</f>
        <v>100000.92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2308.6799999999998</v>
      </c>
      <c r="H628" s="164">
        <f>SUM(J462)</f>
        <v>2308.6799999999998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100000</v>
      </c>
      <c r="H630" s="104">
        <f>SUM(G451)</f>
        <v>100000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100000</v>
      </c>
      <c r="H632" s="104">
        <f>SUM(I451)</f>
        <v>100000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0.92</v>
      </c>
      <c r="H634" s="104">
        <f>H400</f>
        <v>0.92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100000.92</v>
      </c>
      <c r="H636" s="104">
        <f>L400</f>
        <v>100000.92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1708711.7199999997</v>
      </c>
      <c r="H637" s="104">
        <f>L200+L218+L236</f>
        <v>1708711.7200000002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814990.6</v>
      </c>
      <c r="H638" s="104">
        <f>(J249+J330)-(J247+J328)</f>
        <v>814990.59999999986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634429.4800000001</v>
      </c>
      <c r="H639" s="104">
        <f>H588</f>
        <v>634429.4800000001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353682.15</v>
      </c>
      <c r="H640" s="104">
        <f>I588</f>
        <v>353682.15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720600.09</v>
      </c>
      <c r="H641" s="104">
        <f>J588</f>
        <v>720600.09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7153.73</v>
      </c>
      <c r="H642" s="104">
        <f>K255+K337</f>
        <v>7153.7300000000005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21453508.550000001</v>
      </c>
      <c r="G650" s="19">
        <f>(L221+L301+L351)</f>
        <v>10633524.65</v>
      </c>
      <c r="H650" s="19">
        <f>(L239+L320+L352)</f>
        <v>23219099.98</v>
      </c>
      <c r="I650" s="19">
        <f>SUM(F650:H650)</f>
        <v>55306133.180000007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199978.3758332172</v>
      </c>
      <c r="G651" s="19">
        <f>(L351/IF(SUM(L350:L352)=0,1,SUM(L350:L352))*(SUM(G89:G102)))</f>
        <v>118848.81278702711</v>
      </c>
      <c r="H651" s="19">
        <f>(L352/IF(SUM(L350:L352)=0,1,SUM(L350:L352))*(SUM(G89:G102)))</f>
        <v>593114.84137975576</v>
      </c>
      <c r="I651" s="19">
        <f>SUM(F651:H651)</f>
        <v>911942.03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635191.9800000001</v>
      </c>
      <c r="G652" s="19">
        <f>(L218+L298)-(J218+J298)</f>
        <v>353682.15</v>
      </c>
      <c r="H652" s="19">
        <f>(L236+L317)-(J236+J317)</f>
        <v>720600.09</v>
      </c>
      <c r="I652" s="19">
        <f>SUM(F652:H652)</f>
        <v>1709474.2200000002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580802.15</v>
      </c>
      <c r="G653" s="200">
        <f>SUM(G565:G577)+SUM(I592:I594)+L602</f>
        <v>1023852.59</v>
      </c>
      <c r="H653" s="200">
        <f>SUM(H565:H577)+SUM(J592:J594)+L603</f>
        <v>1237515.24</v>
      </c>
      <c r="I653" s="19">
        <f>SUM(F653:H653)</f>
        <v>2842169.98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20037536.044166785</v>
      </c>
      <c r="G654" s="19">
        <f>G650-SUM(G651:G653)</f>
        <v>9137141.097212974</v>
      </c>
      <c r="H654" s="19">
        <f>H650-SUM(H651:H653)</f>
        <v>20667869.808620244</v>
      </c>
      <c r="I654" s="19">
        <f>I650-SUM(I651:I653)</f>
        <v>49842546.950000003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1216.1300000000001</v>
      </c>
      <c r="G655" s="249">
        <v>581.89</v>
      </c>
      <c r="H655" s="249">
        <v>1558.45</v>
      </c>
      <c r="I655" s="19">
        <f>SUM(F655:H655)</f>
        <v>3356.4700000000003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16476.48</v>
      </c>
      <c r="G657" s="19">
        <f>ROUND(G654/G655,2)</f>
        <v>15702.52</v>
      </c>
      <c r="H657" s="19">
        <f>ROUND(H654/H655,2)</f>
        <v>13261.81</v>
      </c>
      <c r="I657" s="19">
        <f>ROUND(I654/I655,2)</f>
        <v>14849.69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15.44</v>
      </c>
      <c r="I660" s="19">
        <f>SUM(F660:H660)</f>
        <v>15.44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16476.48</v>
      </c>
      <c r="G662" s="19">
        <f>ROUND((G654+G659)/(G655+G660),2)</f>
        <v>15702.52</v>
      </c>
      <c r="H662" s="19">
        <f>ROUND((H654+H659)/(H655+H660),2)</f>
        <v>13131.71</v>
      </c>
      <c r="I662" s="19">
        <f>ROUND((I654+I659)/(I655+I660),2)</f>
        <v>14781.7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7E64-040D-43D7-863D-C7B99F8C4ECF}">
  <sheetPr>
    <tabColor indexed="20"/>
  </sheetPr>
  <dimension ref="A1:C52"/>
  <sheetViews>
    <sheetView workbookViewId="0">
      <selection activeCell="H46" sqref="H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Keene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14541459.24</v>
      </c>
      <c r="C9" s="230">
        <f>'DOE25'!G189+'DOE25'!G207+'DOE25'!G225+'DOE25'!G268+'DOE25'!G287+'DOE25'!G306</f>
        <v>5425249.9499999993</v>
      </c>
    </row>
    <row r="10" spans="1:3" x14ac:dyDescent="0.2">
      <c r="A10" t="s">
        <v>810</v>
      </c>
      <c r="B10" s="241">
        <v>12334864.800000001</v>
      </c>
      <c r="C10" s="241">
        <v>5044222.82</v>
      </c>
    </row>
    <row r="11" spans="1:3" x14ac:dyDescent="0.2">
      <c r="A11" t="s">
        <v>811</v>
      </c>
      <c r="B11" s="241">
        <v>638378.31000000006</v>
      </c>
      <c r="C11" s="241">
        <v>261058.59</v>
      </c>
    </row>
    <row r="12" spans="1:3" x14ac:dyDescent="0.2">
      <c r="A12" t="s">
        <v>812</v>
      </c>
      <c r="B12" s="241">
        <v>1568216.13</v>
      </c>
      <c r="C12" s="241">
        <v>119968.54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14541459.240000002</v>
      </c>
      <c r="C13" s="232">
        <f>SUM(C10:C12)</f>
        <v>5425249.9500000002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5878836.5899999989</v>
      </c>
      <c r="C18" s="230">
        <f>'DOE25'!G190+'DOE25'!G208+'DOE25'!G226+'DOE25'!G269+'DOE25'!G288+'DOE25'!G307</f>
        <v>2284108.9000000004</v>
      </c>
    </row>
    <row r="19" spans="1:3" x14ac:dyDescent="0.2">
      <c r="A19" t="s">
        <v>810</v>
      </c>
      <c r="B19" s="241">
        <v>3066340.12</v>
      </c>
      <c r="C19" s="241">
        <v>1625984.84</v>
      </c>
    </row>
    <row r="20" spans="1:3" x14ac:dyDescent="0.2">
      <c r="A20" t="s">
        <v>811</v>
      </c>
      <c r="B20" s="241">
        <v>976197.51</v>
      </c>
      <c r="C20" s="241">
        <v>517647.19</v>
      </c>
    </row>
    <row r="21" spans="1:3" x14ac:dyDescent="0.2">
      <c r="A21" t="s">
        <v>812</v>
      </c>
      <c r="B21" s="241">
        <v>1836298.96</v>
      </c>
      <c r="C21" s="241">
        <v>140476.87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5878836.5899999999</v>
      </c>
      <c r="C22" s="232">
        <f>SUM(C19:C21)</f>
        <v>2284108.9000000004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844619.12</v>
      </c>
      <c r="C27" s="235">
        <f>'DOE25'!G191+'DOE25'!G209+'DOE25'!G227+'DOE25'!G270+'DOE25'!G289+'DOE25'!G308</f>
        <v>359653.56</v>
      </c>
    </row>
    <row r="28" spans="1:3" x14ac:dyDescent="0.2">
      <c r="A28" t="s">
        <v>810</v>
      </c>
      <c r="B28" s="241">
        <v>801570.16</v>
      </c>
      <c r="C28" s="241">
        <v>341322.56</v>
      </c>
    </row>
    <row r="29" spans="1:3" x14ac:dyDescent="0.2">
      <c r="A29" t="s">
        <v>811</v>
      </c>
      <c r="B29" s="241">
        <v>43048.959999999999</v>
      </c>
      <c r="C29" s="241">
        <v>18331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844619.12</v>
      </c>
      <c r="C31" s="232">
        <f>SUM(C28:C30)</f>
        <v>359653.56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413690.89</v>
      </c>
      <c r="C36" s="236">
        <f>'DOE25'!G192+'DOE25'!G210+'DOE25'!G228+'DOE25'!G271+'DOE25'!G290+'DOE25'!G309</f>
        <v>72363.62999999999</v>
      </c>
    </row>
    <row r="37" spans="1:3" x14ac:dyDescent="0.2">
      <c r="A37" t="s">
        <v>810</v>
      </c>
      <c r="B37" s="241">
        <v>311464.74</v>
      </c>
      <c r="C37" s="241">
        <v>54482.03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102226.15</v>
      </c>
      <c r="C39" s="241">
        <v>17881.599999999999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413690.89</v>
      </c>
      <c r="C40" s="232">
        <f>SUM(C37:C39)</f>
        <v>72363.63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2D59-7978-46AF-9B72-87406A852AA5}">
  <sheetPr>
    <tabColor indexed="11"/>
  </sheetPr>
  <dimension ref="A1:I51"/>
  <sheetViews>
    <sheetView workbookViewId="0">
      <pane ySplit="4" topLeftCell="A8" activePane="bottomLeft" state="frozen"/>
      <selection pane="bottomLeft" activeCell="E36" sqref="E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Keene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31671104.189999998</v>
      </c>
      <c r="D5" s="20">
        <f>SUM('DOE25'!L189:L192)+SUM('DOE25'!L207:L210)+SUM('DOE25'!L225:L228)-F5-G5</f>
        <v>31523069.799999997</v>
      </c>
      <c r="E5" s="244"/>
      <c r="F5" s="256">
        <f>SUM('DOE25'!J189:J192)+SUM('DOE25'!J207:J210)+SUM('DOE25'!J225:J228)</f>
        <v>112999</v>
      </c>
      <c r="G5" s="53">
        <f>SUM('DOE25'!K189:K192)+SUM('DOE25'!K207:K210)+SUM('DOE25'!K225:K228)</f>
        <v>35035.39</v>
      </c>
      <c r="H5" s="260"/>
    </row>
    <row r="6" spans="1:9" x14ac:dyDescent="0.2">
      <c r="A6" s="32">
        <v>2100</v>
      </c>
      <c r="B6" t="s">
        <v>832</v>
      </c>
      <c r="C6" s="246">
        <f t="shared" si="0"/>
        <v>4792877.13</v>
      </c>
      <c r="D6" s="20">
        <f>'DOE25'!L194+'DOE25'!L212+'DOE25'!L230-F6-G6</f>
        <v>4790294.9399999995</v>
      </c>
      <c r="E6" s="244"/>
      <c r="F6" s="256">
        <f>'DOE25'!J194+'DOE25'!J212+'DOE25'!J230</f>
        <v>1852.19</v>
      </c>
      <c r="G6" s="53">
        <f>'DOE25'!K194+'DOE25'!K212+'DOE25'!K230</f>
        <v>730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1041054.3400000001</v>
      </c>
      <c r="D7" s="20">
        <f>'DOE25'!L195+'DOE25'!L213+'DOE25'!L231-F7-G7</f>
        <v>1017577.28</v>
      </c>
      <c r="E7" s="244"/>
      <c r="F7" s="256">
        <f>'DOE25'!J195+'DOE25'!J213+'DOE25'!J231</f>
        <v>19721.52</v>
      </c>
      <c r="G7" s="53">
        <f>'DOE25'!K195+'DOE25'!K213+'DOE25'!K231</f>
        <v>3755.54</v>
      </c>
      <c r="H7" s="260"/>
    </row>
    <row r="8" spans="1:9" x14ac:dyDescent="0.2">
      <c r="A8" s="32">
        <v>2300</v>
      </c>
      <c r="B8" t="s">
        <v>833</v>
      </c>
      <c r="C8" s="246">
        <f t="shared" si="0"/>
        <v>1743683.0600000005</v>
      </c>
      <c r="D8" s="244"/>
      <c r="E8" s="20">
        <f>'DOE25'!L196+'DOE25'!L214+'DOE25'!L232-F8-G8-D9-D11</f>
        <v>1687527.0500000005</v>
      </c>
      <c r="F8" s="256">
        <f>'DOE25'!J196+'DOE25'!J214+'DOE25'!J232</f>
        <v>0</v>
      </c>
      <c r="G8" s="53">
        <f>'DOE25'!K196+'DOE25'!K214+'DOE25'!K232</f>
        <v>56156.009999999995</v>
      </c>
      <c r="H8" s="260"/>
    </row>
    <row r="9" spans="1:9" x14ac:dyDescent="0.2">
      <c r="A9" s="32">
        <v>2310</v>
      </c>
      <c r="B9" t="s">
        <v>849</v>
      </c>
      <c r="C9" s="246">
        <f t="shared" si="0"/>
        <v>362155.18</v>
      </c>
      <c r="D9" s="245">
        <v>362155.18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37800</v>
      </c>
      <c r="D10" s="244"/>
      <c r="E10" s="245">
        <v>37800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209731</v>
      </c>
      <c r="D11" s="245">
        <v>209731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3087397.87</v>
      </c>
      <c r="D12" s="20">
        <f>'DOE25'!L197+'DOE25'!L215+'DOE25'!L233-F12-G12</f>
        <v>3058369.98</v>
      </c>
      <c r="E12" s="244"/>
      <c r="F12" s="256">
        <f>'DOE25'!J197+'DOE25'!J215+'DOE25'!J233</f>
        <v>10741.2</v>
      </c>
      <c r="G12" s="53">
        <f>'DOE25'!K197+'DOE25'!K215+'DOE25'!K233</f>
        <v>18286.689999999999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32088.799999999999</v>
      </c>
      <c r="D13" s="244"/>
      <c r="E13" s="20">
        <f>'DOE25'!L198+'DOE25'!L216+'DOE25'!L234-F13-G13</f>
        <v>25000</v>
      </c>
      <c r="F13" s="256">
        <f>'DOE25'!J198+'DOE25'!J216+'DOE25'!J234</f>
        <v>0</v>
      </c>
      <c r="G13" s="53">
        <f>'DOE25'!K198+'DOE25'!K216+'DOE25'!K234</f>
        <v>7088.8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5173373.9000000004</v>
      </c>
      <c r="D14" s="20">
        <f>'DOE25'!L199+'DOE25'!L217+'DOE25'!L235-F14-G14</f>
        <v>5123430.3500000006</v>
      </c>
      <c r="E14" s="244"/>
      <c r="F14" s="256">
        <f>'DOE25'!J199+'DOE25'!J217+'DOE25'!J235</f>
        <v>43602.6</v>
      </c>
      <c r="G14" s="53">
        <f>'DOE25'!K199+'DOE25'!K217+'DOE25'!K235</f>
        <v>6340.9500000000007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1708711.7200000002</v>
      </c>
      <c r="D15" s="20">
        <f>'DOE25'!L200+'DOE25'!L218+'DOE25'!L236-F15-G15</f>
        <v>1708711.7200000002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947993.98999999987</v>
      </c>
      <c r="D16" s="244"/>
      <c r="E16" s="20">
        <f>'DOE25'!L201+'DOE25'!L219+'DOE25'!L237-F16-G16</f>
        <v>592479.32999999984</v>
      </c>
      <c r="F16" s="256">
        <f>'DOE25'!J201+'DOE25'!J219+'DOE25'!J237</f>
        <v>355514.66000000003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164279.45000000001</v>
      </c>
      <c r="D22" s="244"/>
      <c r="E22" s="244"/>
      <c r="F22" s="256">
        <f>'DOE25'!L247+'DOE25'!L328</f>
        <v>164279.45000000001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2591171.13</v>
      </c>
      <c r="D25" s="244"/>
      <c r="E25" s="244"/>
      <c r="F25" s="259"/>
      <c r="G25" s="257"/>
      <c r="H25" s="258">
        <f>'DOE25'!L252+'DOE25'!L253+'DOE25'!L333+'DOE25'!L334</f>
        <v>2591171.13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778150.94999999972</v>
      </c>
      <c r="D29" s="20">
        <f>'DOE25'!L350+'DOE25'!L351+'DOE25'!L352-'DOE25'!I359-F29-G29</f>
        <v>758384.08999999973</v>
      </c>
      <c r="E29" s="244"/>
      <c r="F29" s="256">
        <f>'DOE25'!J350+'DOE25'!J351+'DOE25'!J352</f>
        <v>15102.64</v>
      </c>
      <c r="G29" s="53">
        <f>'DOE25'!K350+'DOE25'!K351+'DOE25'!K352</f>
        <v>4664.22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3483311.43</v>
      </c>
      <c r="D31" s="20">
        <f>'DOE25'!L282+'DOE25'!L301+'DOE25'!L320+'DOE25'!L325+'DOE25'!L326+'DOE25'!L327-F31-G31</f>
        <v>3097971.64</v>
      </c>
      <c r="E31" s="244"/>
      <c r="F31" s="256">
        <f>'DOE25'!J282+'DOE25'!J301+'DOE25'!J320+'DOE25'!J325+'DOE25'!J326+'DOE25'!J327</f>
        <v>270559.43</v>
      </c>
      <c r="G31" s="53">
        <f>'DOE25'!K282+'DOE25'!K301+'DOE25'!K320+'DOE25'!K325+'DOE25'!K326+'DOE25'!K327</f>
        <v>114780.36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51649695.979999989</v>
      </c>
      <c r="E33" s="247">
        <f>SUM(E5:E31)</f>
        <v>2342806.3800000004</v>
      </c>
      <c r="F33" s="247">
        <f>SUM(F5:F31)</f>
        <v>994372.69000000018</v>
      </c>
      <c r="G33" s="247">
        <f>SUM(G5:G31)</f>
        <v>246837.96000000002</v>
      </c>
      <c r="H33" s="247">
        <f>SUM(H5:H31)</f>
        <v>2591171.13</v>
      </c>
    </row>
    <row r="35" spans="2:8" ht="12" thickBot="1" x14ac:dyDescent="0.25">
      <c r="B35" s="254" t="s">
        <v>878</v>
      </c>
      <c r="D35" s="255">
        <f>E33</f>
        <v>2342806.3800000004</v>
      </c>
      <c r="E35" s="250"/>
    </row>
    <row r="36" spans="2:8" ht="12" thickTop="1" x14ac:dyDescent="0.2">
      <c r="B36" t="s">
        <v>846</v>
      </c>
      <c r="D36" s="20">
        <f>D33</f>
        <v>51649695.979999989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48D5-62CE-4EFB-A2E9-E2352F43D15F}">
  <sheetPr transitionEvaluation="1" codeName="Sheet2">
    <tabColor indexed="10"/>
  </sheetPr>
  <dimension ref="A1:I156"/>
  <sheetViews>
    <sheetView zoomScale="75" workbookViewId="0">
      <pane ySplit="2" topLeftCell="A10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3396378.66</v>
      </c>
      <c r="D9" s="95">
        <f>'DOE25'!G9</f>
        <v>249090.28</v>
      </c>
      <c r="E9" s="95">
        <f>'DOE25'!H9</f>
        <v>288605.55</v>
      </c>
      <c r="F9" s="95">
        <f>'DOE25'!I9</f>
        <v>11493546.41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932693.95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127415.67999999999</v>
      </c>
      <c r="D13" s="95">
        <f>'DOE25'!G13</f>
        <v>2318.4</v>
      </c>
      <c r="E13" s="95">
        <f>'DOE25'!H13</f>
        <v>1006431.19</v>
      </c>
      <c r="F13" s="95">
        <f>'DOE25'!I13</f>
        <v>0</v>
      </c>
      <c r="G13" s="95">
        <f>'DOE25'!J13</f>
        <v>100000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8004.23</v>
      </c>
      <c r="D14" s="95">
        <f>'DOE25'!G14</f>
        <v>7153.73</v>
      </c>
      <c r="E14" s="95">
        <f>'DOE25'!H14</f>
        <v>2891.15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20873.59</v>
      </c>
      <c r="D17" s="95">
        <f>'DOE25'!G17</f>
        <v>90</v>
      </c>
      <c r="E17" s="95">
        <f>'DOE25'!H17</f>
        <v>1150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4485366.1100000003</v>
      </c>
      <c r="D19" s="41">
        <f>SUM(D9:D18)</f>
        <v>258652.41</v>
      </c>
      <c r="E19" s="41">
        <f>SUM(E9:E18)</f>
        <v>1299077.8899999999</v>
      </c>
      <c r="F19" s="41">
        <f>SUM(F9:F18)</f>
        <v>11493546.41</v>
      </c>
      <c r="G19" s="41">
        <f>SUM(G9:G18)</f>
        <v>100000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932693.95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119774.43</v>
      </c>
      <c r="D23" s="95">
        <f>'DOE25'!G24</f>
        <v>0</v>
      </c>
      <c r="E23" s="95">
        <f>'DOE25'!H24</f>
        <v>0.02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229604</v>
      </c>
      <c r="D24" s="95">
        <f>'DOE25'!G25</f>
        <v>48.9</v>
      </c>
      <c r="E24" s="95">
        <f>'DOE25'!H25</f>
        <v>47455.61</v>
      </c>
      <c r="F24" s="95">
        <f>'DOE25'!I25</f>
        <v>1435238.25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1414813.41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304328.61</v>
      </c>
      <c r="D28" s="95">
        <f>'DOE25'!G29</f>
        <v>19189.71</v>
      </c>
      <c r="E28" s="95">
        <f>'DOE25'!H29</f>
        <v>26927.16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105759.09</v>
      </c>
      <c r="D30" s="95">
        <f>'DOE25'!G31</f>
        <v>19793.18</v>
      </c>
      <c r="E30" s="95">
        <f>'DOE25'!H31</f>
        <v>100654.45999999999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759466.13</v>
      </c>
      <c r="D32" s="41">
        <f>SUM(D22:D31)</f>
        <v>39031.79</v>
      </c>
      <c r="E32" s="41">
        <f>SUM(E22:E31)</f>
        <v>1107731.2</v>
      </c>
      <c r="F32" s="41">
        <f>SUM(F22:F31)</f>
        <v>2850051.66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366833.15</v>
      </c>
      <c r="D36" s="95">
        <f>'DOE25'!G37</f>
        <v>0</v>
      </c>
      <c r="E36" s="95">
        <f>'DOE25'!H37</f>
        <v>360</v>
      </c>
      <c r="F36" s="95">
        <f>'DOE25'!I37</f>
        <v>2151304.58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250000</v>
      </c>
      <c r="D40" s="95">
        <f>'DOE25'!G41</f>
        <v>219620.62</v>
      </c>
      <c r="E40" s="95">
        <f>'DOE25'!H41</f>
        <v>190986.69</v>
      </c>
      <c r="F40" s="95">
        <f>'DOE25'!I41</f>
        <v>6492190.1699999999</v>
      </c>
      <c r="G40" s="95">
        <f>'DOE25'!J41</f>
        <v>100000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3109066.83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3725899.98</v>
      </c>
      <c r="D42" s="41">
        <f>SUM(D34:D41)</f>
        <v>219620.62</v>
      </c>
      <c r="E42" s="41">
        <f>SUM(E34:E41)</f>
        <v>191346.69</v>
      </c>
      <c r="F42" s="41">
        <f>SUM(F34:F41)</f>
        <v>8643494.75</v>
      </c>
      <c r="G42" s="41">
        <f>SUM(G34:G41)</f>
        <v>100000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4485366.1100000003</v>
      </c>
      <c r="D43" s="41">
        <f>D42+D32</f>
        <v>258652.41</v>
      </c>
      <c r="E43" s="41">
        <f>E42+E32</f>
        <v>1299077.8899999999</v>
      </c>
      <c r="F43" s="41">
        <f>F42+F32</f>
        <v>11493546.41</v>
      </c>
      <c r="G43" s="41">
        <f>G42+G32</f>
        <v>100000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25772178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10675409.66</v>
      </c>
      <c r="D49" s="24" t="s">
        <v>312</v>
      </c>
      <c r="E49" s="95">
        <f>'DOE25'!H71</f>
        <v>388640.52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13058.53</v>
      </c>
      <c r="D51" s="95">
        <f>'DOE25'!G88</f>
        <v>349.19</v>
      </c>
      <c r="E51" s="95">
        <f>'DOE25'!H88</f>
        <v>0</v>
      </c>
      <c r="F51" s="95">
        <f>'DOE25'!I88</f>
        <v>0</v>
      </c>
      <c r="G51" s="95">
        <f>'DOE25'!J88</f>
        <v>0.92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893807.03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317550.68999999994</v>
      </c>
      <c r="D53" s="95">
        <f>SUM('DOE25'!G90:G102)</f>
        <v>18135</v>
      </c>
      <c r="E53" s="95">
        <f>SUM('DOE25'!H90:H102)</f>
        <v>180490.98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11006018.879999999</v>
      </c>
      <c r="D54" s="130">
        <f>SUM(D49:D53)</f>
        <v>912291.22</v>
      </c>
      <c r="E54" s="130">
        <f>SUM(E49:E53)</f>
        <v>569131.5</v>
      </c>
      <c r="F54" s="130">
        <f>SUM(F49:F53)</f>
        <v>0</v>
      </c>
      <c r="G54" s="130">
        <f>SUM(G49:G53)</f>
        <v>0.92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36778196.879999995</v>
      </c>
      <c r="D55" s="22">
        <f>D48+D54</f>
        <v>912291.22</v>
      </c>
      <c r="E55" s="22">
        <f>E48+E54</f>
        <v>569131.5</v>
      </c>
      <c r="F55" s="22">
        <f>F48+F54</f>
        <v>0</v>
      </c>
      <c r="G55" s="22">
        <f>G48+G54</f>
        <v>0.92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10183420.23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4211715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369349.77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14764485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1411950.45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562847.15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140162.62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12325.28</v>
      </c>
      <c r="E69" s="95">
        <f>SUM('DOE25'!H123:H127)</f>
        <v>40950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2114960.2200000002</v>
      </c>
      <c r="D70" s="130">
        <f>SUM(D64:D69)</f>
        <v>12325.28</v>
      </c>
      <c r="E70" s="130">
        <f>SUM(E64:E69)</f>
        <v>40950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16879445.219999999</v>
      </c>
      <c r="D73" s="130">
        <f>SUM(D71:D72)+D70+D62</f>
        <v>12325.28</v>
      </c>
      <c r="E73" s="130">
        <f>SUM(E71:E72)+E70+E62</f>
        <v>40950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557599.69999999995</v>
      </c>
      <c r="D80" s="95">
        <f>SUM('DOE25'!G145:G153)</f>
        <v>505050.08</v>
      </c>
      <c r="E80" s="95">
        <f>SUM('DOE25'!H145:H153)</f>
        <v>2751535.23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557599.69999999995</v>
      </c>
      <c r="D83" s="131">
        <f>SUM(D77:D82)</f>
        <v>505050.08</v>
      </c>
      <c r="E83" s="131">
        <f>SUM(E77:E82)</f>
        <v>2751535.23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29316227.91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7153.73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2308.6799999999998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2250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4558.68</v>
      </c>
      <c r="D95" s="86">
        <f>SUM(D85:D94)</f>
        <v>7153.73</v>
      </c>
      <c r="E95" s="86">
        <f>SUM(E85:E94)</f>
        <v>0</v>
      </c>
      <c r="F95" s="86">
        <f>SUM(F85:F94)</f>
        <v>29316227.91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54219800.479999997</v>
      </c>
      <c r="D96" s="86">
        <f>D55+D73+D83+D95</f>
        <v>1436820.31</v>
      </c>
      <c r="E96" s="86">
        <f>E55+E73+E83+E95</f>
        <v>3361616.73</v>
      </c>
      <c r="F96" s="86">
        <f>F55+F73+F83+F95</f>
        <v>29316227.91</v>
      </c>
      <c r="G96" s="86">
        <f>G55+G73+G95</f>
        <v>100000.92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20019359.75</v>
      </c>
      <c r="D101" s="24" t="s">
        <v>312</v>
      </c>
      <c r="E101" s="95">
        <f>('DOE25'!L268)+('DOE25'!L287)+('DOE25'!L306)</f>
        <v>1183889.73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9732722.6799999997</v>
      </c>
      <c r="D102" s="24" t="s">
        <v>312</v>
      </c>
      <c r="E102" s="95">
        <f>('DOE25'!L269)+('DOE25'!L288)+('DOE25'!L307)</f>
        <v>645760.97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1285199.1699999997</v>
      </c>
      <c r="D103" s="24" t="s">
        <v>312</v>
      </c>
      <c r="E103" s="95">
        <f>('DOE25'!L270)+('DOE25'!L289)+('DOE25'!L308)</f>
        <v>81195.55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633822.59000000008</v>
      </c>
      <c r="D104" s="24" t="s">
        <v>312</v>
      </c>
      <c r="E104" s="95">
        <f>+('DOE25'!L271)+('DOE25'!L290)+('DOE25'!L309)</f>
        <v>20973.32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1408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430776.19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31671104.189999998</v>
      </c>
      <c r="D107" s="86">
        <f>SUM(D101:D106)</f>
        <v>0</v>
      </c>
      <c r="E107" s="86">
        <f>SUM(E101:E106)</f>
        <v>2364003.7600000002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4792877.13</v>
      </c>
      <c r="D110" s="24" t="s">
        <v>312</v>
      </c>
      <c r="E110" s="95">
        <f>+('DOE25'!L273)+('DOE25'!L292)+('DOE25'!L311)</f>
        <v>216141.14999999997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1041054.3400000001</v>
      </c>
      <c r="D111" s="24" t="s">
        <v>312</v>
      </c>
      <c r="E111" s="95">
        <f>+('DOE25'!L274)+('DOE25'!L293)+('DOE25'!L312)</f>
        <v>654290.34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2315569.2400000002</v>
      </c>
      <c r="D112" s="24" t="s">
        <v>312</v>
      </c>
      <c r="E112" s="95">
        <f>+('DOE25'!L275)+('DOE25'!L294)+('DOE25'!L313)</f>
        <v>95717.199999999983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3087397.87</v>
      </c>
      <c r="D113" s="24" t="s">
        <v>312</v>
      </c>
      <c r="E113" s="95">
        <f>+('DOE25'!L276)+('DOE25'!L295)+('DOE25'!L314)</f>
        <v>949.53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32088.799999999999</v>
      </c>
      <c r="D114" s="24" t="s">
        <v>312</v>
      </c>
      <c r="E114" s="95">
        <f>+('DOE25'!L277)+('DOE25'!L296)+('DOE25'!L315)</f>
        <v>115001.41999999998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5173373.9000000004</v>
      </c>
      <c r="D115" s="24" t="s">
        <v>312</v>
      </c>
      <c r="E115" s="95">
        <f>+('DOE25'!L278)+('DOE25'!L297)+('DOE25'!L316)</f>
        <v>37853.53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1708711.7200000002</v>
      </c>
      <c r="D116" s="24" t="s">
        <v>312</v>
      </c>
      <c r="E116" s="95">
        <f>+('DOE25'!L279)+('DOE25'!L298)+('DOE25'!L317)</f>
        <v>762.5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947993.98999999987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1483426.7599999998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19099066.989999998</v>
      </c>
      <c r="D120" s="86">
        <f>SUM(D110:D119)</f>
        <v>1483426.7599999998</v>
      </c>
      <c r="E120" s="86">
        <f>SUM(E110:E119)</f>
        <v>1120715.67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164279.45000000001</v>
      </c>
      <c r="D122" s="24" t="s">
        <v>312</v>
      </c>
      <c r="E122" s="129">
        <f>'DOE25'!L328</f>
        <v>0</v>
      </c>
      <c r="F122" s="129">
        <f>SUM('DOE25'!L366:'DOE25'!L372)</f>
        <v>23888277.34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2098241.84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492929.29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2308.6799999999998</v>
      </c>
    </row>
    <row r="127" spans="1:7" x14ac:dyDescent="0.2">
      <c r="A127" t="s">
        <v>256</v>
      </c>
      <c r="B127" s="32" t="s">
        <v>257</v>
      </c>
      <c r="C127" s="95">
        <f>'DOE25'!L255</f>
        <v>7153.7300000000005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0.92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-0.91999999999825377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2862604.31</v>
      </c>
      <c r="D136" s="141">
        <f>SUM(D122:D135)</f>
        <v>0</v>
      </c>
      <c r="E136" s="141">
        <f>SUM(E122:E135)</f>
        <v>0</v>
      </c>
      <c r="F136" s="141">
        <f>SUM(F122:F135)</f>
        <v>23888277.34</v>
      </c>
      <c r="G136" s="141">
        <f>SUM(G122:G135)</f>
        <v>2308.6799999999998</v>
      </c>
    </row>
    <row r="137" spans="1:9" ht="12.75" thickTop="1" thickBot="1" x14ac:dyDescent="0.25">
      <c r="A137" s="33" t="s">
        <v>267</v>
      </c>
      <c r="C137" s="86">
        <f>(C107+C120+C136)</f>
        <v>53632775.489999995</v>
      </c>
      <c r="D137" s="86">
        <f>(D107+D120+D136)</f>
        <v>1483426.7599999998</v>
      </c>
      <c r="E137" s="86">
        <f>(E107+E120+E136)</f>
        <v>3484719.43</v>
      </c>
      <c r="F137" s="86">
        <f>(F107+F120+F136)</f>
        <v>23888277.34</v>
      </c>
      <c r="G137" s="86">
        <f>(G107+G120+G136)</f>
        <v>2308.6799999999998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10</v>
      </c>
      <c r="E143" s="153">
        <f>'DOE25'!I480</f>
        <v>29</v>
      </c>
      <c r="F143" s="153">
        <f>'DOE25'!J480</f>
        <v>29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 t="str">
        <f>'DOE25'!G481</f>
        <v>08/02</v>
      </c>
      <c r="D144" s="152" t="str">
        <f>'DOE25'!H481</f>
        <v>08/06</v>
      </c>
      <c r="E144" s="152" t="str">
        <f>'DOE25'!I481</f>
        <v>7/10</v>
      </c>
      <c r="F144" s="152" t="str">
        <f>'DOE25'!J481</f>
        <v>7/10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 t="str">
        <f>'DOE25'!G482</f>
        <v>08/12</v>
      </c>
      <c r="D145" s="152" t="str">
        <f>'DOE25'!H482</f>
        <v>0/16</v>
      </c>
      <c r="E145" s="152" t="str">
        <f>'DOE25'!I482</f>
        <v>8/39</v>
      </c>
      <c r="F145" s="152" t="str">
        <f>'DOE25'!J482</f>
        <v>8/39</v>
      </c>
      <c r="G145" s="24" t="s">
        <v>312</v>
      </c>
    </row>
    <row r="146" spans="1:7" x14ac:dyDescent="0.2">
      <c r="A146" s="136" t="s">
        <v>30</v>
      </c>
      <c r="B146" s="137">
        <f>'DOE25'!F483</f>
        <v>17500000</v>
      </c>
      <c r="C146" s="137">
        <f>'DOE25'!G483</f>
        <v>1500000</v>
      </c>
      <c r="D146" s="137">
        <f>'DOE25'!H483</f>
        <v>1225000</v>
      </c>
      <c r="E146" s="137">
        <f>'DOE25'!I483</f>
        <v>35115529.659999996</v>
      </c>
      <c r="F146" s="137">
        <f>'DOE25'!J483</f>
        <v>1817970.34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3.23</v>
      </c>
      <c r="D147" s="137">
        <f>'DOE25'!H484</f>
        <v>3.79</v>
      </c>
      <c r="E147" s="137">
        <f>'DOE25'!I484</f>
        <v>4.4409999999999998</v>
      </c>
      <c r="F147" s="137">
        <f>'DOE25'!J484</f>
        <v>4.4400000000000004</v>
      </c>
      <c r="G147" s="24" t="s">
        <v>312</v>
      </c>
    </row>
    <row r="148" spans="1:7" x14ac:dyDescent="0.2">
      <c r="A148" s="22" t="s">
        <v>32</v>
      </c>
      <c r="B148" s="137">
        <f>'DOE25'!F485</f>
        <v>8750000</v>
      </c>
      <c r="C148" s="137">
        <f>'DOE25'!G485</f>
        <v>450000</v>
      </c>
      <c r="D148" s="137">
        <f>'DOE25'!H485</f>
        <v>850000</v>
      </c>
      <c r="E148" s="137">
        <f>'DOE25'!I485</f>
        <v>0</v>
      </c>
      <c r="F148" s="137">
        <f>'DOE25'!J485</f>
        <v>0</v>
      </c>
      <c r="G148" s="138">
        <f>SUM(B148:F148)</f>
        <v>10050000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35115529.659999996</v>
      </c>
      <c r="F149" s="137">
        <f>'DOE25'!J486</f>
        <v>1817970.34</v>
      </c>
      <c r="G149" s="138">
        <f t="shared" ref="G149:G156" si="0">SUM(B149:F149)</f>
        <v>36933500</v>
      </c>
    </row>
    <row r="150" spans="1:7" x14ac:dyDescent="0.2">
      <c r="A150" s="22" t="s">
        <v>34</v>
      </c>
      <c r="B150" s="137">
        <f>'DOE25'!F487</f>
        <v>875000</v>
      </c>
      <c r="C150" s="137">
        <f>'DOE25'!G487</f>
        <v>150000</v>
      </c>
      <c r="D150" s="137">
        <f>'DOE25'!H487</f>
        <v>125000</v>
      </c>
      <c r="E150" s="137">
        <f>'DOE25'!I487</f>
        <v>901566.76</v>
      </c>
      <c r="F150" s="137">
        <f>'DOE25'!J487</f>
        <v>46675.13</v>
      </c>
      <c r="G150" s="138">
        <f t="shared" si="0"/>
        <v>2098241.89</v>
      </c>
    </row>
    <row r="151" spans="1:7" x14ac:dyDescent="0.2">
      <c r="A151" s="22" t="s">
        <v>35</v>
      </c>
      <c r="B151" s="137">
        <f>'DOE25'!F488</f>
        <v>7875000</v>
      </c>
      <c r="C151" s="137">
        <f>'DOE25'!G488</f>
        <v>300000</v>
      </c>
      <c r="D151" s="137">
        <f>'DOE25'!H488</f>
        <v>725000</v>
      </c>
      <c r="E151" s="137">
        <f>'DOE25'!I488</f>
        <v>34213962.899999999</v>
      </c>
      <c r="F151" s="137">
        <f>'DOE25'!J488</f>
        <v>1771295.21</v>
      </c>
      <c r="G151" s="138">
        <f t="shared" si="0"/>
        <v>44885258.109999999</v>
      </c>
    </row>
    <row r="152" spans="1:7" x14ac:dyDescent="0.2">
      <c r="A152" s="22" t="s">
        <v>36</v>
      </c>
      <c r="B152" s="137">
        <f>'DOE25'!F489</f>
        <v>1860468.75</v>
      </c>
      <c r="C152" s="137">
        <f>'DOE25'!G489</f>
        <v>10800</v>
      </c>
      <c r="D152" s="137">
        <f>'DOE25'!H489</f>
        <v>82143.75</v>
      </c>
      <c r="E152" s="137">
        <f>'DOE25'!I489</f>
        <v>31016935.370000001</v>
      </c>
      <c r="F152" s="137">
        <f>'DOE25'!J489</f>
        <v>1607645.27</v>
      </c>
      <c r="G152" s="138">
        <f t="shared" si="0"/>
        <v>34577993.140000001</v>
      </c>
    </row>
    <row r="153" spans="1:7" x14ac:dyDescent="0.2">
      <c r="A153" s="22" t="s">
        <v>37</v>
      </c>
      <c r="B153" s="137">
        <f>'DOE25'!F490</f>
        <v>9735468.75</v>
      </c>
      <c r="C153" s="137">
        <f>'DOE25'!G490</f>
        <v>310800</v>
      </c>
      <c r="D153" s="137">
        <f>'DOE25'!H490</f>
        <v>807143.75</v>
      </c>
      <c r="E153" s="137">
        <f>'DOE25'!I490</f>
        <v>65230898.269999996</v>
      </c>
      <c r="F153" s="137">
        <f>'DOE25'!J490</f>
        <v>3378940.48</v>
      </c>
      <c r="G153" s="138">
        <f t="shared" si="0"/>
        <v>79463251.25</v>
      </c>
    </row>
    <row r="154" spans="1:7" x14ac:dyDescent="0.2">
      <c r="A154" s="22" t="s">
        <v>38</v>
      </c>
      <c r="B154" s="137">
        <f>'DOE25'!F491</f>
        <v>875000</v>
      </c>
      <c r="C154" s="137">
        <f>'DOE25'!G491</f>
        <v>150000</v>
      </c>
      <c r="D154" s="137">
        <f>'DOE25'!H491</f>
        <v>125000</v>
      </c>
      <c r="E154" s="137">
        <f>'DOE25'!I491</f>
        <v>2123755.7400000002</v>
      </c>
      <c r="F154" s="137">
        <f>'DOE25'!J491</f>
        <v>109949.20999999999</v>
      </c>
      <c r="G154" s="138">
        <f t="shared" si="0"/>
        <v>3383704.95</v>
      </c>
    </row>
    <row r="155" spans="1:7" x14ac:dyDescent="0.2">
      <c r="A155" s="22" t="s">
        <v>39</v>
      </c>
      <c r="B155" s="137">
        <f>'DOE25'!F492</f>
        <v>390468.75</v>
      </c>
      <c r="C155" s="137">
        <f>'DOE25'!G492</f>
        <v>8100</v>
      </c>
      <c r="D155" s="137">
        <f>'DOE25'!H492</f>
        <v>25143.75</v>
      </c>
      <c r="E155" s="137">
        <f>'DOE25'!I492</f>
        <v>126170.56</v>
      </c>
      <c r="F155" s="137">
        <f>'DOE25'!J492</f>
        <v>6531.99</v>
      </c>
      <c r="G155" s="138">
        <f t="shared" si="0"/>
        <v>556415.05000000005</v>
      </c>
    </row>
    <row r="156" spans="1:7" x14ac:dyDescent="0.2">
      <c r="A156" s="22" t="s">
        <v>269</v>
      </c>
      <c r="B156" s="137">
        <f>'DOE25'!F493</f>
        <v>1265468.75</v>
      </c>
      <c r="C156" s="137">
        <f>'DOE25'!G493</f>
        <v>158100</v>
      </c>
      <c r="D156" s="137">
        <f>'DOE25'!H493</f>
        <v>150143.75</v>
      </c>
      <c r="E156" s="137">
        <f>'DOE25'!I493</f>
        <v>2249926.3000000003</v>
      </c>
      <c r="F156" s="137">
        <f>'DOE25'!J493</f>
        <v>116481.2</v>
      </c>
      <c r="G156" s="138">
        <f t="shared" si="0"/>
        <v>3940120.0000000005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D722-D323-4690-9800-8B2A2A39E67E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Keene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16476</v>
      </c>
    </row>
    <row r="5" spans="1:4" x14ac:dyDescent="0.2">
      <c r="B5" t="s">
        <v>735</v>
      </c>
      <c r="C5" s="179">
        <f>IF('DOE25'!G655+'DOE25'!G660=0,0,ROUND('DOE25'!G662,0))</f>
        <v>15703</v>
      </c>
    </row>
    <row r="6" spans="1:4" x14ac:dyDescent="0.2">
      <c r="B6" t="s">
        <v>62</v>
      </c>
      <c r="C6" s="179">
        <f>IF('DOE25'!H655+'DOE25'!H660=0,0,ROUND('DOE25'!H662,0))</f>
        <v>13132</v>
      </c>
    </row>
    <row r="7" spans="1:4" x14ac:dyDescent="0.2">
      <c r="B7" t="s">
        <v>736</v>
      </c>
      <c r="C7" s="179">
        <f>IF('DOE25'!I655+'DOE25'!I660=0,0,ROUND('DOE25'!I662,0))</f>
        <v>14782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21203249</v>
      </c>
      <c r="D10" s="182">
        <f>ROUND((C10/$C$28)*100,1)</f>
        <v>38.299999999999997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10378484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1366395</v>
      </c>
      <c r="D12" s="182">
        <f>ROUND((C12/$C$28)*100,1)</f>
        <v>2.5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654796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5009018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1695345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3359280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3088347</v>
      </c>
      <c r="D18" s="182">
        <f t="shared" si="0"/>
        <v>5.6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147090</v>
      </c>
      <c r="D19" s="182">
        <f t="shared" si="0"/>
        <v>0.3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5211227</v>
      </c>
      <c r="D20" s="182">
        <f t="shared" si="0"/>
        <v>9.4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1709474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1408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430776</v>
      </c>
      <c r="D24" s="182">
        <f t="shared" si="0"/>
        <v>0.8</v>
      </c>
    </row>
    <row r="25" spans="1:4" x14ac:dyDescent="0.2">
      <c r="A25">
        <v>5120</v>
      </c>
      <c r="B25" t="s">
        <v>751</v>
      </c>
      <c r="C25" s="179">
        <f>ROUND('DOE25'!L253+'DOE25'!L334,0)</f>
        <v>492929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571484.97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55319302.969999999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24052557</v>
      </c>
    </row>
    <row r="30" spans="1:4" x14ac:dyDescent="0.2">
      <c r="B30" s="187" t="s">
        <v>760</v>
      </c>
      <c r="C30" s="180">
        <f>SUM(C28:C29)</f>
        <v>79371859.969999999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2098242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25772178</v>
      </c>
      <c r="D35" s="182">
        <f t="shared" ref="D35:D40" si="1">ROUND((C35/$C$41)*100,1)</f>
        <v>44.2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11791728.399999991</v>
      </c>
      <c r="D36" s="182">
        <f t="shared" si="1"/>
        <v>20.2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14764485</v>
      </c>
      <c r="D37" s="182">
        <f t="shared" si="1"/>
        <v>25.3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2168236</v>
      </c>
      <c r="D38" s="182">
        <f t="shared" si="1"/>
        <v>3.7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3814185</v>
      </c>
      <c r="D39" s="182">
        <f t="shared" si="1"/>
        <v>6.5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2250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58313062.399999991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29100000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CE83-340D-4C58-AC33-92A4EB582E4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Keene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79:M79"/>
    <mergeCell ref="C80:M80"/>
    <mergeCell ref="C81:M81"/>
    <mergeCell ref="C82:M82"/>
    <mergeCell ref="C23:M23"/>
    <mergeCell ref="C24:M24"/>
    <mergeCell ref="C75:M75"/>
    <mergeCell ref="C76:M76"/>
    <mergeCell ref="C77:M77"/>
    <mergeCell ref="C78:M78"/>
    <mergeCell ref="C89:M89"/>
    <mergeCell ref="C90:M90"/>
    <mergeCell ref="C83:M83"/>
    <mergeCell ref="C84:M84"/>
    <mergeCell ref="C85:M85"/>
    <mergeCell ref="C86:M86"/>
    <mergeCell ref="C87:M87"/>
    <mergeCell ref="C43:M43"/>
    <mergeCell ref="C88:M88"/>
    <mergeCell ref="C70:M70"/>
    <mergeCell ref="A72:E72"/>
    <mergeCell ref="C73:M73"/>
    <mergeCell ref="C74:M74"/>
    <mergeCell ref="C66:M66"/>
    <mergeCell ref="C67:M67"/>
    <mergeCell ref="C68:M68"/>
    <mergeCell ref="C69:M69"/>
    <mergeCell ref="C40:M40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14:M14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62:M62"/>
    <mergeCell ref="C63:M63"/>
    <mergeCell ref="C64:M64"/>
    <mergeCell ref="C65:M65"/>
    <mergeCell ref="C34:M34"/>
    <mergeCell ref="C35:M35"/>
    <mergeCell ref="C36:M36"/>
    <mergeCell ref="C37:M37"/>
    <mergeCell ref="C38:M38"/>
    <mergeCell ref="C39:M39"/>
    <mergeCell ref="A2:E2"/>
    <mergeCell ref="A1:I1"/>
    <mergeCell ref="C3:M3"/>
    <mergeCell ref="C4:M4"/>
    <mergeCell ref="F2:I2"/>
    <mergeCell ref="C17:M17"/>
    <mergeCell ref="C9:M9"/>
    <mergeCell ref="C10:M10"/>
    <mergeCell ref="C11:M11"/>
    <mergeCell ref="C12:M12"/>
    <mergeCell ref="C5:M5"/>
    <mergeCell ref="C6:M6"/>
    <mergeCell ref="C7:M7"/>
    <mergeCell ref="C8:M8"/>
    <mergeCell ref="AC32:AM32"/>
    <mergeCell ref="AP32:AZ32"/>
    <mergeCell ref="C16:M16"/>
    <mergeCell ref="C18:M18"/>
    <mergeCell ref="C19:M19"/>
    <mergeCell ref="C13:M13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DP29:DZ29"/>
    <mergeCell ref="P29:Z29"/>
    <mergeCell ref="AC29:AM29"/>
    <mergeCell ref="AP29:AZ29"/>
    <mergeCell ref="BC29:BM29"/>
    <mergeCell ref="BP29:BZ29"/>
    <mergeCell ref="CC29:CM29"/>
    <mergeCell ref="CP29:CZ29"/>
    <mergeCell ref="GP29:GZ29"/>
    <mergeCell ref="DC29:DM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GP30:GZ30"/>
    <mergeCell ref="HC30:HM30"/>
    <mergeCell ref="HP30:HZ30"/>
    <mergeCell ref="CC30:CM30"/>
    <mergeCell ref="CP30:CZ30"/>
    <mergeCell ref="HC29:HM29"/>
    <mergeCell ref="HP29:HZ29"/>
    <mergeCell ref="FC29:FM29"/>
    <mergeCell ref="FP29:FZ29"/>
    <mergeCell ref="GC29:GM29"/>
    <mergeCell ref="BP38:BZ38"/>
    <mergeCell ref="CC31:CM31"/>
    <mergeCell ref="CP31:CZ31"/>
    <mergeCell ref="DC31:DM31"/>
    <mergeCell ref="FC30:FM30"/>
    <mergeCell ref="DC30:DM30"/>
    <mergeCell ref="DP30:DZ30"/>
    <mergeCell ref="EC30:EM30"/>
    <mergeCell ref="EP30:EZ30"/>
    <mergeCell ref="P40:Z40"/>
    <mergeCell ref="AC40:AM40"/>
    <mergeCell ref="BP32:BZ32"/>
    <mergeCell ref="BC38:BM38"/>
    <mergeCell ref="IC30:IM30"/>
    <mergeCell ref="IP30:IV30"/>
    <mergeCell ref="AP40:AZ40"/>
    <mergeCell ref="BC31:BM31"/>
    <mergeCell ref="BC32:BM32"/>
    <mergeCell ref="BC39:BM39"/>
    <mergeCell ref="GP31:GZ31"/>
    <mergeCell ref="HC31:HM31"/>
    <mergeCell ref="HP31:HZ31"/>
    <mergeCell ref="IC31:IM31"/>
    <mergeCell ref="IP31:IV31"/>
    <mergeCell ref="BC30:BM30"/>
    <mergeCell ref="BP30:BZ30"/>
    <mergeCell ref="BP31:BZ31"/>
    <mergeCell ref="FP30:FZ30"/>
    <mergeCell ref="GC30:GM30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FP32:FZ32"/>
    <mergeCell ref="GC32:GM32"/>
    <mergeCell ref="CP32:CZ32"/>
    <mergeCell ref="HP32:HZ32"/>
    <mergeCell ref="DC32:DM32"/>
    <mergeCell ref="DP32:DZ32"/>
    <mergeCell ref="EC32:EM32"/>
    <mergeCell ref="EP32:EZ32"/>
    <mergeCell ref="GP32:GZ32"/>
    <mergeCell ref="DP38:DZ38"/>
    <mergeCell ref="EC38:EM38"/>
    <mergeCell ref="EP38:EZ38"/>
    <mergeCell ref="FC38:FM38"/>
    <mergeCell ref="CC38:CM38"/>
    <mergeCell ref="CC32:CM32"/>
    <mergeCell ref="CP38:CZ38"/>
    <mergeCell ref="DC38:DM38"/>
    <mergeCell ref="IC38:IM38"/>
    <mergeCell ref="IP38:IV38"/>
    <mergeCell ref="P38:Z38"/>
    <mergeCell ref="AC38:AM38"/>
    <mergeCell ref="AP38:AZ38"/>
    <mergeCell ref="FP38:FZ38"/>
    <mergeCell ref="GC38:GM38"/>
    <mergeCell ref="GP38:GZ38"/>
    <mergeCell ref="HC38:HM38"/>
    <mergeCell ref="HP38:HZ38"/>
    <mergeCell ref="GC39:GM39"/>
    <mergeCell ref="IP39:IV39"/>
    <mergeCell ref="EP39:EZ39"/>
    <mergeCell ref="FC39:FM39"/>
    <mergeCell ref="FP39:FZ39"/>
    <mergeCell ref="GP39:GZ39"/>
    <mergeCell ref="IC39:IM39"/>
    <mergeCell ref="HC39:HM39"/>
    <mergeCell ref="P39:Z39"/>
    <mergeCell ref="AC39:AM39"/>
    <mergeCell ref="AP39:AZ39"/>
    <mergeCell ref="HP39:HZ39"/>
    <mergeCell ref="CC39:CM39"/>
    <mergeCell ref="CP39:CZ39"/>
    <mergeCell ref="BP39:BZ39"/>
    <mergeCell ref="DC39:DM39"/>
    <mergeCell ref="DP39:DZ39"/>
    <mergeCell ref="EC39:EM39"/>
    <mergeCell ref="IP40:IV40"/>
    <mergeCell ref="GC40:GM40"/>
    <mergeCell ref="GP40:GZ40"/>
    <mergeCell ref="HC40:HM40"/>
    <mergeCell ref="HP40:HZ40"/>
    <mergeCell ref="IC40:IM40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EC40:E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2011-10-26T12:34:33Z</cp:lastPrinted>
  <dcterms:created xsi:type="dcterms:W3CDTF">1997-12-04T19:04:30Z</dcterms:created>
  <dcterms:modified xsi:type="dcterms:W3CDTF">2025-01-10T20:08:03Z</dcterms:modified>
</cp:coreProperties>
</file>